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4\"/>
    </mc:Choice>
  </mc:AlternateContent>
  <xr:revisionPtr revIDLastSave="0" documentId="13_ncr:1_{1D795C91-D723-4892-B2C8-3A942EC9CD9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'2'!$A$1:$I$49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H22" i="179" l="1"/>
  <c r="E23" i="179"/>
  <c r="E22" i="179"/>
  <c r="H19" i="179"/>
  <c r="E20" i="179"/>
  <c r="E19" i="179"/>
  <c r="E27" i="179"/>
  <c r="E26" i="179"/>
  <c r="E25" i="179"/>
  <c r="C19" i="146" l="1"/>
  <c r="B19" i="146"/>
  <c r="G9" i="108" l="1"/>
  <c r="G10" i="108"/>
  <c r="G11" i="108"/>
  <c r="G12" i="108"/>
  <c r="G13" i="108"/>
  <c r="G15" i="108"/>
  <c r="G16" i="108"/>
  <c r="G17" i="108"/>
  <c r="G18" i="108"/>
  <c r="G19" i="108"/>
  <c r="G21" i="108"/>
  <c r="G22" i="108"/>
  <c r="G23" i="108"/>
  <c r="G24" i="108"/>
  <c r="G25" i="108"/>
  <c r="G14" i="108" l="1"/>
  <c r="G20" i="108"/>
  <c r="G26" i="108"/>
  <c r="K7" i="168" l="1"/>
  <c r="K8" i="168"/>
  <c r="K9" i="168"/>
  <c r="K10" i="168"/>
  <c r="K11" i="168"/>
  <c r="K12" i="168"/>
  <c r="I28" i="167"/>
  <c r="J28" i="167"/>
  <c r="I29" i="167"/>
  <c r="J29" i="167"/>
  <c r="I30" i="167"/>
  <c r="J30" i="167"/>
  <c r="I31" i="167"/>
  <c r="J31" i="167"/>
  <c r="I32" i="167"/>
  <c r="J32" i="167"/>
  <c r="I33" i="167"/>
  <c r="J33" i="167"/>
  <c r="K13" i="168" l="1"/>
  <c r="J34" i="167"/>
  <c r="I34" i="167"/>
  <c r="R44" i="128" l="1"/>
  <c r="R43" i="128"/>
  <c r="I19" i="146"/>
  <c r="G14" i="168" l="1"/>
  <c r="H14" i="168"/>
  <c r="G15" i="168"/>
  <c r="H15" i="168"/>
  <c r="G16" i="168"/>
  <c r="H16" i="168"/>
  <c r="G17" i="168"/>
  <c r="H17" i="168"/>
  <c r="G18" i="168"/>
  <c r="H18" i="168"/>
  <c r="G19" i="168"/>
  <c r="H19" i="168"/>
  <c r="H20" i="168"/>
  <c r="G20" i="168" l="1"/>
  <c r="L19" i="146" l="1"/>
  <c r="L20" i="146"/>
  <c r="L21" i="146"/>
  <c r="L22" i="146"/>
  <c r="L23" i="146"/>
  <c r="L24" i="146"/>
  <c r="L25" i="146"/>
  <c r="J19" i="146"/>
  <c r="J20" i="146"/>
  <c r="J21" i="146"/>
  <c r="J22" i="146"/>
  <c r="J23" i="146"/>
  <c r="J24" i="146"/>
  <c r="J25" i="146"/>
  <c r="F19" i="146"/>
  <c r="F20" i="146"/>
  <c r="F21" i="146"/>
  <c r="F22" i="146"/>
  <c r="F23" i="146"/>
  <c r="F24" i="146"/>
  <c r="F25" i="146"/>
  <c r="C20" i="146"/>
  <c r="C21" i="146"/>
  <c r="C22" i="146"/>
  <c r="C23" i="146"/>
  <c r="C24" i="146"/>
  <c r="C25" i="146"/>
  <c r="B50" i="181" l="1"/>
  <c r="E23" i="146" l="1"/>
  <c r="G23" i="146" s="1"/>
  <c r="G9" i="107" l="1"/>
  <c r="R18" i="122" l="1"/>
  <c r="O19" i="122"/>
  <c r="L18" i="122"/>
  <c r="G18" i="122"/>
  <c r="D18" i="122"/>
  <c r="B18" i="122"/>
  <c r="O20" i="146"/>
  <c r="K19" i="146"/>
  <c r="B20" i="146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D20" i="146" l="1"/>
  <c r="T25" i="146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P22" i="146"/>
  <c r="O22" i="146"/>
  <c r="N22" i="146"/>
  <c r="K22" i="146"/>
  <c r="I22" i="146"/>
  <c r="E22" i="146"/>
  <c r="B22" i="146"/>
  <c r="T21" i="146"/>
  <c r="S21" i="146"/>
  <c r="Q21" i="146"/>
  <c r="P21" i="146"/>
  <c r="O21" i="146"/>
  <c r="N21" i="146"/>
  <c r="K21" i="146"/>
  <c r="I21" i="146"/>
  <c r="E21" i="146"/>
  <c r="B21" i="146"/>
  <c r="Q20" i="146"/>
  <c r="P20" i="146"/>
  <c r="N20" i="146"/>
  <c r="I20" i="146"/>
  <c r="E20" i="146"/>
  <c r="Q19" i="146"/>
  <c r="P19" i="146"/>
  <c r="O19" i="146"/>
  <c r="N19" i="146"/>
  <c r="E19" i="146"/>
  <c r="D19" i="146"/>
  <c r="G20" i="146" l="1"/>
  <c r="R19" i="146"/>
  <c r="G19" i="146"/>
  <c r="D22" i="146"/>
  <c r="R22" i="146"/>
  <c r="G22" i="146"/>
  <c r="R23" i="146"/>
  <c r="R20" i="146"/>
  <c r="D21" i="146"/>
  <c r="R21" i="146"/>
  <c r="G21" i="146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F10" i="161"/>
  <c r="K19" i="168"/>
  <c r="K18" i="168"/>
  <c r="K17" i="168"/>
  <c r="K16" i="168"/>
  <c r="K15" i="168"/>
  <c r="K14" i="168"/>
  <c r="A14" i="168"/>
  <c r="H43" i="168" s="1"/>
  <c r="H13" i="168"/>
  <c r="F10" i="126" s="1"/>
  <c r="H12" i="168"/>
  <c r="G12" i="168"/>
  <c r="H11" i="168"/>
  <c r="G11" i="168"/>
  <c r="H10" i="168"/>
  <c r="G10" i="168"/>
  <c r="H9" i="168"/>
  <c r="G9" i="168"/>
  <c r="H8" i="168"/>
  <c r="G8" i="168"/>
  <c r="H7" i="168"/>
  <c r="G7" i="168"/>
  <c r="A7" i="168"/>
  <c r="B42" i="168" s="1"/>
  <c r="D44" i="167"/>
  <c r="C44" i="167"/>
  <c r="D43" i="167"/>
  <c r="C43" i="167"/>
  <c r="D42" i="167"/>
  <c r="C42" i="167"/>
  <c r="F33" i="167"/>
  <c r="F32" i="167"/>
  <c r="D32" i="167"/>
  <c r="F31" i="167"/>
  <c r="D31" i="167"/>
  <c r="F30" i="167"/>
  <c r="D30" i="167"/>
  <c r="F29" i="167"/>
  <c r="D29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H31" i="167"/>
  <c r="G13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K32" i="167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H23" i="108"/>
  <c r="H22" i="108"/>
  <c r="H21" i="108"/>
  <c r="H20" i="108"/>
  <c r="H18" i="108"/>
  <c r="H17" i="108"/>
  <c r="H16" i="108"/>
  <c r="H15" i="108"/>
  <c r="H14" i="108"/>
  <c r="H12" i="108"/>
  <c r="H11" i="108"/>
  <c r="H10" i="108"/>
  <c r="H9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29" i="179" l="1"/>
  <c r="H30" i="179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<sst xmlns="http://schemas.openxmlformats.org/spreadsheetml/2006/main" count="1544" uniqueCount="321">
  <si>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</si>
  <si>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</si>
  <si>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</si>
  <si>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</si>
  <si>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</si>
  <si>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</si>
  <si>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</si>
  <si>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</si>
  <si>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</si>
  <si>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</si>
  <si>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</si>
  <si>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</si>
  <si>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</si>
  <si>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</si>
  <si>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</si>
  <si>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</si>
  <si>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</si>
  <si>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</si>
  <si>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</si>
  <si>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</si>
  <si>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</si>
  <si>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</si>
  <si>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</si>
  <si>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</si>
  <si>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</si>
  <si>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</si>
  <si>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</si>
  <si>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</si>
  <si>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</si>
  <si>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</si>
  <si>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</si>
  <si>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</si>
  <si>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</si>
  <si>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</si>
  <si>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</si>
  <si>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</si>
  <si>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</si>
  <si>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</si>
  <si>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</si>
  <si>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</si>
  <si>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</si>
  <si>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</si>
  <si>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</si>
  <si>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</si>
  <si>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</si>
  <si>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</si>
  <si>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</si>
  <si>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</si>
  <si>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</si>
  <si>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</si>
  <si>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</si>
  <si>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</si>
  <si>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</si>
  <si>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</si>
  <si>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</si>
  <si>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</si>
  <si>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</si>
  <si>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</si>
  <si>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</si>
  <si>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</si>
  <si>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</si>
  <si>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</si>
  <si>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</si>
  <si>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</si>
  <si>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</si>
  <si>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</si>
  <si>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</si>
  <si>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</si>
  <si>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</si>
  <si>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</si>
  <si>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</si>
  <si>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</si>
  <si>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</si>
  <si>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</si>
  <si>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</si>
  <si>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</si>
  <si>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</si>
  <si>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</si>
  <si>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</si>
  <si>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</si>
  <si>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</si>
  <si>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</si>
  <si>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</si>
  <si>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</si>
  <si>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</si>
  <si>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</si>
  <si>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</si>
  <si>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</si>
  <si>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</si>
  <si>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</si>
  <si>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</si>
  <si>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</si>
  <si>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</si>
  <si>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</si>
  <si>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</si>
  <si>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</si>
  <si>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</si>
  <si>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</si>
  <si>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</si>
  <si>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</si>
  <si>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</si>
  <si>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</si>
  <si>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</si>
  <si>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</si>
  <si>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</si>
  <si>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</si>
  <si>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</si>
  <si>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</si>
  <si>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</si>
  <si>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</si>
  <si>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</si>
  <si>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</si>
  <si>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</si>
  <si>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</si>
  <si>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</si>
  <si>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</si>
  <si>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</si>
  <si>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</si>
  <si>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</si>
  <si>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</si>
  <si>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</si>
  <si>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</si>
  <si>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</si>
  <si>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</si>
  <si>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</si>
  <si>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</si>
  <si>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</si>
  <si>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</si>
  <si>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</si>
  <si>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</si>
  <si>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</si>
  <si>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</si>
  <si>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</si>
  <si>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</si>
  <si>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</si>
  <si>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</si>
  <si>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</si>
  <si>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</si>
  <si>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</si>
  <si>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</si>
  <si>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</si>
  <si>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</si>
  <si>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</si>
  <si>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</si>
  <si>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</si>
  <si>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</si>
  <si>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</si>
  <si>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</si>
  <si>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</si>
  <si>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</si>
  <si>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</si>
  <si>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</si>
  <si>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</si>
  <si>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</si>
  <si>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</si>
  <si>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</si>
  <si>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</si>
  <si>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</si>
  <si>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</si>
  <si>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</si>
  <si>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</si>
  <si>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</si>
  <si>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</si>
  <si>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</si>
  <si>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</si>
  <si>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</si>
  <si>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</si>
  <si>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</si>
  <si>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</si>
  <si>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</si>
  <si>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</si>
  <si>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</si>
  <si>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</si>
  <si>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</si>
  <si>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</si>
  <si>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</si>
  <si>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</si>
  <si>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</si>
  <si>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</si>
  <si>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</si>
  <si>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</si>
  <si>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</si>
  <si>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</si>
  <si>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</si>
  <si>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</si>
  <si>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</si>
  <si>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</si>
  <si>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</si>
  <si>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</si>
  <si>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</si>
  <si>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</si>
  <si>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</si>
  <si>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</si>
  <si>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</si>
  <si>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</si>
  <si>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</si>
  <si>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</si>
  <si>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</si>
  <si>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</si>
  <si>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</si>
  <si>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</si>
  <si>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</si>
  <si>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</si>
  <si>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</si>
  <si>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</si>
  <si>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</si>
  <si>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</si>
  <si>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</si>
  <si>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</si>
  <si>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</si>
  <si>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</si>
  <si>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</si>
  <si>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</si>
  <si>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</si>
  <si>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</si>
  <si>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</si>
  <si>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</si>
  <si>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</si>
  <si>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</si>
  <si>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</si>
  <si>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</si>
  <si>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</si>
  <si>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</si>
  <si>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</si>
  <si>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</si>
  <si>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</si>
  <si>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</si>
  <si>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</si>
  <si>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</si>
  <si>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</si>
  <si>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</si>
  <si>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</si>
  <si>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</si>
  <si>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</si>
  <si>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</si>
  <si>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</si>
  <si>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</si>
  <si>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</si>
  <si>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</si>
  <si>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</si>
  <si>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</si>
  <si>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</si>
  <si>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</si>
  <si>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</si>
  <si>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</si>
  <si>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</si>
  <si>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</si>
  <si>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</si>
  <si>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</si>
  <si>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</si>
  <si>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</si>
  <si>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</si>
  <si>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</si>
  <si>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</si>
  <si>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</si>
  <si>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</si>
  <si>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</si>
  <si>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</si>
  <si>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</si>
  <si>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</si>
  <si>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</si>
  <si>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</si>
  <si>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</si>
  <si>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</si>
  <si>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</si>
  <si>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</si>
  <si>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</si>
  <si>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</si>
  <si>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</si>
  <si>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</si>
  <si>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</si>
  <si>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</si>
  <si>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</si>
  <si>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</si>
  <si>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</si>
  <si>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</si>
  <si>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</si>
  <si>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</si>
  <si>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</si>
  <si>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</si>
  <si>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</si>
  <si>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</si>
  <si>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</si>
  <si>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</si>
  <si>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</si>
  <si>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</si>
  <si>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</si>
  <si>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</si>
  <si>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</si>
  <si>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</si>
  <si>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</si>
  <si>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</si>
  <si>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</si>
  <si>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</si>
  <si>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</si>
  <si>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</si>
  <si>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</si>
  <si>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</si>
  <si>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</si>
  <si>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</si>
  <si>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</si>
  <si>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</si>
  <si>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</si>
  <si>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</si>
  <si>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</si>
  <si>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</si>
  <si>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</si>
  <si>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</si>
  <si>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</si>
  <si>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</si>
  <si>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Oddělení statistiky a sledování kvality</t>
  </si>
  <si>
    <t>spotřeba 
v LDS, která není 
v RDS</t>
  </si>
  <si>
    <t>Vydání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</si>
  <si>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</si>
  <si>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</si>
  <si>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GS CZ</t>
  </si>
  <si>
    <t>Společnost Gas Storage CZ, s.r.o. (provozovatel zásobníků plynu)</t>
  </si>
  <si>
    <t>plyn.statistika@eru.gov.cz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</si>
  <si>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I. ČTVRTLETÍ 2024</t>
    </r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</si>
  <si>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2024, kterou ERÚ předpokládá zveřejnit do konce května roku 2025.
</t>
  </si>
  <si>
    <t>* Prognóza spotřeby plynu do konce roku 2024 byla zpracována v prosinci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</si>
</sst>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  <numFmt numFmtId="185" formatCode="#,##0.000000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theme="3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46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0" fontId="142" fillId="0" borderId="0" xfId="1539" applyFont="1" applyAlignment="1">
      <alignment horizontal="left"/>
    </xf>
    <xf numFmtId="184" fontId="142" fillId="0" borderId="0" xfId="1539" applyNumberFormat="1" applyFont="1" applyAlignment="1">
      <alignment horizontal="left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165" fontId="45" fillId="2" borderId="25" xfId="20" applyNumberFormat="1" applyFont="1" applyFill="1" applyBorder="1" applyAlignment="1">
      <alignment horizontal="righ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16" fillId="0" borderId="0" xfId="2" applyFont="1" applyFill="1" applyBorder="1"/>
    <xf numFmtId="165" fontId="45" fillId="2" borderId="26" xfId="20" applyNumberFormat="1" applyFont="1" applyFill="1" applyBorder="1" applyAlignment="1">
      <alignment horizontal="right" vertical="center"/>
    </xf>
    <xf numFmtId="165" fontId="122" fillId="0" borderId="0" xfId="0" applyNumberFormat="1" applyFont="1" applyFill="1"/>
    <xf numFmtId="185" fontId="45" fillId="0" borderId="0" xfId="2" applyNumberFormat="1" applyFont="1" applyFill="1" applyBorder="1"/>
    <xf numFmtId="165" fontId="110" fillId="2" borderId="30" xfId="2" applyNumberFormat="1" applyFont="1" applyFill="1" applyBorder="1" applyAlignment="1">
      <alignment horizontal="right" vertical="center"/>
    </xf>
    <xf numFmtId="165" fontId="110" fillId="2" borderId="0" xfId="2" applyNumberFormat="1" applyFont="1" applyFill="1" applyBorder="1" applyAlignment="1">
      <alignment horizontal="right" vertical="center"/>
    </xf>
    <xf numFmtId="165" fontId="110" fillId="2" borderId="33" xfId="2" applyNumberFormat="1" applyFont="1" applyFill="1" applyBorder="1" applyAlignment="1">
      <alignment horizontal="right" vertical="center"/>
    </xf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165" fontId="110" fillId="2" borderId="30" xfId="20" applyNumberFormat="1" applyFont="1" applyFill="1" applyBorder="1" applyAlignment="1">
      <alignment horizontal="right" vertical="center"/>
    </xf>
    <xf numFmtId="165" fontId="110" fillId="2" borderId="0" xfId="20" applyNumberFormat="1" applyFont="1" applyFill="1" applyBorder="1" applyAlignment="1">
      <alignment horizontal="right" vertical="center"/>
    </xf>
    <xf numFmtId="164" fontId="110" fillId="2" borderId="0" xfId="1" applyNumberFormat="1" applyFont="1" applyFill="1" applyBorder="1" applyAlignment="1">
      <alignment vertical="center"/>
    </xf>
    <xf numFmtId="165" fontId="110" fillId="2" borderId="33" xfId="20" applyNumberFormat="1" applyFont="1" applyFill="1" applyBorder="1" applyAlignment="1">
      <alignment horizontal="right" vertical="center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5" xfId="20" applyNumberFormat="1" applyFont="1" applyFill="1" applyBorder="1" applyAlignment="1">
      <alignment horizontal="right" vertical="center"/>
    </xf>
    <xf numFmtId="164" fontId="110" fillId="2" borderId="25" xfId="1" applyNumberFormat="1" applyFont="1" applyFill="1" applyBorder="1" applyAlignment="1">
      <alignment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34" xfId="20" applyNumberFormat="1" applyFont="1" applyFill="1" applyBorder="1" applyAlignment="1">
      <alignment horizontal="right" vertical="center"/>
    </xf>
    <xf numFmtId="3" fontId="110" fillId="2" borderId="30" xfId="2" applyNumberFormat="1" applyFont="1" applyFill="1" applyBorder="1" applyAlignment="1">
      <alignment horizontal="right" vertical="center"/>
    </xf>
    <xf numFmtId="3" fontId="110" fillId="2" borderId="0" xfId="2" applyNumberFormat="1" applyFont="1" applyFill="1" applyBorder="1" applyAlignment="1">
      <alignment horizontal="right" vertical="center"/>
    </xf>
    <xf numFmtId="3" fontId="110" fillId="2" borderId="33" xfId="2" applyNumberFormat="1" applyFont="1" applyFill="1" applyBorder="1" applyAlignment="1">
      <alignment horizontal="right" vertical="center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92" fillId="0" borderId="0" xfId="0" applyFont="1" applyBorder="1" applyAlignment="1">
      <alignment horizontal="right"/>
    </xf>
    <xf numFmtId="0" fontId="92" fillId="0" borderId="0" xfId="0" applyFont="1" applyAlignment="1">
      <alignment horizontal="right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45" fillId="2" borderId="25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center" vertical="center" textRotation="90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0" xfId="0" applyFont="1" applyFill="1" applyBorder="1" applyAlignment="1">
      <alignment horizontal="left" vertical="top" wrapText="1"/>
    </xf>
    <xf numFmtId="0" fontId="45" fillId="2" borderId="2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9" fillId="2" borderId="6" xfId="2" applyFont="1" applyFill="1" applyBorder="1" applyAlignment="1">
      <alignment horizontal="lef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0" xfId="0" applyFont="1" applyFill="1" applyBorder="1" applyAlignment="1">
      <alignment horizontal="left" vertical="center"/>
    </xf>
    <xf numFmtId="0" fontId="109" fillId="2" borderId="25" xfId="0" applyFont="1" applyFill="1" applyBorder="1" applyAlignment="1">
      <alignment horizontal="left" vertical="center" wrapText="1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#\ ##0.0</c:formatCode>
                <c:ptCount val="12"/>
                <c:pt idx="0">
                  <c:v>463.02032292276868</c:v>
                </c:pt>
                <c:pt idx="1">
                  <c:v>557.94659742511897</c:v>
                </c:pt>
                <c:pt idx="2">
                  <c:v>337.52630422264463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#\ ##0.0</c:formatCode>
                <c:ptCount val="12"/>
                <c:pt idx="0">
                  <c:v>-20.941328995270386</c:v>
                </c:pt>
                <c:pt idx="1">
                  <c:v>-0.11417086195799998</c:v>
                </c:pt>
                <c:pt idx="2">
                  <c:v>-3.5326223853076072E-2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27587.029715665405</c:v>
                </c:pt>
                <c:pt idx="1">
                  <c:v>11263.476241418213</c:v>
                </c:pt>
                <c:pt idx="2">
                  <c:v>21127.092612722732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1051795.2482870037</c:v>
                </c:pt>
                <c:pt idx="1">
                  <c:v>891779.61654958315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707887.198002405</c:v>
                </c:pt>
                <c:pt idx="1">
                  <c:v>860767.35557490308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654939.90796707862</c:v>
                </c:pt>
                <c:pt idx="1">
                  <c:v>769268.0571902449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0.43559409877611011</c:v>
                </c:pt>
                <c:pt idx="1">
                  <c:v>0.35362610111492282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0.2931668369401717</c:v>
                </c:pt>
                <c:pt idx="1">
                  <c:v>0.3413285056869555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0.27123906428371836</c:v>
                </c:pt>
                <c:pt idx="1">
                  <c:v>0.30504539319812168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127107.811328485</c:v>
                </c:pt>
                <c:pt idx="1">
                  <c:v>104879.74624464105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82173.813024621995</c:v>
                </c:pt>
                <c:pt idx="1">
                  <c:v>99145.560802454216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71973.185295773001</c:v>
                </c:pt>
                <c:pt idx="1">
                  <c:v>85945.845000000001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0.45193115626064156</c:v>
                </c:pt>
                <c:pt idx="1">
                  <c:v>0.36169027678866184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0.29216856105397171</c:v>
                </c:pt>
                <c:pt idx="1">
                  <c:v>0.34191525640575315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0.25590028268538662</c:v>
                </c:pt>
                <c:pt idx="1">
                  <c:v>0.2963944668055849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0.42880862959998639</c:v>
                </c:pt>
                <c:pt idx="1">
                  <c:v>0.35596227774214467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0.29770613092460502</c:v>
                </c:pt>
                <c:pt idx="1">
                  <c:v>0.33903429557107823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0.27348523947540859</c:v>
                </c:pt>
                <c:pt idx="1">
                  <c:v>0.30500342668677705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843340.56519851869</c:v>
                </c:pt>
                <c:pt idx="1">
                  <c:v>724955.80042494205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585500.47593778314</c:v>
                </c:pt>
                <c:pt idx="1">
                  <c:v>690480.12805244885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537865.09998130566</c:v>
                </c:pt>
                <c:pt idx="1">
                  <c:v>621172.57123024494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40978.987000000001</c:v>
                </c:pt>
                <c:pt idx="1">
                  <c:v>36370.573989999997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28275.402330000004</c:v>
                </c:pt>
                <c:pt idx="1">
                  <c:v>34474.625010000003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25675.688989999999</c:v>
                </c:pt>
                <c:pt idx="1">
                  <c:v>30476.012999999999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0.43167547868088607</c:v>
                </c:pt>
                <c:pt idx="1">
                  <c:v>0.35896307665565619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0.29785504057719614</c:v>
                </c:pt>
                <c:pt idx="1">
                  <c:v>0.34025081549557462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0.27046948074191796</c:v>
                </c:pt>
                <c:pt idx="1">
                  <c:v>0.30078610784876908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40367.884760000008</c:v>
                </c:pt>
                <c:pt idx="1">
                  <c:v>25573.495890000006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11937.50671</c:v>
                </c:pt>
                <c:pt idx="1">
                  <c:v>36667.041710000005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19425.933699999994</c:v>
                </c:pt>
                <c:pt idx="1">
                  <c:v>31673.627960000002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#\ ##0.0</c:formatCode>
                <c:ptCount val="12"/>
                <c:pt idx="0">
                  <c:v>596.49069199999997</c:v>
                </c:pt>
                <c:pt idx="1">
                  <c:v>151.33870099999996</c:v>
                </c:pt>
                <c:pt idx="2">
                  <c:v>324.18707200000006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#\ ##0.0</c:formatCode>
                <c:ptCount val="12"/>
                <c:pt idx="0">
                  <c:v>-1.8698680000000001</c:v>
                </c:pt>
                <c:pt idx="1">
                  <c:v>-11.740470000000002</c:v>
                </c:pt>
                <c:pt idx="2">
                  <c:v>-8.933484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0.56276507738188231</c:v>
                </c:pt>
                <c:pt idx="1">
                  <c:v>0.27230711935210211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0.16641971525980662</c:v>
                </c:pt>
                <c:pt idx="1">
                  <c:v>0.39043142737156206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2024</c:v>
                </c:pt>
                <c:pt idx="1">
                  <c:v>2023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0.27081520735831116</c:v>
                </c:pt>
                <c:pt idx="1">
                  <c:v>0.33726145327633567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127107.811328485</c:v>
                </c:pt>
                <c:pt idx="1">
                  <c:v>843340.56519851869</c:v>
                </c:pt>
                <c:pt idx="2">
                  <c:v>40978.987000000001</c:v>
                </c:pt>
                <c:pt idx="3">
                  <c:v>40367.884760000008</c:v>
                </c:pt>
                <c:pt idx="4">
                  <c:v>1051795.2482870037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#\ ##0.0</c:formatCode>
                <c:ptCount val="5"/>
                <c:pt idx="0">
                  <c:v>0.90322580645161288</c:v>
                </c:pt>
                <c:pt idx="1">
                  <c:v>-0.34569892473118291</c:v>
                </c:pt>
                <c:pt idx="2">
                  <c:v>-0.51290322580645176</c:v>
                </c:pt>
                <c:pt idx="3">
                  <c:v>-0.33870967741935487</c:v>
                </c:pt>
                <c:pt idx="4">
                  <c:v>-0.33870967741935487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#\ ##0.0</c:formatCode>
                <c:ptCount val="5"/>
                <c:pt idx="0">
                  <c:v>9.5</c:v>
                </c:pt>
                <c:pt idx="1">
                  <c:v>7.666666666666667</c:v>
                </c:pt>
                <c:pt idx="2">
                  <c:v>8.1999999999999993</c:v>
                </c:pt>
                <c:pt idx="3">
                  <c:v>7.8</c:v>
                </c:pt>
                <c:pt idx="4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#\ ##0.0</c:formatCode>
                <c:ptCount val="5"/>
                <c:pt idx="0">
                  <c:v>-8.1</c:v>
                </c:pt>
                <c:pt idx="1">
                  <c:v>-9.5166666666666657</c:v>
                </c:pt>
                <c:pt idx="2">
                  <c:v>-10.4</c:v>
                </c:pt>
                <c:pt idx="3">
                  <c:v>-9.6</c:v>
                </c:pt>
                <c:pt idx="4">
                  <c:v>-9.6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0.12084843655216918</c:v>
                </c:pt>
                <c:pt idx="1">
                  <c:v>0.80181058677724326</c:v>
                </c:pt>
                <c:pt idx="2">
                  <c:v>3.8960992709122844E-2</c:v>
                </c:pt>
                <c:pt idx="3">
                  <c:v>3.837998396146472E-2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82173.813024621995</c:v>
                </c:pt>
                <c:pt idx="1">
                  <c:v>585500.47593778314</c:v>
                </c:pt>
                <c:pt idx="2">
                  <c:v>28275.402330000004</c:v>
                </c:pt>
                <c:pt idx="3">
                  <c:v>11937.50671</c:v>
                </c:pt>
                <c:pt idx="4">
                  <c:v>707887.19800240512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#\ ##0.0</c:formatCode>
                <c:ptCount val="5"/>
                <c:pt idx="0">
                  <c:v>7.0214285714285696</c:v>
                </c:pt>
                <c:pt idx="1">
                  <c:v>5.8827380952380972</c:v>
                </c:pt>
                <c:pt idx="2">
                  <c:v>5.6821428571428578</c:v>
                </c:pt>
                <c:pt idx="3">
                  <c:v>5.8928571428571415</c:v>
                </c:pt>
                <c:pt idx="4">
                  <c:v>5.8928571428571415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#\ ##0.0</c:formatCode>
                <c:ptCount val="5"/>
                <c:pt idx="0">
                  <c:v>10.4</c:v>
                </c:pt>
                <c:pt idx="1">
                  <c:v>8.5833333333333339</c:v>
                </c:pt>
                <c:pt idx="2">
                  <c:v>8.5</c:v>
                </c:pt>
                <c:pt idx="3">
                  <c:v>8.6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#\ ##0.0</c:formatCode>
                <c:ptCount val="5"/>
                <c:pt idx="0">
                  <c:v>2.6</c:v>
                </c:pt>
                <c:pt idx="1">
                  <c:v>2.85</c:v>
                </c:pt>
                <c:pt idx="2">
                  <c:v>2.2000000000000002</c:v>
                </c:pt>
                <c:pt idx="3">
                  <c:v>2.8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0.11608320260135967</c:v>
                </c:pt>
                <c:pt idx="1">
                  <c:v>0.82710985251606972</c:v>
                </c:pt>
                <c:pt idx="2">
                  <c:v>3.994337291278989E-2</c:v>
                </c:pt>
                <c:pt idx="3">
                  <c:v>1.6863571969780757E-2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71973.185295773001</c:v>
                </c:pt>
                <c:pt idx="1">
                  <c:v>537865.09998130566</c:v>
                </c:pt>
                <c:pt idx="2">
                  <c:v>25675.688989999999</c:v>
                </c:pt>
                <c:pt idx="3">
                  <c:v>19425.933699999994</c:v>
                </c:pt>
                <c:pt idx="4">
                  <c:v>654939.90796707873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#\ ##0.0</c:formatCode>
                <c:ptCount val="12"/>
                <c:pt idx="0">
                  <c:v>1051.7952206812033</c:v>
                </c:pt>
                <c:pt idx="1">
                  <c:v>707.88728525791282</c:v>
                </c:pt>
                <c:pt idx="2">
                  <c:v>654.93987099440471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#\ ##0.0</c:formatCode>
                <c:ptCount val="12"/>
                <c:pt idx="0">
                  <c:v>1084.902433081342</c:v>
                </c:pt>
                <c:pt idx="1">
                  <c:v>880.8213424271529</c:v>
                </c:pt>
                <c:pt idx="2">
                  <c:v>785.87253041470785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#\ ##0.0</c:formatCode>
                <c:ptCount val="5"/>
                <c:pt idx="0">
                  <c:v>8.5967741935483879</c:v>
                </c:pt>
                <c:pt idx="1">
                  <c:v>7.2564516129032253</c:v>
                </c:pt>
                <c:pt idx="2">
                  <c:v>6.7645161290322573</c:v>
                </c:pt>
                <c:pt idx="3">
                  <c:v>7.2451612903225797</c:v>
                </c:pt>
                <c:pt idx="4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#\ ##0.0</c:formatCode>
                <c:ptCount val="5"/>
                <c:pt idx="0">
                  <c:v>15.8</c:v>
                </c:pt>
                <c:pt idx="1">
                  <c:v>14.616666666666667</c:v>
                </c:pt>
                <c:pt idx="2">
                  <c:v>14</c:v>
                </c:pt>
                <c:pt idx="3">
                  <c:v>14.6</c:v>
                </c:pt>
                <c:pt idx="4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#\ ##0.0</c:formatCode>
                <c:ptCount val="5"/>
                <c:pt idx="0">
                  <c:v>3.5</c:v>
                </c:pt>
                <c:pt idx="1">
                  <c:v>2.0666666666666669</c:v>
                </c:pt>
                <c:pt idx="2">
                  <c:v>2.4</c:v>
                </c:pt>
                <c:pt idx="3">
                  <c:v>2.2000000000000002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0.10989280759997727</c:v>
                </c:pt>
                <c:pt idx="1">
                  <c:v>0.82124343537230604</c:v>
                </c:pt>
                <c:pt idx="2">
                  <c:v>3.9203121809597556E-2</c:v>
                </c:pt>
                <c:pt idx="3">
                  <c:v>2.9660635218119066E-2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281254.80964888004</c:v>
                </c:pt>
                <c:pt idx="1">
                  <c:v>1966706.1411176075</c:v>
                </c:pt>
                <c:pt idx="2">
                  <c:v>94930.078319999986</c:v>
                </c:pt>
                <c:pt idx="3">
                  <c:v>71731.325169999996</c:v>
                </c:pt>
                <c:pt idx="4">
                  <c:v>2414622.354256487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#\ ##0.0</c:formatCode>
                <c:ptCount val="5"/>
                <c:pt idx="0">
                  <c:v>5.5071428571428571</c:v>
                </c:pt>
                <c:pt idx="1">
                  <c:v>4.2644969278033793</c:v>
                </c:pt>
                <c:pt idx="2">
                  <c:v>3.9779185867895546</c:v>
                </c:pt>
                <c:pt idx="3">
                  <c:v>4.2664362519201218</c:v>
                </c:pt>
                <c:pt idx="4">
                  <c:v>4.2664362519201218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#\ ##0.0</c:formatCode>
                <c:ptCount val="5"/>
                <c:pt idx="0">
                  <c:v>15.8</c:v>
                </c:pt>
                <c:pt idx="1">
                  <c:v>14.616666666666667</c:v>
                </c:pt>
                <c:pt idx="2">
                  <c:v>14</c:v>
                </c:pt>
                <c:pt idx="3">
                  <c:v>14.6</c:v>
                </c:pt>
                <c:pt idx="4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#\ ##0.0</c:formatCode>
                <c:ptCount val="5"/>
                <c:pt idx="0">
                  <c:v>-8.1</c:v>
                </c:pt>
                <c:pt idx="1">
                  <c:v>-9.5166666666666657</c:v>
                </c:pt>
                <c:pt idx="2">
                  <c:v>-10.4</c:v>
                </c:pt>
                <c:pt idx="3">
                  <c:v>-9.6</c:v>
                </c:pt>
                <c:pt idx="4">
                  <c:v>-9.6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0.11647983344189833</c:v>
                </c:pt>
                <c:pt idx="1">
                  <c:v>0.81449844016009598</c:v>
                </c:pt>
                <c:pt idx="2">
                  <c:v>3.9314668876753174E-2</c:v>
                </c:pt>
                <c:pt idx="3">
                  <c:v>2.9707057521252668E-2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281254.80964888004</c:v>
                </c:pt>
                <c:pt idx="1">
                  <c:v>1966706.1411176075</c:v>
                </c:pt>
                <c:pt idx="2">
                  <c:v>94930.078320000001</c:v>
                </c:pt>
                <c:pt idx="3">
                  <c:v>71731.325169999996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388181.77879999997</c:v>
                </c:pt>
                <c:pt idx="1">
                  <c:v>1557281.35445</c:v>
                </c:pt>
                <c:pt idx="2">
                  <c:v>296509.99501000001</c:v>
                </c:pt>
                <c:pt idx="3">
                  <c:v>492093.33069999999</c:v>
                </c:pt>
                <c:pt idx="4">
                  <c:v>474398.70804</c:v>
                </c:pt>
                <c:pt idx="5">
                  <c:v>1188570.5760600001</c:v>
                </c:pt>
                <c:pt idx="6">
                  <c:v>702631.13861000014</c:v>
                </c:pt>
                <c:pt idx="7">
                  <c:v>501184.45275</c:v>
                </c:pt>
                <c:pt idx="8">
                  <c:v>520572.39757000003</c:v>
                </c:pt>
                <c:pt idx="9">
                  <c:v>1364882.2313489451</c:v>
                </c:pt>
                <c:pt idx="10">
                  <c:v>1443955.0810669998</c:v>
                </c:pt>
                <c:pt idx="11">
                  <c:v>1348789.4549129999</c:v>
                </c:pt>
                <c:pt idx="12">
                  <c:v>466419.06572999997</c:v>
                </c:pt>
                <c:pt idx="13">
                  <c:v>590799.55590999988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#\ ##0.0</c:formatCode>
                <c:ptCount val="14"/>
                <c:pt idx="0">
                  <c:v>-0.64193548387096777</c:v>
                </c:pt>
                <c:pt idx="1">
                  <c:v>0.50967741935483879</c:v>
                </c:pt>
                <c:pt idx="2">
                  <c:v>-0.89032258064516134</c:v>
                </c:pt>
                <c:pt idx="3">
                  <c:v>-0.86451612903225805</c:v>
                </c:pt>
                <c:pt idx="4">
                  <c:v>-0.54838709677419339</c:v>
                </c:pt>
                <c:pt idx="5">
                  <c:v>-0.26774193548387121</c:v>
                </c:pt>
                <c:pt idx="6">
                  <c:v>-0.53225806451612923</c:v>
                </c:pt>
                <c:pt idx="7">
                  <c:v>-0.23870967741935459</c:v>
                </c:pt>
                <c:pt idx="8">
                  <c:v>-0.22903225806451624</c:v>
                </c:pt>
                <c:pt idx="9">
                  <c:v>1.2096774193548385</c:v>
                </c:pt>
                <c:pt idx="10">
                  <c:v>0.2741935483870967</c:v>
                </c:pt>
                <c:pt idx="11">
                  <c:v>-0.20322580645161273</c:v>
                </c:pt>
                <c:pt idx="12">
                  <c:v>-0.71290322580645138</c:v>
                </c:pt>
                <c:pt idx="13">
                  <c:v>-0.6032258064516125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#\ ##0.0</c:formatCode>
                <c:ptCount val="12"/>
                <c:pt idx="0">
                  <c:v>-0.33870967741935487</c:v>
                </c:pt>
                <c:pt idx="1">
                  <c:v>5.8928571428571415</c:v>
                </c:pt>
                <c:pt idx="2">
                  <c:v>7.2451612903225797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#\ 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#\ ##0.0</c:formatCode>
                <c:ptCount val="14"/>
                <c:pt idx="0">
                  <c:v>5.6035714285714286</c:v>
                </c:pt>
                <c:pt idx="1">
                  <c:v>6.8928571428571432</c:v>
                </c:pt>
                <c:pt idx="2">
                  <c:v>4.5999999999999996</c:v>
                </c:pt>
                <c:pt idx="3">
                  <c:v>5.1749999999999998</c:v>
                </c:pt>
                <c:pt idx="4">
                  <c:v>5.4214285714285708</c:v>
                </c:pt>
                <c:pt idx="5">
                  <c:v>6.6714285714285717</c:v>
                </c:pt>
                <c:pt idx="6">
                  <c:v>6.0392857142857137</c:v>
                </c:pt>
                <c:pt idx="7">
                  <c:v>5.9535714285714292</c:v>
                </c:pt>
                <c:pt idx="8">
                  <c:v>5.9750000000000005</c:v>
                </c:pt>
                <c:pt idx="9">
                  <c:v>7.2892857142857137</c:v>
                </c:pt>
                <c:pt idx="10">
                  <c:v>6.3571428571428594</c:v>
                </c:pt>
                <c:pt idx="11">
                  <c:v>6.1928571428571431</c:v>
                </c:pt>
                <c:pt idx="12">
                  <c:v>5.4285714285714288</c:v>
                </c:pt>
                <c:pt idx="13">
                  <c:v>6.0678571428571431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267414.60471000004</c:v>
                </c:pt>
                <c:pt idx="1">
                  <c:v>1004665.28059</c:v>
                </c:pt>
                <c:pt idx="2">
                  <c:v>241230.82232000001</c:v>
                </c:pt>
                <c:pt idx="3">
                  <c:v>325839.24401999998</c:v>
                </c:pt>
                <c:pt idx="4">
                  <c:v>323427.92209000001</c:v>
                </c:pt>
                <c:pt idx="5">
                  <c:v>825035.10092999996</c:v>
                </c:pt>
                <c:pt idx="6">
                  <c:v>452560.23119999998</c:v>
                </c:pt>
                <c:pt idx="7">
                  <c:v>338247.23313999997</c:v>
                </c:pt>
                <c:pt idx="8">
                  <c:v>366438.86361</c:v>
                </c:pt>
                <c:pt idx="9">
                  <c:v>881073.52814804204</c:v>
                </c:pt>
                <c:pt idx="10">
                  <c:v>1004644.307627</c:v>
                </c:pt>
                <c:pt idx="11">
                  <c:v>798716.32555900002</c:v>
                </c:pt>
                <c:pt idx="12">
                  <c:v>314868.21127000003</c:v>
                </c:pt>
                <c:pt idx="13">
                  <c:v>399015.79629999999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#\ ##0.0</c:formatCode>
                <c:ptCount val="14"/>
                <c:pt idx="0">
                  <c:v>6.7387096774193553</c:v>
                </c:pt>
                <c:pt idx="1">
                  <c:v>8.5903225806451609</c:v>
                </c:pt>
                <c:pt idx="2">
                  <c:v>5.6419354838709701</c:v>
                </c:pt>
                <c:pt idx="3">
                  <c:v>7.0580645161290319</c:v>
                </c:pt>
                <c:pt idx="4">
                  <c:v>7.1516129032258071</c:v>
                </c:pt>
                <c:pt idx="5">
                  <c:v>7.9354838709677402</c:v>
                </c:pt>
                <c:pt idx="6">
                  <c:v>7.6032258064516123</c:v>
                </c:pt>
                <c:pt idx="7">
                  <c:v>7.5612903225806445</c:v>
                </c:pt>
                <c:pt idx="8">
                  <c:v>6.9258064516129032</c:v>
                </c:pt>
                <c:pt idx="9">
                  <c:v>8.9064516129032274</c:v>
                </c:pt>
                <c:pt idx="10">
                  <c:v>7.7677419354838717</c:v>
                </c:pt>
                <c:pt idx="11">
                  <c:v>7.3645161290322578</c:v>
                </c:pt>
                <c:pt idx="12">
                  <c:v>6.6064516129032258</c:v>
                </c:pt>
                <c:pt idx="13">
                  <c:v>7.4580645161290331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242627.97526000001</c:v>
                </c:pt>
                <c:pt idx="1">
                  <c:v>892581.53393999976</c:v>
                </c:pt>
                <c:pt idx="2">
                  <c:v>228608.55879000004</c:v>
                </c:pt>
                <c:pt idx="3">
                  <c:v>288507.89970000001</c:v>
                </c:pt>
                <c:pt idx="4">
                  <c:v>282290.85813999997</c:v>
                </c:pt>
                <c:pt idx="5">
                  <c:v>785297.65408999997</c:v>
                </c:pt>
                <c:pt idx="6">
                  <c:v>404946.7372899999</c:v>
                </c:pt>
                <c:pt idx="7">
                  <c:v>307825.95036000008</c:v>
                </c:pt>
                <c:pt idx="8">
                  <c:v>334555.80345999997</c:v>
                </c:pt>
                <c:pt idx="9">
                  <c:v>769051.58851394395</c:v>
                </c:pt>
                <c:pt idx="10">
                  <c:v>931554.07286400034</c:v>
                </c:pt>
                <c:pt idx="11">
                  <c:v>881810.78083200008</c:v>
                </c:pt>
                <c:pt idx="12">
                  <c:v>286430.28234000009</c:v>
                </c:pt>
                <c:pt idx="13">
                  <c:v>355137.47454000002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#\ ##0.0</c:formatCode>
                <c:ptCount val="14"/>
                <c:pt idx="0">
                  <c:v>3.9001152073732719</c:v>
                </c:pt>
                <c:pt idx="1">
                  <c:v>5.3309523809523816</c:v>
                </c:pt>
                <c:pt idx="2">
                  <c:v>3.1172043010752692</c:v>
                </c:pt>
                <c:pt idx="3">
                  <c:v>3.7895161290322577</c:v>
                </c:pt>
                <c:pt idx="4">
                  <c:v>4.0082181259600622</c:v>
                </c:pt>
                <c:pt idx="5">
                  <c:v>4.7797235023041473</c:v>
                </c:pt>
                <c:pt idx="6">
                  <c:v>4.370084485407066</c:v>
                </c:pt>
                <c:pt idx="7">
                  <c:v>4.4253840245775731</c:v>
                </c:pt>
                <c:pt idx="8">
                  <c:v>4.2239247311827954</c:v>
                </c:pt>
                <c:pt idx="9">
                  <c:v>5.8018049155145937</c:v>
                </c:pt>
                <c:pt idx="10">
                  <c:v>4.799692780337943</c:v>
                </c:pt>
                <c:pt idx="11">
                  <c:v>4.4513824884792621</c:v>
                </c:pt>
                <c:pt idx="12">
                  <c:v>3.7740399385560672</c:v>
                </c:pt>
                <c:pt idx="13">
                  <c:v>4.307565284178188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898224.35877000005</c:v>
                </c:pt>
                <c:pt idx="1">
                  <c:v>3454528.1689799996</c:v>
                </c:pt>
                <c:pt idx="2">
                  <c:v>766349.37612000015</c:v>
                </c:pt>
                <c:pt idx="3">
                  <c:v>1106440.4744199999</c:v>
                </c:pt>
                <c:pt idx="4">
                  <c:v>1080117.4882700001</c:v>
                </c:pt>
                <c:pt idx="5">
                  <c:v>2798903.3310799999</c:v>
                </c:pt>
                <c:pt idx="6">
                  <c:v>1560138.1071000001</c:v>
                </c:pt>
                <c:pt idx="7">
                  <c:v>1147257.63625</c:v>
                </c:pt>
                <c:pt idx="8">
                  <c:v>1221567.06464</c:v>
                </c:pt>
                <c:pt idx="9">
                  <c:v>3015007.3480109312</c:v>
                </c:pt>
                <c:pt idx="10">
                  <c:v>3380153.4615580002</c:v>
                </c:pt>
                <c:pt idx="11">
                  <c:v>3029316.5613040002</c:v>
                </c:pt>
                <c:pt idx="12">
                  <c:v>1067717.5593400002</c:v>
                </c:pt>
                <c:pt idx="13">
                  <c:v>1344952.8267500002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1541</c:v>
                </c:pt>
                <c:pt idx="1">
                  <c:v>6018</c:v>
                </c:pt>
                <c:pt idx="2">
                  <c:v>201951</c:v>
                </c:pt>
                <c:pt idx="3">
                  <c:v>2534993</c:v>
                </c:pt>
                <c:pt idx="4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#\ ##0.0</c:formatCode>
                <c:ptCount val="4"/>
                <c:pt idx="0">
                  <c:v>951.07421787183603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#\ ##0.0</c:formatCode>
                <c:ptCount val="4"/>
                <c:pt idx="0">
                  <c:v>240.06593152983899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#\ ##0.0</c:formatCode>
                <c:ptCount val="4"/>
                <c:pt idx="0">
                  <c:v>415.43426502247405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#\ ##0.0</c:formatCode>
                <c:ptCount val="4"/>
                <c:pt idx="0">
                  <c:v>746.19069889336299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#\ ##0.0</c:formatCode>
                <c:ptCount val="4"/>
                <c:pt idx="0">
                  <c:v>22.776600120695001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10357.751521942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2614.6421453799999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4524.2474998255457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8126.0936473153852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247.93894812999997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45945.931301432684</c:v>
                </c:pt>
                <c:pt idx="1">
                  <c:v>23360.961536466129</c:v>
                </c:pt>
                <c:pt idx="2">
                  <c:v>33928.878086490426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32628.070022694737</c:v>
                </c:pt>
                <c:pt idx="1">
                  <c:v>19433.703483188878</c:v>
                </c:pt>
                <c:pt idx="2">
                  <c:v>24409.906388203883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4977583</xdr:rowOff>
    </xdr:from>
    <xdr:to>
      <xdr:col>2</xdr:col>
      <xdr:colOff>985</xdr:colOff>
      <xdr:row>1</xdr:row>
      <xdr:rowOff>4633682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4977583"/>
          <a:ext cx="6430360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1569938</xdr:colOff>
      <xdr:row>1</xdr:row>
      <xdr:rowOff>3582605</xdr:rowOff>
    </xdr:from>
    <xdr:to>
      <xdr:col>2</xdr:col>
      <xdr:colOff>47128</xdr:colOff>
      <xdr:row>2</xdr:row>
      <xdr:rowOff>46623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63" y="8662605"/>
          <a:ext cx="2001440" cy="12900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20</xdr:col>
      <xdr:colOff>9525</xdr:colOff>
      <xdr:row>38</xdr:row>
      <xdr:rowOff>96165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59C96F1-F475-4E06-80EB-889A69B4C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8675"/>
          <a:ext cx="6305550" cy="6163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51</xdr:row>
      <xdr:rowOff>123825</xdr:rowOff>
    </xdr:from>
    <xdr:to>
      <xdr:col>5</xdr:col>
      <xdr:colOff>268210</xdr:colOff>
      <xdr:row>57</xdr:row>
      <xdr:rowOff>152399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979DC28-618F-489C-8272-5CFAC0F6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4867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activeCell="E1" sqref="E1"/>
    </sheetView>
  </sheetViews>
  <sheetFormatPr defaultColWidth="9.1796875" defaultRowHeight="12.5"/>
  <cols>
    <col min="1" max="1" width="41.54296875" style="134" customWidth="1"/>
    <col min="2" max="2" width="50.453125" style="134" customWidth="1"/>
    <col min="3" max="9" width="9.81640625" style="134" customWidth="1"/>
    <col min="10" max="10" width="10.26953125" style="134" customWidth="1"/>
    <col min="11" max="16384" width="9.1796875" style="134"/>
  </cols>
  <sheetData>
    <row r="1" spans="1:11" ht="399.75" customHeight="1">
      <c r="A1" s="424" t="s">
        <v>318</v>
      </c>
      <c r="B1" s="425"/>
    </row>
    <row r="2" spans="1:11" ht="380.15" customHeight="1">
      <c r="A2" s="135"/>
      <c r="B2" s="136"/>
      <c r="C2" s="137"/>
      <c r="D2" s="137"/>
      <c r="E2" s="137"/>
      <c r="F2" s="137"/>
      <c r="G2" s="137"/>
      <c r="H2" s="137"/>
      <c r="I2" s="137"/>
      <c r="J2" s="137"/>
      <c r="K2" s="134" t="s">
        <v>257</v>
      </c>
    </row>
    <row r="3" spans="1:11" ht="13">
      <c r="B3" s="138"/>
      <c r="D3" s="139"/>
      <c r="E3" s="140"/>
      <c r="F3" s="140"/>
      <c r="G3" s="140"/>
      <c r="J3" s="141"/>
    </row>
    <row r="9" spans="1:11" ht="13">
      <c r="B9" s="142"/>
      <c r="I9" s="143"/>
    </row>
    <row r="10" spans="1:11">
      <c r="B10" s="144"/>
      <c r="C10" s="145"/>
    </row>
    <row r="11" spans="1:11">
      <c r="B11" s="144"/>
      <c r="C11" s="145"/>
    </row>
    <row r="12" spans="1:11">
      <c r="B12" s="144"/>
      <c r="C12" s="145"/>
    </row>
    <row r="13" spans="1:11">
      <c r="A13" s="146"/>
      <c r="B13" s="147"/>
      <c r="C13" s="148"/>
      <c r="D13" s="146"/>
      <c r="E13" s="146"/>
      <c r="F13" s="146"/>
      <c r="G13" s="146"/>
      <c r="H13" s="146"/>
      <c r="I13" s="146"/>
      <c r="J13" s="146"/>
    </row>
    <row r="14" spans="1:11">
      <c r="A14" s="146"/>
      <c r="B14" s="147"/>
      <c r="C14" s="148"/>
      <c r="D14" s="146"/>
      <c r="E14" s="146"/>
      <c r="F14" s="146"/>
      <c r="G14" s="146"/>
      <c r="H14" s="146"/>
      <c r="I14" s="146"/>
      <c r="J14" s="146"/>
    </row>
    <row r="15" spans="1:11">
      <c r="A15" s="146"/>
      <c r="B15" s="147"/>
      <c r="C15" s="148"/>
      <c r="D15" s="146"/>
      <c r="E15" s="146"/>
      <c r="F15" s="146"/>
      <c r="G15" s="146"/>
      <c r="H15" s="146"/>
      <c r="I15" s="146"/>
      <c r="J15" s="146"/>
    </row>
    <row r="16" spans="1:11">
      <c r="A16" s="146"/>
      <c r="B16" s="147"/>
      <c r="C16" s="148"/>
      <c r="D16" s="146"/>
      <c r="E16" s="146"/>
      <c r="F16" s="146"/>
      <c r="G16" s="146"/>
      <c r="H16" s="146"/>
      <c r="I16" s="146"/>
      <c r="J16" s="146"/>
    </row>
    <row r="17" spans="1:10">
      <c r="A17" s="146"/>
      <c r="B17" s="147"/>
      <c r="C17" s="148"/>
      <c r="D17" s="146"/>
      <c r="E17" s="146"/>
      <c r="F17" s="146"/>
      <c r="G17" s="146"/>
      <c r="H17" s="146"/>
      <c r="I17" s="146"/>
      <c r="J17" s="146"/>
    </row>
    <row r="18" spans="1:10">
      <c r="A18" s="146"/>
      <c r="B18" s="147"/>
      <c r="C18" s="148"/>
      <c r="D18" s="146"/>
      <c r="E18" s="146"/>
      <c r="F18" s="146"/>
      <c r="G18" s="146"/>
      <c r="H18" s="146"/>
      <c r="I18" s="146"/>
      <c r="J18" s="146"/>
    </row>
    <row r="19" spans="1:10">
      <c r="A19" s="146"/>
      <c r="B19" s="147"/>
      <c r="C19" s="148"/>
      <c r="D19" s="146"/>
      <c r="E19" s="146"/>
      <c r="F19" s="146"/>
      <c r="G19" s="146"/>
      <c r="H19" s="146"/>
      <c r="I19" s="146"/>
      <c r="J19" s="146"/>
    </row>
    <row r="21" spans="1:10">
      <c r="A21" s="146"/>
      <c r="B21" s="147"/>
      <c r="C21" s="148"/>
      <c r="D21" s="146"/>
      <c r="E21" s="146"/>
      <c r="F21" s="146"/>
      <c r="G21" s="146"/>
      <c r="H21" s="146"/>
      <c r="I21" s="146"/>
      <c r="J21" s="146"/>
    </row>
    <row r="22" spans="1:10">
      <c r="A22" s="146"/>
      <c r="B22" s="147"/>
      <c r="C22" s="148"/>
      <c r="D22" s="146"/>
      <c r="E22" s="146"/>
      <c r="F22" s="146"/>
      <c r="G22" s="146"/>
      <c r="H22" s="146"/>
      <c r="I22" s="146"/>
      <c r="J22" s="146"/>
    </row>
    <row r="23" spans="1:10">
      <c r="A23" s="146"/>
      <c r="B23" s="147"/>
      <c r="C23" s="148"/>
      <c r="D23" s="146"/>
      <c r="E23" s="146"/>
      <c r="F23" s="146"/>
      <c r="G23" s="146"/>
      <c r="H23" s="146"/>
      <c r="I23" s="146"/>
      <c r="J23" s="146"/>
    </row>
    <row r="25" spans="1:10">
      <c r="A25" s="146"/>
      <c r="C25" s="148"/>
      <c r="D25" s="146"/>
      <c r="E25" s="146"/>
      <c r="F25" s="146"/>
      <c r="G25" s="146"/>
      <c r="H25" s="146"/>
      <c r="I25" s="146"/>
      <c r="J25" s="146"/>
    </row>
    <row r="26" spans="1:10">
      <c r="A26" s="146"/>
      <c r="C26" s="148"/>
      <c r="D26" s="146"/>
      <c r="E26" s="146"/>
      <c r="F26" s="146"/>
      <c r="G26" s="146"/>
      <c r="H26" s="146"/>
      <c r="I26" s="146"/>
      <c r="J26" s="146"/>
    </row>
    <row r="27" spans="1:10">
      <c r="A27" s="146"/>
      <c r="C27" s="148"/>
      <c r="D27" s="146"/>
      <c r="E27" s="146"/>
      <c r="F27" s="146"/>
      <c r="G27" s="146"/>
      <c r="H27" s="146"/>
      <c r="I27" s="146"/>
      <c r="J27" s="146"/>
    </row>
    <row r="28" spans="1:10" ht="13">
      <c r="A28" s="426"/>
      <c r="B28" s="426"/>
      <c r="C28" s="426"/>
      <c r="D28" s="426"/>
      <c r="E28" s="426"/>
      <c r="F28" s="426"/>
      <c r="G28" s="426"/>
      <c r="H28" s="426"/>
      <c r="I28" s="426"/>
      <c r="J28" s="426"/>
    </row>
    <row r="29" spans="1:10">
      <c r="A29" s="146"/>
      <c r="B29" s="147"/>
      <c r="C29" s="148"/>
      <c r="D29" s="146"/>
      <c r="E29" s="146"/>
      <c r="F29" s="146"/>
      <c r="G29" s="146"/>
      <c r="H29" s="146"/>
      <c r="I29" s="146"/>
      <c r="J29" s="146"/>
    </row>
    <row r="31" spans="1:10">
      <c r="A31" s="146"/>
      <c r="B31" s="147"/>
      <c r="C31" s="148"/>
      <c r="D31" s="146"/>
      <c r="E31" s="146"/>
      <c r="F31" s="146"/>
      <c r="G31" s="146"/>
      <c r="H31" s="146"/>
      <c r="I31" s="146"/>
      <c r="J31" s="146"/>
    </row>
    <row r="32" spans="1:10">
      <c r="A32" s="146"/>
      <c r="B32" s="147"/>
      <c r="C32" s="148"/>
      <c r="D32" s="146"/>
      <c r="E32" s="146"/>
      <c r="F32" s="146"/>
      <c r="G32" s="146"/>
      <c r="H32" s="146"/>
      <c r="I32" s="146"/>
      <c r="J32" s="146"/>
    </row>
    <row r="33" spans="1:10" ht="13">
      <c r="A33" s="427"/>
      <c r="B33" s="427"/>
      <c r="C33" s="427"/>
      <c r="D33" s="427"/>
      <c r="E33" s="427"/>
      <c r="F33" s="427"/>
      <c r="G33" s="427"/>
      <c r="H33" s="427"/>
      <c r="I33" s="427"/>
      <c r="J33" s="427"/>
    </row>
    <row r="34" spans="1:10" ht="13">
      <c r="B34" s="141"/>
      <c r="C34" s="141"/>
      <c r="D34" s="141"/>
      <c r="E34" s="141"/>
      <c r="F34" s="141"/>
      <c r="G34" s="141"/>
      <c r="H34" s="141"/>
      <c r="I34" s="141"/>
      <c r="J34" s="141"/>
    </row>
    <row r="37" spans="1:10">
      <c r="B37" s="144"/>
      <c r="C37" s="145"/>
    </row>
    <row r="39" spans="1:10" ht="13">
      <c r="B39" s="149"/>
      <c r="C39" s="149"/>
      <c r="D39" s="149"/>
      <c r="E39" s="149"/>
      <c r="F39" s="149"/>
      <c r="G39" s="149"/>
      <c r="H39" s="149"/>
      <c r="I39" s="149"/>
    </row>
    <row r="50" spans="1:10">
      <c r="A50" s="428"/>
      <c r="B50" s="428"/>
      <c r="C50" s="428"/>
      <c r="D50" s="428"/>
      <c r="E50" s="428"/>
      <c r="F50" s="428"/>
      <c r="G50" s="428"/>
      <c r="H50" s="428"/>
      <c r="I50" s="428"/>
      <c r="J50" s="428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18.453125" style="76" customWidth="1"/>
    <col min="2" max="10" width="9" style="76" customWidth="1"/>
    <col min="11" max="12" width="7.7265625" style="76" customWidth="1"/>
    <col min="13" max="13" width="9.26953125" style="76" bestFit="1" customWidth="1"/>
    <col min="14" max="14" width="9.81640625" style="76" bestFit="1" customWidth="1"/>
    <col min="15" max="16384" width="9.1796875" style="76"/>
  </cols>
  <sheetData>
    <row r="1" spans="1:10" ht="18">
      <c r="A1" s="482" t="s">
        <v>294</v>
      </c>
      <c r="B1" s="482"/>
      <c r="C1" s="482"/>
      <c r="D1" s="482"/>
      <c r="E1" s="482"/>
      <c r="F1" s="482"/>
      <c r="G1" s="482"/>
      <c r="H1" s="482"/>
      <c r="I1" s="482"/>
      <c r="J1" s="482"/>
    </row>
    <row r="2" spans="1:10" ht="6" customHeight="1">
      <c r="A2" s="253"/>
      <c r="B2" s="254"/>
      <c r="C2" s="254"/>
      <c r="D2" s="254"/>
      <c r="E2" s="254"/>
      <c r="F2" s="254"/>
      <c r="G2" s="254"/>
      <c r="H2" s="254"/>
      <c r="I2" s="254"/>
      <c r="J2" s="254"/>
    </row>
    <row r="3" spans="1:10" ht="15.75" customHeight="1">
      <c r="A3" s="299">
        <f>'3.1'!A4</f>
        <v>2024</v>
      </c>
      <c r="B3" s="484" t="str">
        <f>'3.1'!D5</f>
        <v>Leden</v>
      </c>
      <c r="C3" s="483"/>
      <c r="D3" s="485"/>
      <c r="E3" s="483" t="str">
        <f>'3.1'!E5</f>
        <v>Únor</v>
      </c>
      <c r="F3" s="483"/>
      <c r="G3" s="483"/>
      <c r="H3" s="484" t="str">
        <f>'3.1'!F5</f>
        <v>Březen</v>
      </c>
      <c r="I3" s="483"/>
      <c r="J3" s="483"/>
    </row>
    <row r="4" spans="1:10" ht="28.5" customHeight="1">
      <c r="A4" s="273"/>
      <c r="B4" s="486" t="s">
        <v>60</v>
      </c>
      <c r="C4" s="487"/>
      <c r="D4" s="222" t="s">
        <v>183</v>
      </c>
      <c r="E4" s="487" t="s">
        <v>60</v>
      </c>
      <c r="F4" s="487"/>
      <c r="G4" s="219" t="s">
        <v>183</v>
      </c>
      <c r="H4" s="486" t="s">
        <v>60</v>
      </c>
      <c r="I4" s="487"/>
      <c r="J4" s="219" t="s">
        <v>183</v>
      </c>
    </row>
    <row r="5" spans="1:10" ht="15" customHeight="1">
      <c r="A5" s="261" t="s">
        <v>175</v>
      </c>
      <c r="B5" s="221" t="s">
        <v>259</v>
      </c>
      <c r="C5" s="219" t="s">
        <v>260</v>
      </c>
      <c r="D5" s="222" t="s">
        <v>228</v>
      </c>
      <c r="E5" s="219" t="s">
        <v>259</v>
      </c>
      <c r="F5" s="219" t="s">
        <v>260</v>
      </c>
      <c r="G5" s="219" t="s">
        <v>228</v>
      </c>
      <c r="H5" s="221" t="s">
        <v>259</v>
      </c>
      <c r="I5" s="219" t="s">
        <v>260</v>
      </c>
      <c r="J5" s="219" t="s">
        <v>228</v>
      </c>
    </row>
    <row r="6" spans="1:10" ht="12.65" customHeight="1">
      <c r="A6" s="154">
        <v>1</v>
      </c>
      <c r="B6" s="155">
        <v>23360.961536466129</v>
      </c>
      <c r="C6" s="156">
        <v>254559.02166658064</v>
      </c>
      <c r="D6" s="267">
        <v>4.0999999999999996</v>
      </c>
      <c r="E6" s="156">
        <v>32628.070022694737</v>
      </c>
      <c r="F6" s="156">
        <v>355469.10704713792</v>
      </c>
      <c r="G6" s="255">
        <v>2.9</v>
      </c>
      <c r="H6" s="155">
        <v>23677.875300263389</v>
      </c>
      <c r="I6" s="156">
        <v>257551.25929503227</v>
      </c>
      <c r="J6" s="255">
        <v>7.8</v>
      </c>
    </row>
    <row r="7" spans="1:10" ht="12.65" customHeight="1">
      <c r="A7" s="154">
        <v>2</v>
      </c>
      <c r="B7" s="155">
        <v>27250.344986605458</v>
      </c>
      <c r="C7" s="156">
        <v>296934.55766658066</v>
      </c>
      <c r="D7" s="267">
        <v>3.7</v>
      </c>
      <c r="E7" s="156">
        <v>28484.101709248163</v>
      </c>
      <c r="F7" s="156">
        <v>310239.78204713791</v>
      </c>
      <c r="G7" s="255">
        <v>3.7</v>
      </c>
      <c r="H7" s="155">
        <v>18938.756323307356</v>
      </c>
      <c r="I7" s="156">
        <v>205954.14529503227</v>
      </c>
      <c r="J7" s="255">
        <v>7.9</v>
      </c>
    </row>
    <row r="8" spans="1:10" ht="12.65" customHeight="1">
      <c r="A8" s="154">
        <v>3</v>
      </c>
      <c r="B8" s="155">
        <v>25168.677035018758</v>
      </c>
      <c r="C8" s="156">
        <v>274252.70166658069</v>
      </c>
      <c r="D8" s="267">
        <v>7.8</v>
      </c>
      <c r="E8" s="156">
        <v>23497.746745090237</v>
      </c>
      <c r="F8" s="156">
        <v>255936.49604713792</v>
      </c>
      <c r="G8" s="255">
        <v>6.7</v>
      </c>
      <c r="H8" s="155">
        <v>19479.61243318002</v>
      </c>
      <c r="I8" s="156">
        <v>211836.02229503225</v>
      </c>
      <c r="J8" s="255">
        <v>8.1999999999999993</v>
      </c>
    </row>
    <row r="9" spans="1:10" ht="12.65" customHeight="1">
      <c r="A9" s="154">
        <v>4</v>
      </c>
      <c r="B9" s="155">
        <v>27506.337275673253</v>
      </c>
      <c r="C9" s="156">
        <v>299777.41466658068</v>
      </c>
      <c r="D9" s="267">
        <v>5.8</v>
      </c>
      <c r="E9" s="156">
        <v>23224.09887428569</v>
      </c>
      <c r="F9" s="156">
        <v>252955.52204713793</v>
      </c>
      <c r="G9" s="255">
        <v>7.4</v>
      </c>
      <c r="H9" s="155">
        <v>20962.238710119658</v>
      </c>
      <c r="I9" s="156">
        <v>227952.50329503225</v>
      </c>
      <c r="J9" s="255">
        <v>7.1</v>
      </c>
    </row>
    <row r="10" spans="1:10" ht="12.65" customHeight="1">
      <c r="A10" s="154">
        <v>5</v>
      </c>
      <c r="B10" s="155">
        <v>28707.326029307147</v>
      </c>
      <c r="C10" s="156">
        <v>312897.46766658069</v>
      </c>
      <c r="D10" s="267">
        <v>2.8</v>
      </c>
      <c r="E10" s="156">
        <v>24523.102432405736</v>
      </c>
      <c r="F10" s="156">
        <v>267093.05604713794</v>
      </c>
      <c r="G10" s="255">
        <v>8.6</v>
      </c>
      <c r="H10" s="155">
        <v>24042.47776640821</v>
      </c>
      <c r="I10" s="156">
        <v>261475.02229503225</v>
      </c>
      <c r="J10" s="255">
        <v>5.4</v>
      </c>
    </row>
    <row r="11" spans="1:10" ht="12.65" customHeight="1">
      <c r="A11" s="154">
        <v>6</v>
      </c>
      <c r="B11" s="155">
        <v>25644.235159342723</v>
      </c>
      <c r="C11" s="156">
        <v>279450.87866658065</v>
      </c>
      <c r="D11" s="267">
        <v>2.5</v>
      </c>
      <c r="E11" s="156">
        <v>25444.72614664516</v>
      </c>
      <c r="F11" s="156">
        <v>277139.07704713789</v>
      </c>
      <c r="G11" s="255">
        <v>6.8</v>
      </c>
      <c r="H11" s="155">
        <v>24903.774375419162</v>
      </c>
      <c r="I11" s="156">
        <v>270886.35729503224</v>
      </c>
      <c r="J11" s="255">
        <v>4.0999999999999996</v>
      </c>
    </row>
    <row r="12" spans="1:10" ht="12.65" customHeight="1">
      <c r="A12" s="154">
        <v>7</v>
      </c>
      <c r="B12" s="155">
        <v>32549.468245515247</v>
      </c>
      <c r="C12" s="156">
        <v>354693.19666658068</v>
      </c>
      <c r="D12" s="267">
        <v>-4.4000000000000004</v>
      </c>
      <c r="E12" s="156">
        <v>28781.512424268301</v>
      </c>
      <c r="F12" s="156">
        <v>313581.85804713791</v>
      </c>
      <c r="G12" s="255">
        <v>4.7</v>
      </c>
      <c r="H12" s="155">
        <v>27587.029715665405</v>
      </c>
      <c r="I12" s="156">
        <v>300051.16029503226</v>
      </c>
      <c r="J12" s="255">
        <v>2.2000000000000002</v>
      </c>
    </row>
    <row r="13" spans="1:10" ht="12.65" customHeight="1">
      <c r="A13" s="154">
        <v>8</v>
      </c>
      <c r="B13" s="155">
        <v>43587.494755058062</v>
      </c>
      <c r="C13" s="156">
        <v>475004.30066658068</v>
      </c>
      <c r="D13" s="267">
        <v>-8.4</v>
      </c>
      <c r="E13" s="156">
        <v>29439.421690267256</v>
      </c>
      <c r="F13" s="156">
        <v>320745.3860471379</v>
      </c>
      <c r="G13" s="255">
        <v>4.5999999999999996</v>
      </c>
      <c r="H13" s="155">
        <v>25603.358223653286</v>
      </c>
      <c r="I13" s="156">
        <v>278421.81429503224</v>
      </c>
      <c r="J13" s="255">
        <v>3</v>
      </c>
    </row>
    <row r="14" spans="1:10" ht="12.65" customHeight="1">
      <c r="A14" s="154">
        <v>9</v>
      </c>
      <c r="B14" s="155">
        <v>45945.931301432684</v>
      </c>
      <c r="C14" s="156">
        <v>500713.17266658065</v>
      </c>
      <c r="D14" s="267">
        <v>-9.6</v>
      </c>
      <c r="E14" s="156">
        <v>22972.214847460826</v>
      </c>
      <c r="F14" s="156">
        <v>250211.18704713791</v>
      </c>
      <c r="G14" s="255">
        <v>7.9</v>
      </c>
      <c r="H14" s="155">
        <v>21903.149498166917</v>
      </c>
      <c r="I14" s="156">
        <v>238192.93629503227</v>
      </c>
      <c r="J14" s="255">
        <v>6</v>
      </c>
    </row>
    <row r="15" spans="1:10" ht="12.65" customHeight="1">
      <c r="A15" s="154">
        <v>10</v>
      </c>
      <c r="B15" s="155">
        <v>45177.134468996061</v>
      </c>
      <c r="C15" s="156">
        <v>492256.3096665807</v>
      </c>
      <c r="D15" s="267">
        <v>-7.1</v>
      </c>
      <c r="E15" s="156">
        <v>19433.703483188878</v>
      </c>
      <c r="F15" s="156">
        <v>211680.73404713793</v>
      </c>
      <c r="G15" s="255">
        <v>8.4</v>
      </c>
      <c r="H15" s="155">
        <v>20409.940365930521</v>
      </c>
      <c r="I15" s="156">
        <v>221950.23829503226</v>
      </c>
      <c r="J15" s="255">
        <v>9.1</v>
      </c>
    </row>
    <row r="16" spans="1:10" ht="12.65" customHeight="1">
      <c r="A16" s="154">
        <v>11</v>
      </c>
      <c r="B16" s="155">
        <v>43755.241450315101</v>
      </c>
      <c r="C16" s="156">
        <v>476818.14966658066</v>
      </c>
      <c r="D16" s="267">
        <v>-5.2</v>
      </c>
      <c r="E16" s="156">
        <v>21262.911440161392</v>
      </c>
      <c r="F16" s="156">
        <v>231605.11204713793</v>
      </c>
      <c r="G16" s="255">
        <v>7.1</v>
      </c>
      <c r="H16" s="155">
        <v>21076.17006303796</v>
      </c>
      <c r="I16" s="156">
        <v>229197.28129503227</v>
      </c>
      <c r="J16" s="255">
        <v>9</v>
      </c>
    </row>
    <row r="17" spans="1:10" ht="12.65" customHeight="1">
      <c r="A17" s="154">
        <v>12</v>
      </c>
      <c r="B17" s="155">
        <v>39317.0391664177</v>
      </c>
      <c r="C17" s="156">
        <v>428438.36466658069</v>
      </c>
      <c r="D17" s="267">
        <v>-2.5</v>
      </c>
      <c r="E17" s="156">
        <v>23998.943844234618</v>
      </c>
      <c r="F17" s="156">
        <v>261387.44604713793</v>
      </c>
      <c r="G17" s="255">
        <v>5.9</v>
      </c>
      <c r="H17" s="155">
        <v>23960.264211152647</v>
      </c>
      <c r="I17" s="156">
        <v>260689.87529503225</v>
      </c>
      <c r="J17" s="255">
        <v>7.1</v>
      </c>
    </row>
    <row r="18" spans="1:10" ht="12.65" customHeight="1">
      <c r="A18" s="154">
        <v>13</v>
      </c>
      <c r="B18" s="155">
        <v>33532.329199399181</v>
      </c>
      <c r="C18" s="156">
        <v>365407.6516665807</v>
      </c>
      <c r="D18" s="268">
        <v>-2.2000000000000002</v>
      </c>
      <c r="E18" s="156">
        <v>26196.809222428907</v>
      </c>
      <c r="F18" s="156">
        <v>285321.3050471379</v>
      </c>
      <c r="G18" s="256">
        <v>2.8</v>
      </c>
      <c r="H18" s="155">
        <v>24009.074054327957</v>
      </c>
      <c r="I18" s="156">
        <v>261306.56829503225</v>
      </c>
      <c r="J18" s="256">
        <v>6.6</v>
      </c>
    </row>
    <row r="19" spans="1:10" ht="12.65" customHeight="1">
      <c r="A19" s="154">
        <v>14</v>
      </c>
      <c r="B19" s="155">
        <v>33278.962021677464</v>
      </c>
      <c r="C19" s="156">
        <v>362646.49266658066</v>
      </c>
      <c r="D19" s="268">
        <v>-1</v>
      </c>
      <c r="E19" s="156">
        <v>25744.169286160151</v>
      </c>
      <c r="F19" s="156">
        <v>280395.2720471379</v>
      </c>
      <c r="G19" s="256">
        <v>5</v>
      </c>
      <c r="H19" s="155">
        <v>22337.191630723984</v>
      </c>
      <c r="I19" s="156">
        <v>243089.08329503227</v>
      </c>
      <c r="J19" s="256">
        <v>7.8</v>
      </c>
    </row>
    <row r="20" spans="1:10" ht="12.65" customHeight="1">
      <c r="A20" s="154">
        <v>15</v>
      </c>
      <c r="B20" s="155">
        <v>36834.367514533311</v>
      </c>
      <c r="C20" s="156">
        <v>401383.99666658067</v>
      </c>
      <c r="D20" s="268">
        <v>-1.5</v>
      </c>
      <c r="E20" s="156">
        <v>23709.54770881802</v>
      </c>
      <c r="F20" s="156">
        <v>258229.33304713792</v>
      </c>
      <c r="G20" s="256">
        <v>7.6</v>
      </c>
      <c r="H20" s="155">
        <v>18474.551778625115</v>
      </c>
      <c r="I20" s="156">
        <v>200904.78129503227</v>
      </c>
      <c r="J20" s="256">
        <v>10.1</v>
      </c>
    </row>
    <row r="21" spans="1:10" ht="12.65" customHeight="1">
      <c r="A21" s="154">
        <v>16</v>
      </c>
      <c r="B21" s="155">
        <v>39047.13943452957</v>
      </c>
      <c r="C21" s="156">
        <v>425543.87566658069</v>
      </c>
      <c r="D21" s="268">
        <v>-2.2000000000000002</v>
      </c>
      <c r="E21" s="156">
        <v>21814.728749195077</v>
      </c>
      <c r="F21" s="156">
        <v>237598.67304713791</v>
      </c>
      <c r="G21" s="256">
        <v>7.3</v>
      </c>
      <c r="H21" s="155">
        <v>16971.718486393427</v>
      </c>
      <c r="I21" s="156">
        <v>184567.90029503228</v>
      </c>
      <c r="J21" s="256">
        <v>8.8000000000000007</v>
      </c>
    </row>
    <row r="22" spans="1:10" ht="12.65" customHeight="1">
      <c r="A22" s="154">
        <v>17</v>
      </c>
      <c r="B22" s="155">
        <v>39297.737294765837</v>
      </c>
      <c r="C22" s="156">
        <v>428312.78066658066</v>
      </c>
      <c r="D22" s="268">
        <v>-2.2999999999999998</v>
      </c>
      <c r="E22" s="156">
        <v>20201.118640549492</v>
      </c>
      <c r="F22" s="156">
        <v>220029.25604713793</v>
      </c>
      <c r="G22" s="256">
        <v>7.3</v>
      </c>
      <c r="H22" s="155">
        <v>19874.446282251072</v>
      </c>
      <c r="I22" s="156">
        <v>216138.94429503227</v>
      </c>
      <c r="J22" s="256">
        <v>3.9</v>
      </c>
    </row>
    <row r="23" spans="1:10" ht="12.65" customHeight="1">
      <c r="A23" s="154">
        <v>18</v>
      </c>
      <c r="B23" s="155">
        <v>37548.719870690431</v>
      </c>
      <c r="C23" s="257">
        <v>409217.5046665807</v>
      </c>
      <c r="D23" s="269">
        <v>-0.1</v>
      </c>
      <c r="E23" s="156">
        <v>20759.155178306941</v>
      </c>
      <c r="F23" s="257">
        <v>226106.80304713792</v>
      </c>
      <c r="G23" s="258">
        <v>5.0999999999999996</v>
      </c>
      <c r="H23" s="155">
        <v>27001.727507879863</v>
      </c>
      <c r="I23" s="257">
        <v>294041.99129503226</v>
      </c>
      <c r="J23" s="258">
        <v>2.2000000000000002</v>
      </c>
    </row>
    <row r="24" spans="1:10" ht="12.65" customHeight="1">
      <c r="A24" s="154">
        <v>19</v>
      </c>
      <c r="B24" s="155">
        <v>38103.866155988086</v>
      </c>
      <c r="C24" s="257">
        <v>415242.02866658068</v>
      </c>
      <c r="D24" s="269">
        <v>-3.7</v>
      </c>
      <c r="E24" s="156">
        <v>24618.669278816898</v>
      </c>
      <c r="F24" s="257">
        <v>268134.12704713794</v>
      </c>
      <c r="G24" s="258">
        <v>6.3</v>
      </c>
      <c r="H24" s="155">
        <v>26503.358306603241</v>
      </c>
      <c r="I24" s="257">
        <v>288454.10229503224</v>
      </c>
      <c r="J24" s="258">
        <v>2.2000000000000002</v>
      </c>
    </row>
    <row r="25" spans="1:10" ht="12.65" customHeight="1">
      <c r="A25" s="154">
        <v>20</v>
      </c>
      <c r="B25" s="155">
        <v>34058.886430468105</v>
      </c>
      <c r="C25" s="156">
        <v>371140.08966658066</v>
      </c>
      <c r="D25" s="268">
        <v>-4.8</v>
      </c>
      <c r="E25" s="156">
        <v>24462.727897117013</v>
      </c>
      <c r="F25" s="156">
        <v>266441.9510471379</v>
      </c>
      <c r="G25" s="256">
        <v>5.9</v>
      </c>
      <c r="H25" s="155">
        <v>24723.830803724784</v>
      </c>
      <c r="I25" s="156">
        <v>269159.82629503228</v>
      </c>
      <c r="J25" s="256">
        <v>5.8</v>
      </c>
    </row>
    <row r="26" spans="1:10" ht="12.65" customHeight="1">
      <c r="A26" s="154">
        <v>21</v>
      </c>
      <c r="B26" s="155">
        <v>35053.633280757764</v>
      </c>
      <c r="C26" s="156">
        <v>381982.53066658066</v>
      </c>
      <c r="D26" s="268">
        <v>-4.0999999999999996</v>
      </c>
      <c r="E26" s="156">
        <v>24237.149872241785</v>
      </c>
      <c r="F26" s="156">
        <v>263977.09104713792</v>
      </c>
      <c r="G26" s="256">
        <v>6</v>
      </c>
      <c r="H26" s="155">
        <v>21125.245832211094</v>
      </c>
      <c r="I26" s="156">
        <v>229730.76829503226</v>
      </c>
      <c r="J26" s="256">
        <v>9</v>
      </c>
    </row>
    <row r="27" spans="1:10" ht="12.65" customHeight="1">
      <c r="A27" s="154">
        <v>22</v>
      </c>
      <c r="B27" s="155">
        <v>37441.028712786727</v>
      </c>
      <c r="C27" s="156">
        <v>408117.70366658067</v>
      </c>
      <c r="D27" s="268">
        <v>1.2</v>
      </c>
      <c r="E27" s="156">
        <v>24037.457261165044</v>
      </c>
      <c r="F27" s="156">
        <v>261803.02604713792</v>
      </c>
      <c r="G27" s="256">
        <v>7.4</v>
      </c>
      <c r="H27" s="155">
        <v>19554.241392041356</v>
      </c>
      <c r="I27" s="156">
        <v>212842.59929503227</v>
      </c>
      <c r="J27" s="256">
        <v>10.1</v>
      </c>
    </row>
    <row r="28" spans="1:10" ht="12.65" customHeight="1">
      <c r="A28" s="154">
        <v>23</v>
      </c>
      <c r="B28" s="265">
        <v>32650.625094257204</v>
      </c>
      <c r="C28" s="259">
        <v>355797.64466658066</v>
      </c>
      <c r="D28" s="267">
        <v>2.6</v>
      </c>
      <c r="E28" s="259">
        <v>23798.930824450072</v>
      </c>
      <c r="F28" s="259">
        <v>259206.20804713792</v>
      </c>
      <c r="G28" s="255">
        <v>5.5</v>
      </c>
      <c r="H28" s="265">
        <v>17641.322506547986</v>
      </c>
      <c r="I28" s="259">
        <v>191845.28329503228</v>
      </c>
      <c r="J28" s="255">
        <v>6.7</v>
      </c>
    </row>
    <row r="29" spans="1:10" ht="12.65" customHeight="1">
      <c r="A29" s="154">
        <v>24</v>
      </c>
      <c r="B29" s="266">
        <v>29204.460710796884</v>
      </c>
      <c r="C29" s="260">
        <v>318249.44866658066</v>
      </c>
      <c r="D29" s="267">
        <v>6.8</v>
      </c>
      <c r="E29" s="260">
        <v>21266.401533546559</v>
      </c>
      <c r="F29" s="260">
        <v>231629.41004713791</v>
      </c>
      <c r="G29" s="255">
        <v>4</v>
      </c>
      <c r="H29" s="266">
        <v>20795.742172393246</v>
      </c>
      <c r="I29" s="260">
        <v>226149.70729503228</v>
      </c>
      <c r="J29" s="255">
        <v>3.6</v>
      </c>
    </row>
    <row r="30" spans="1:10" ht="12.65" customHeight="1">
      <c r="A30" s="154">
        <v>25</v>
      </c>
      <c r="B30" s="155">
        <v>30642.656596246477</v>
      </c>
      <c r="C30" s="156">
        <v>333943.37766658067</v>
      </c>
      <c r="D30" s="268">
        <v>4.8</v>
      </c>
      <c r="E30" s="156">
        <v>22925.30553284577</v>
      </c>
      <c r="F30" s="156">
        <v>249699.7390471379</v>
      </c>
      <c r="G30" s="256">
        <v>3.9</v>
      </c>
      <c r="H30" s="155">
        <v>25598.548243258549</v>
      </c>
      <c r="I30" s="156">
        <v>278528.53229503229</v>
      </c>
      <c r="J30" s="256">
        <v>3</v>
      </c>
    </row>
    <row r="31" spans="1:10" ht="12.65" customHeight="1">
      <c r="A31" s="154">
        <v>26</v>
      </c>
      <c r="B31" s="155">
        <v>28169.811612209814</v>
      </c>
      <c r="C31" s="156">
        <v>306969.77566658065</v>
      </c>
      <c r="D31" s="268">
        <v>3.8</v>
      </c>
      <c r="E31" s="156">
        <v>25209.250645483284</v>
      </c>
      <c r="F31" s="156">
        <v>274577.98204713792</v>
      </c>
      <c r="G31" s="256">
        <v>4.7</v>
      </c>
      <c r="H31" s="155">
        <v>21539.549360297577</v>
      </c>
      <c r="I31" s="156">
        <v>234235.20029503226</v>
      </c>
      <c r="J31" s="256">
        <v>8</v>
      </c>
    </row>
    <row r="32" spans="1:10" ht="12.65" customHeight="1">
      <c r="A32" s="154">
        <v>27</v>
      </c>
      <c r="B32" s="155">
        <v>26859.70705336229</v>
      </c>
      <c r="C32" s="156">
        <v>292697.00866658066</v>
      </c>
      <c r="D32" s="268">
        <v>2</v>
      </c>
      <c r="E32" s="156">
        <v>25290.021639072005</v>
      </c>
      <c r="F32" s="156">
        <v>275481.82704713789</v>
      </c>
      <c r="G32" s="256">
        <v>6.2</v>
      </c>
      <c r="H32" s="155">
        <v>19714.596323541024</v>
      </c>
      <c r="I32" s="156">
        <v>214497.94529503226</v>
      </c>
      <c r="J32" s="256">
        <v>11.8</v>
      </c>
    </row>
    <row r="33" spans="1:15" ht="12.65" customHeight="1">
      <c r="A33" s="154">
        <v>28</v>
      </c>
      <c r="B33" s="155">
        <v>28686.11987041953</v>
      </c>
      <c r="C33" s="156">
        <v>312596.62266658066</v>
      </c>
      <c r="D33" s="268">
        <v>-0.2</v>
      </c>
      <c r="E33" s="156">
        <v>25421.58184559441</v>
      </c>
      <c r="F33" s="156">
        <v>276929.31104713789</v>
      </c>
      <c r="G33" s="256">
        <v>5.3</v>
      </c>
      <c r="H33" s="155">
        <v>18748.202311161382</v>
      </c>
      <c r="I33" s="156">
        <v>203884.56329503228</v>
      </c>
      <c r="J33" s="256">
        <v>8.1999999999999993</v>
      </c>
    </row>
    <row r="34" spans="1:15" ht="12.65" customHeight="1">
      <c r="A34" s="154">
        <v>29</v>
      </c>
      <c r="B34" s="155">
        <v>34644.12338873923</v>
      </c>
      <c r="C34" s="156">
        <v>377574.95766658068</v>
      </c>
      <c r="D34" s="268">
        <v>-0.1</v>
      </c>
      <c r="E34" s="156">
        <v>24503.706482170284</v>
      </c>
      <c r="F34" s="156">
        <v>266903.63304713793</v>
      </c>
      <c r="G34" s="256">
        <v>6</v>
      </c>
      <c r="H34" s="155">
        <v>14799.683646952824</v>
      </c>
      <c r="I34" s="156">
        <v>160949.22829503226</v>
      </c>
      <c r="J34" s="256">
        <v>11.2</v>
      </c>
    </row>
    <row r="35" spans="1:15" ht="12.65" customHeight="1">
      <c r="A35" s="154">
        <v>30</v>
      </c>
      <c r="B35" s="155">
        <v>34467.316397034214</v>
      </c>
      <c r="C35" s="156">
        <v>375650.35466658068</v>
      </c>
      <c r="D35" s="268">
        <v>-0.3</v>
      </c>
      <c r="E35" s="156"/>
      <c r="F35" s="156"/>
      <c r="G35" s="256"/>
      <c r="H35" s="155">
        <v>11718.717127747454</v>
      </c>
      <c r="I35" s="156">
        <v>127450.86529503226</v>
      </c>
      <c r="J35" s="256">
        <v>14.6</v>
      </c>
    </row>
    <row r="36" spans="1:15" ht="12.65" customHeight="1">
      <c r="A36" s="159">
        <v>31</v>
      </c>
      <c r="B36" s="160">
        <v>34303.53863239284</v>
      </c>
      <c r="C36" s="161">
        <v>373886.83866658068</v>
      </c>
      <c r="D36" s="270">
        <v>1.3</v>
      </c>
      <c r="E36" s="161"/>
      <c r="F36" s="161"/>
      <c r="G36" s="262"/>
      <c r="H36" s="160">
        <v>11263.476241418213</v>
      </c>
      <c r="I36" s="161">
        <v>122499.50329503226</v>
      </c>
      <c r="J36" s="262">
        <v>14.1</v>
      </c>
    </row>
    <row r="37" spans="1:15" ht="12.65" customHeight="1">
      <c r="A37" s="263" t="s">
        <v>0</v>
      </c>
      <c r="B37" s="169">
        <f>SUM(B6:B36)</f>
        <v>1051795.2206812033</v>
      </c>
      <c r="C37" s="170">
        <f>SUM(C6:C36)</f>
        <v>11462156.219664002</v>
      </c>
      <c r="D37" s="271">
        <f>AVERAGE(D6:D36)</f>
        <v>-0.33870967741935487</v>
      </c>
      <c r="E37" s="170">
        <f>SUM(E6:E36)</f>
        <v>707887.28525791259</v>
      </c>
      <c r="F37" s="170">
        <f>SUM(F6:F36)</f>
        <v>7710509.7113670008</v>
      </c>
      <c r="G37" s="264">
        <f>AVERAGE(G6:G36)</f>
        <v>5.8965517241379297</v>
      </c>
      <c r="H37" s="169">
        <f>SUM(H6:H36)</f>
        <v>654939.87099440466</v>
      </c>
      <c r="I37" s="170">
        <f>SUM(I6:I36)</f>
        <v>7124436.0091459984</v>
      </c>
      <c r="J37" s="264">
        <f>AVERAGE(J6:J36)</f>
        <v>7.2451612903225797</v>
      </c>
      <c r="M37" s="41"/>
      <c r="N37" s="41"/>
      <c r="O37" s="77"/>
    </row>
    <row r="38" spans="1:15" ht="13" customHeight="1">
      <c r="A38" s="154" t="s">
        <v>176</v>
      </c>
      <c r="B38" s="155">
        <f>MAX(B6:B36)</f>
        <v>45945.931301432684</v>
      </c>
      <c r="C38" s="156">
        <f>MAX(C6:C36)</f>
        <v>500713.17266658065</v>
      </c>
      <c r="D38" s="268">
        <f>VLOOKUP(B38,$B$6:$D$36,3,FALSE)</f>
        <v>-9.6</v>
      </c>
      <c r="E38" s="156">
        <f>MAX(E6:E36)</f>
        <v>32628.070022694737</v>
      </c>
      <c r="F38" s="156">
        <f>MAX(F6:F36)</f>
        <v>355469.10704713792</v>
      </c>
      <c r="G38" s="256">
        <f>VLOOKUP(E38,$E$6:$G$36,3,FALSE)</f>
        <v>2.9</v>
      </c>
      <c r="H38" s="155">
        <f>MAX(H6:H36)</f>
        <v>27587.029715665405</v>
      </c>
      <c r="I38" s="156">
        <f>MAX(I6:I36)</f>
        <v>300051.16029503226</v>
      </c>
      <c r="J38" s="256">
        <f>VLOOKUP(H38,$H$6:$J$36,3,FALSE)</f>
        <v>2.2000000000000002</v>
      </c>
    </row>
    <row r="39" spans="1:15" ht="13" customHeight="1">
      <c r="A39" s="154" t="s">
        <v>177</v>
      </c>
      <c r="B39" s="155">
        <f>MIN(B6:B36)</f>
        <v>23360.961536466129</v>
      </c>
      <c r="C39" s="156">
        <f>MIN(C6:C36)</f>
        <v>254559.02166658064</v>
      </c>
      <c r="D39" s="268">
        <f>VLOOKUP(B39,$B$6:$D$36,3,FALSE)</f>
        <v>4.0999999999999996</v>
      </c>
      <c r="E39" s="156">
        <f>MIN(E6:E36)</f>
        <v>19433.703483188878</v>
      </c>
      <c r="F39" s="156">
        <f>MIN(F6:F36)</f>
        <v>211680.73404713793</v>
      </c>
      <c r="G39" s="256">
        <f>VLOOKUP(E39,$E$6:$G$36,3,FALSE)</f>
        <v>8.4</v>
      </c>
      <c r="H39" s="155">
        <f>MIN(H6:H36)</f>
        <v>11263.476241418213</v>
      </c>
      <c r="I39" s="156">
        <f>MIN(I6:I36)</f>
        <v>122499.50329503226</v>
      </c>
      <c r="J39" s="256">
        <f>VLOOKUP(H39,$H$6:$J$36,3,FALSE)</f>
        <v>14.1</v>
      </c>
    </row>
    <row r="40" spans="1:15" ht="13" customHeight="1">
      <c r="A40" s="159" t="s">
        <v>178</v>
      </c>
      <c r="B40" s="160">
        <f t="shared" ref="B40:J40" si="0">AVERAGE(B6:B36)</f>
        <v>33928.878086490426</v>
      </c>
      <c r="C40" s="161">
        <f t="shared" si="0"/>
        <v>369746.97482787102</v>
      </c>
      <c r="D40" s="270">
        <f t="shared" si="0"/>
        <v>-0.33870967741935487</v>
      </c>
      <c r="E40" s="161">
        <f t="shared" si="0"/>
        <v>24409.906388203883</v>
      </c>
      <c r="F40" s="161">
        <f>AVERAGE(F6:F36)</f>
        <v>265879.64521955175</v>
      </c>
      <c r="G40" s="262">
        <f>AVERAGE(G6:G36)</f>
        <v>5.8965517241379297</v>
      </c>
      <c r="H40" s="160">
        <f>AVERAGE(H6:H36)</f>
        <v>21127.092612722732</v>
      </c>
      <c r="I40" s="161">
        <f t="shared" si="0"/>
        <v>229820.51642406447</v>
      </c>
      <c r="J40" s="262">
        <f t="shared" si="0"/>
        <v>7.2451612903225797</v>
      </c>
    </row>
    <row r="41" spans="1:15" ht="15" customHeight="1">
      <c r="A41" s="43"/>
      <c r="B41" s="479" t="str">
        <f>B3</f>
        <v>Leden</v>
      </c>
      <c r="C41" s="480"/>
      <c r="D41" s="481"/>
      <c r="E41" s="479" t="str">
        <f>E3</f>
        <v>Únor</v>
      </c>
      <c r="F41" s="480"/>
      <c r="G41" s="481"/>
      <c r="H41" s="479" t="str">
        <f>H3</f>
        <v>Březen</v>
      </c>
      <c r="I41" s="480"/>
      <c r="J41" s="480"/>
    </row>
    <row r="42" spans="1:15" ht="15" customHeight="1">
      <c r="A42" s="43"/>
      <c r="B42" s="298" t="s">
        <v>267</v>
      </c>
      <c r="C42" s="79"/>
      <c r="D42" s="296"/>
      <c r="E42" s="298" t="s">
        <v>267</v>
      </c>
      <c r="F42" s="79"/>
      <c r="G42" s="79"/>
      <c r="H42" s="298" t="s">
        <v>267</v>
      </c>
      <c r="I42" s="79"/>
      <c r="J42" s="79"/>
    </row>
    <row r="43" spans="1:15" ht="21" customHeight="1">
      <c r="A43" s="43"/>
      <c r="B43" s="292"/>
      <c r="C43" s="79"/>
      <c r="D43" s="296"/>
      <c r="E43" s="79"/>
      <c r="F43" s="79"/>
      <c r="G43" s="79"/>
      <c r="H43" s="292"/>
      <c r="I43" s="79"/>
      <c r="J43" s="79"/>
    </row>
    <row r="44" spans="1:15" ht="21" customHeight="1">
      <c r="B44" s="292"/>
      <c r="C44" s="79"/>
      <c r="D44" s="296"/>
      <c r="E44" s="79"/>
      <c r="F44" s="79"/>
      <c r="G44" s="79"/>
      <c r="H44" s="292"/>
      <c r="I44" s="79"/>
      <c r="J44" s="79"/>
    </row>
    <row r="45" spans="1:15" ht="21" customHeight="1">
      <c r="B45" s="293" t="s">
        <v>265</v>
      </c>
      <c r="C45" s="81">
        <f>B38</f>
        <v>45945.931301432684</v>
      </c>
      <c r="D45" s="296"/>
      <c r="E45" s="80" t="s">
        <v>265</v>
      </c>
      <c r="F45" s="81">
        <f>E38</f>
        <v>32628.070022694737</v>
      </c>
      <c r="G45" s="79"/>
      <c r="H45" s="293" t="s">
        <v>265</v>
      </c>
      <c r="I45" s="81">
        <f>H38</f>
        <v>27587.029715665405</v>
      </c>
      <c r="J45" s="79"/>
    </row>
    <row r="46" spans="1:15" ht="21" customHeight="1">
      <c r="B46" s="294" t="s">
        <v>266</v>
      </c>
      <c r="C46" s="81">
        <f t="shared" ref="C46:C47" si="1">B39</f>
        <v>23360.961536466129</v>
      </c>
      <c r="D46" s="296"/>
      <c r="E46" s="82" t="s">
        <v>266</v>
      </c>
      <c r="F46" s="81">
        <f t="shared" ref="F46:F47" si="2">E39</f>
        <v>19433.703483188878</v>
      </c>
      <c r="G46" s="79"/>
      <c r="H46" s="294" t="s">
        <v>266</v>
      </c>
      <c r="I46" s="81">
        <f t="shared" ref="I46:I47" si="3">H39</f>
        <v>11263.476241418213</v>
      </c>
      <c r="J46" s="79"/>
    </row>
    <row r="47" spans="1:15" ht="21" customHeight="1">
      <c r="B47" s="294" t="s">
        <v>62</v>
      </c>
      <c r="C47" s="81">
        <f t="shared" si="1"/>
        <v>33928.878086490426</v>
      </c>
      <c r="D47" s="296"/>
      <c r="E47" s="82" t="s">
        <v>62</v>
      </c>
      <c r="F47" s="81">
        <f t="shared" si="2"/>
        <v>24409.906388203883</v>
      </c>
      <c r="G47" s="79"/>
      <c r="H47" s="294" t="s">
        <v>62</v>
      </c>
      <c r="I47" s="81">
        <f t="shared" si="3"/>
        <v>21127.092612722732</v>
      </c>
      <c r="J47" s="79"/>
    </row>
    <row r="48" spans="1:15" ht="21" customHeight="1">
      <c r="B48" s="292"/>
      <c r="C48" s="79"/>
      <c r="D48" s="296"/>
      <c r="E48" s="79"/>
      <c r="F48" s="79"/>
      <c r="G48" s="79"/>
      <c r="H48" s="292"/>
      <c r="I48" s="79"/>
      <c r="J48" s="79"/>
    </row>
    <row r="49" spans="1:10" ht="21" customHeight="1">
      <c r="B49" s="292"/>
      <c r="C49" s="79"/>
      <c r="D49" s="296"/>
      <c r="E49" s="79"/>
      <c r="F49" s="79"/>
      <c r="G49" s="79"/>
      <c r="H49" s="292"/>
      <c r="I49" s="79"/>
      <c r="J49" s="79"/>
    </row>
    <row r="50" spans="1:10" ht="21" customHeight="1">
      <c r="B50" s="292"/>
      <c r="C50" s="79"/>
      <c r="D50" s="296"/>
      <c r="E50" s="79"/>
      <c r="F50" s="79"/>
      <c r="G50" s="79"/>
      <c r="H50" s="292"/>
      <c r="I50" s="79"/>
      <c r="J50" s="79"/>
    </row>
    <row r="51" spans="1:10" ht="21" customHeight="1">
      <c r="A51" s="279"/>
      <c r="B51" s="295"/>
      <c r="C51" s="279"/>
      <c r="D51" s="297"/>
      <c r="E51" s="279"/>
      <c r="F51" s="279"/>
      <c r="G51" s="279"/>
      <c r="H51" s="295"/>
      <c r="I51" s="279"/>
      <c r="J51" s="279"/>
    </row>
    <row r="52" spans="1:10" ht="12.75" customHeight="1">
      <c r="A52" s="132" t="s">
        <v>179</v>
      </c>
      <c r="B52" s="282">
        <v>1118.9941951425153</v>
      </c>
      <c r="C52" s="283">
        <v>12188.403137465759</v>
      </c>
      <c r="D52" s="288" t="s">
        <v>206</v>
      </c>
      <c r="E52" s="41">
        <v>1002.6741162381156</v>
      </c>
      <c r="F52" s="41">
        <v>10907.089178002574</v>
      </c>
      <c r="G52" s="274" t="s">
        <v>206</v>
      </c>
      <c r="H52" s="282">
        <v>1072.6147691186686</v>
      </c>
      <c r="I52" s="283">
        <v>11594.965654172811</v>
      </c>
      <c r="J52" s="284" t="s">
        <v>206</v>
      </c>
    </row>
    <row r="53" spans="1:10" ht="13" customHeight="1">
      <c r="A53" s="276" t="s">
        <v>180</v>
      </c>
      <c r="B53" s="285">
        <v>1178.9778153134966</v>
      </c>
      <c r="C53" s="277">
        <v>12841.761794250773</v>
      </c>
      <c r="D53" s="289" t="s">
        <v>206</v>
      </c>
      <c r="E53" s="277">
        <v>713.34329134740108</v>
      </c>
      <c r="F53" s="277">
        <v>7759.7484239916866</v>
      </c>
      <c r="G53" s="278" t="s">
        <v>206</v>
      </c>
      <c r="H53" s="285">
        <v>801.37073364562957</v>
      </c>
      <c r="I53" s="277">
        <v>8662.8176307092581</v>
      </c>
      <c r="J53" s="278" t="s">
        <v>206</v>
      </c>
    </row>
    <row r="54" spans="1:10" ht="13" customHeight="1">
      <c r="A54" s="275" t="s">
        <v>181</v>
      </c>
      <c r="B54" s="286">
        <v>32288.742244751476</v>
      </c>
      <c r="C54" s="83">
        <v>351698.16696915904</v>
      </c>
      <c r="D54" s="290">
        <v>0</v>
      </c>
      <c r="E54" s="83">
        <v>26342.659496718297</v>
      </c>
      <c r="F54" s="83">
        <v>286555.45372453745</v>
      </c>
      <c r="G54" s="251">
        <v>0</v>
      </c>
      <c r="H54" s="286">
        <v>24810.607124242157</v>
      </c>
      <c r="I54" s="83">
        <v>268202.66301305778</v>
      </c>
      <c r="J54" s="251">
        <v>0</v>
      </c>
    </row>
    <row r="55" spans="1:10" ht="13" customHeight="1">
      <c r="A55" s="276" t="s">
        <v>182</v>
      </c>
      <c r="B55" s="287">
        <v>46436.47602851344</v>
      </c>
      <c r="C55" s="280">
        <v>505799.30850016838</v>
      </c>
      <c r="D55" s="291">
        <v>-12</v>
      </c>
      <c r="E55" s="280">
        <v>34902.778992887106</v>
      </c>
      <c r="F55" s="280">
        <v>379672.43481243763</v>
      </c>
      <c r="G55" s="281">
        <v>-12</v>
      </c>
      <c r="H55" s="287">
        <v>34427.055927989713</v>
      </c>
      <c r="I55" s="280">
        <v>372156.47458156891</v>
      </c>
      <c r="J55" s="281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2" width="9.1796875" style="85"/>
    <col min="13" max="13" width="9.1796875" style="84"/>
    <col min="14" max="14" width="11.1796875" style="84" customWidth="1"/>
    <col min="15" max="16384" width="9.1796875" style="84"/>
  </cols>
  <sheetData>
    <row r="1" spans="1:21" ht="20">
      <c r="A1" s="55" t="s">
        <v>287</v>
      </c>
    </row>
    <row r="2" spans="1:21" s="86" customFormat="1" ht="18">
      <c r="A2" s="482" t="s">
        <v>295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97"/>
      <c r="B3" s="497"/>
      <c r="C3" s="497"/>
      <c r="D3" s="315"/>
      <c r="E3" s="315"/>
      <c r="F3" s="316"/>
      <c r="G3" s="317"/>
      <c r="H3" s="317"/>
      <c r="I3" s="317"/>
      <c r="J3" s="279"/>
      <c r="K3" s="279"/>
    </row>
    <row r="4" spans="1:21" ht="15" customHeight="1">
      <c r="A4" s="507" t="s">
        <v>2</v>
      </c>
      <c r="B4" s="507"/>
      <c r="C4" s="507"/>
      <c r="D4" s="501">
        <f>'3.1'!A4</f>
        <v>2024</v>
      </c>
      <c r="E4" s="502"/>
      <c r="F4" s="502"/>
      <c r="G4" s="502"/>
      <c r="H4" s="376"/>
      <c r="I4" s="501">
        <f>D4-1</f>
        <v>2023</v>
      </c>
      <c r="J4" s="502"/>
      <c r="K4" s="502"/>
    </row>
    <row r="5" spans="1:21" ht="50.15" customHeight="1">
      <c r="A5" s="322"/>
      <c r="B5" s="322"/>
      <c r="C5" s="322"/>
      <c r="D5" s="503"/>
      <c r="E5" s="504"/>
      <c r="F5" s="504"/>
      <c r="G5" s="504"/>
      <c r="H5" s="174"/>
      <c r="I5" s="503"/>
      <c r="J5" s="504"/>
      <c r="K5" s="504"/>
    </row>
    <row r="6" spans="1:21" ht="25" customHeight="1">
      <c r="A6" s="507" t="s">
        <v>158</v>
      </c>
      <c r="B6" s="507"/>
      <c r="C6" s="507" t="s">
        <v>184</v>
      </c>
      <c r="D6" s="505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21" ht="22.5" customHeight="1">
      <c r="A7" s="508"/>
      <c r="B7" s="508"/>
      <c r="C7" s="508"/>
      <c r="D7" s="506"/>
      <c r="E7" s="219" t="s">
        <v>259</v>
      </c>
      <c r="F7" s="219" t="s">
        <v>260</v>
      </c>
      <c r="G7" s="487"/>
      <c r="H7" s="487"/>
      <c r="I7" s="221" t="s">
        <v>259</v>
      </c>
      <c r="J7" s="219" t="s">
        <v>260</v>
      </c>
      <c r="K7" s="487"/>
    </row>
    <row r="8" spans="1:21" ht="13" customHeight="1">
      <c r="A8" s="492" t="str">
        <f>'3.1'!D5</f>
        <v>Leden</v>
      </c>
      <c r="B8" s="492"/>
      <c r="C8" s="164" t="s">
        <v>4</v>
      </c>
      <c r="D8" s="312">
        <v>1548</v>
      </c>
      <c r="E8" s="308">
        <v>382527.65231841203</v>
      </c>
      <c r="F8" s="308">
        <v>4168851.3364900001</v>
      </c>
      <c r="G8" s="309">
        <f t="shared" ref="G8:G13" si="0">E8/$E$14</f>
        <v>0.36369022672560275</v>
      </c>
      <c r="H8" s="309">
        <f>(E8-I8)/I8</f>
        <v>0.14844492357446457</v>
      </c>
      <c r="I8" s="312">
        <v>333083.14962794917</v>
      </c>
      <c r="J8" s="308">
        <v>3628815.0624199994</v>
      </c>
      <c r="K8" s="309">
        <f>I8/$I$14</f>
        <v>0.37350388307449017</v>
      </c>
      <c r="M8" s="392"/>
      <c r="N8" s="392"/>
      <c r="O8" s="392"/>
      <c r="P8" s="392"/>
      <c r="Q8" s="392"/>
      <c r="R8" s="392"/>
      <c r="S8" s="392"/>
      <c r="T8" s="392"/>
      <c r="U8" s="392"/>
    </row>
    <row r="9" spans="1:21" ht="13" customHeight="1">
      <c r="A9" s="493"/>
      <c r="B9" s="493"/>
      <c r="C9" s="154" t="s">
        <v>5</v>
      </c>
      <c r="D9" s="313">
        <v>6077</v>
      </c>
      <c r="E9" s="129">
        <v>106709.627556996</v>
      </c>
      <c r="F9" s="129">
        <v>1162892.94417</v>
      </c>
      <c r="G9" s="307">
        <f t="shared" si="0"/>
        <v>0.10145475341402009</v>
      </c>
      <c r="H9" s="307">
        <f t="shared" ref="H9:H12" si="1">(E9-I9)/I9</f>
        <v>0.21379881761203218</v>
      </c>
      <c r="I9" s="313">
        <v>87913.767923197724</v>
      </c>
      <c r="J9" s="129">
        <v>957716.65551000007</v>
      </c>
      <c r="K9" s="307">
        <f t="shared" ref="K9:K13" si="2">I9/$I$14</f>
        <v>9.8582392209577596E-2</v>
      </c>
      <c r="L9" s="90"/>
      <c r="M9" s="392"/>
      <c r="N9" s="392"/>
      <c r="O9" s="392"/>
      <c r="P9" s="392"/>
      <c r="Q9" s="392"/>
      <c r="R9" s="392"/>
      <c r="S9" s="392"/>
      <c r="T9" s="392"/>
      <c r="U9" s="392"/>
    </row>
    <row r="10" spans="1:21" ht="13" customHeight="1">
      <c r="A10" s="493"/>
      <c r="B10" s="493"/>
      <c r="C10" s="154" t="s">
        <v>6</v>
      </c>
      <c r="D10" s="313">
        <v>202192</v>
      </c>
      <c r="E10" s="129">
        <v>192672.92802533004</v>
      </c>
      <c r="F10" s="129">
        <v>2099587.5926137553</v>
      </c>
      <c r="G10" s="307">
        <f t="shared" si="0"/>
        <v>0.18318482455508803</v>
      </c>
      <c r="H10" s="307">
        <f t="shared" si="1"/>
        <v>0.21573348403847281</v>
      </c>
      <c r="I10" s="313">
        <v>158482.86697286752</v>
      </c>
      <c r="J10" s="129">
        <v>1726310.50395</v>
      </c>
      <c r="K10" s="307">
        <f t="shared" si="2"/>
        <v>0.17771528304948181</v>
      </c>
      <c r="L10" s="90"/>
      <c r="M10" s="392"/>
      <c r="N10" s="392"/>
      <c r="O10" s="392"/>
      <c r="P10" s="392"/>
      <c r="Q10" s="392"/>
      <c r="R10" s="392"/>
      <c r="S10" s="392"/>
      <c r="T10" s="392"/>
      <c r="U10" s="392"/>
    </row>
    <row r="11" spans="1:21" ht="13" customHeight="1">
      <c r="A11" s="493"/>
      <c r="B11" s="493"/>
      <c r="C11" s="154" t="s">
        <v>7</v>
      </c>
      <c r="D11" s="313">
        <v>2540139</v>
      </c>
      <c r="E11" s="129">
        <v>350464.54600796895</v>
      </c>
      <c r="F11" s="129">
        <v>3819034.2502951901</v>
      </c>
      <c r="G11" s="307">
        <f t="shared" si="0"/>
        <v>0.3332060556260828</v>
      </c>
      <c r="H11" s="307">
        <f t="shared" si="1"/>
        <v>0.22222681156352214</v>
      </c>
      <c r="I11" s="313">
        <v>286742.64276664041</v>
      </c>
      <c r="J11" s="129">
        <v>3123244.5572099998</v>
      </c>
      <c r="K11" s="307">
        <f t="shared" si="2"/>
        <v>0.32153980360762985</v>
      </c>
      <c r="L11" s="90"/>
      <c r="M11" s="392"/>
      <c r="N11" s="392"/>
      <c r="O11" s="392"/>
      <c r="P11" s="392"/>
      <c r="Q11" s="392"/>
      <c r="R11" s="392"/>
      <c r="S11" s="392"/>
      <c r="T11" s="392"/>
      <c r="U11" s="392"/>
    </row>
    <row r="12" spans="1:21" ht="13" customHeight="1">
      <c r="A12" s="493"/>
      <c r="B12" s="493"/>
      <c r="C12" s="154" t="s">
        <v>93</v>
      </c>
      <c r="D12" s="313">
        <v>278</v>
      </c>
      <c r="E12" s="129">
        <v>7884.976893391</v>
      </c>
      <c r="F12" s="129">
        <v>85902.99738999999</v>
      </c>
      <c r="G12" s="307">
        <f t="shared" si="0"/>
        <v>7.4966842702824457E-3</v>
      </c>
      <c r="H12" s="307">
        <f t="shared" si="1"/>
        <v>6.4908628854920228E-2</v>
      </c>
      <c r="I12" s="313">
        <v>7404.3694263888101</v>
      </c>
      <c r="J12" s="129">
        <v>80646.849180000005</v>
      </c>
      <c r="K12" s="307">
        <f t="shared" si="2"/>
        <v>8.3029139587618341E-3</v>
      </c>
      <c r="L12" s="90"/>
      <c r="M12" s="392"/>
      <c r="N12" s="392"/>
      <c r="O12" s="392"/>
      <c r="P12" s="392"/>
      <c r="Q12" s="392"/>
      <c r="R12" s="392"/>
      <c r="S12" s="392"/>
      <c r="T12" s="392"/>
      <c r="U12" s="392"/>
    </row>
    <row r="13" spans="1:21" ht="13" customHeight="1">
      <c r="A13" s="493"/>
      <c r="B13" s="493"/>
      <c r="C13" s="154" t="s">
        <v>94</v>
      </c>
      <c r="D13" s="313"/>
      <c r="E13" s="129">
        <v>11535.517484905689</v>
      </c>
      <c r="F13" s="129">
        <v>125887.13796399999</v>
      </c>
      <c r="G13" s="307">
        <f t="shared" si="0"/>
        <v>1.0967455408923837E-2</v>
      </c>
      <c r="H13" s="307">
        <f>(E13-I13)/I13</f>
        <v>-0.36453302620081668</v>
      </c>
      <c r="I13" s="313">
        <v>18152.819832539524</v>
      </c>
      <c r="J13" s="129">
        <v>197829.70327999999</v>
      </c>
      <c r="K13" s="307">
        <f t="shared" si="2"/>
        <v>2.0355724100058776E-2</v>
      </c>
      <c r="L13" s="90"/>
      <c r="M13" s="392"/>
      <c r="N13" s="392"/>
      <c r="O13" s="392"/>
      <c r="P13" s="392"/>
      <c r="Q13" s="392"/>
      <c r="R13" s="392"/>
      <c r="S13" s="392"/>
      <c r="T13" s="392"/>
      <c r="U13" s="392"/>
    </row>
    <row r="14" spans="1:21" ht="13" customHeight="1">
      <c r="A14" s="494"/>
      <c r="B14" s="494"/>
      <c r="C14" s="318" t="s">
        <v>0</v>
      </c>
      <c r="D14" s="321">
        <v>2750234</v>
      </c>
      <c r="E14" s="319">
        <v>1051795.2482870037</v>
      </c>
      <c r="F14" s="319">
        <v>11462156.258922946</v>
      </c>
      <c r="G14" s="320">
        <f>SUM(G8:G13)</f>
        <v>1</v>
      </c>
      <c r="H14" s="320">
        <f>(E14-I14)/I14</f>
        <v>0.17943405384902478</v>
      </c>
      <c r="I14" s="321">
        <v>891779.61654958315</v>
      </c>
      <c r="J14" s="319">
        <v>9714563.3315499984</v>
      </c>
      <c r="K14" s="320">
        <f>SUM(K8:K13)</f>
        <v>1</v>
      </c>
      <c r="L14" s="90"/>
      <c r="M14" s="392"/>
      <c r="N14" s="392"/>
      <c r="O14" s="392"/>
      <c r="P14" s="392"/>
      <c r="Q14" s="392"/>
      <c r="R14" s="392"/>
      <c r="S14" s="392"/>
      <c r="T14" s="392"/>
      <c r="U14" s="392"/>
    </row>
    <row r="15" spans="1:21" ht="13" customHeight="1">
      <c r="A15" s="492" t="str">
        <f>'3.1'!E5</f>
        <v>Únor</v>
      </c>
      <c r="B15" s="492"/>
      <c r="C15" s="164" t="s">
        <v>4</v>
      </c>
      <c r="D15" s="312">
        <v>1548</v>
      </c>
      <c r="E15" s="308">
        <v>281251.52734882996</v>
      </c>
      <c r="F15" s="308">
        <v>3062933.1973560001</v>
      </c>
      <c r="G15" s="309">
        <f>E15/$E$21</f>
        <v>0.3973112215371275</v>
      </c>
      <c r="H15" s="309">
        <f>(E15-I15)/I15</f>
        <v>-0.12738439868245621</v>
      </c>
      <c r="I15" s="312">
        <v>322308.6166740249</v>
      </c>
      <c r="J15" s="308">
        <v>3499584.7333470001</v>
      </c>
      <c r="K15" s="309">
        <f>I15/$I$21</f>
        <v>0.37444335520688543</v>
      </c>
      <c r="L15" s="90"/>
      <c r="M15" s="392"/>
      <c r="N15" s="392"/>
      <c r="O15" s="392"/>
      <c r="P15" s="392"/>
      <c r="Q15" s="392"/>
      <c r="R15" s="392"/>
      <c r="S15" s="392"/>
      <c r="T15" s="392"/>
      <c r="U15" s="392"/>
    </row>
    <row r="16" spans="1:21" ht="13" customHeight="1">
      <c r="A16" s="493"/>
      <c r="B16" s="493"/>
      <c r="C16" s="154" t="s">
        <v>5</v>
      </c>
      <c r="D16" s="313">
        <v>6071</v>
      </c>
      <c r="E16" s="129">
        <v>70568.061602554997</v>
      </c>
      <c r="F16" s="129">
        <v>768801.39308000007</v>
      </c>
      <c r="G16" s="307">
        <f t="shared" ref="G16:G20" si="3">E16/$E$21</f>
        <v>9.9688286215221605E-2</v>
      </c>
      <c r="H16" s="307">
        <f t="shared" ref="H16:H18" si="4">(E16-I16)/I16</f>
        <v>-0.16629679159666055</v>
      </c>
      <c r="I16" s="313">
        <v>84644.104630115195</v>
      </c>
      <c r="J16" s="129">
        <v>918619.0390799999</v>
      </c>
      <c r="K16" s="307">
        <f t="shared" ref="K16:K20" si="5">I16/$I$21</f>
        <v>9.8335635153800338E-2</v>
      </c>
      <c r="L16" s="91"/>
      <c r="M16" s="392"/>
      <c r="N16" s="392"/>
      <c r="O16" s="392"/>
      <c r="P16" s="392"/>
      <c r="Q16" s="392"/>
      <c r="R16" s="392"/>
      <c r="S16" s="392"/>
      <c r="T16" s="392"/>
      <c r="U16" s="392"/>
    </row>
    <row r="17" spans="1:21" ht="13" customHeight="1">
      <c r="A17" s="493"/>
      <c r="B17" s="493"/>
      <c r="C17" s="154" t="s">
        <v>6</v>
      </c>
      <c r="D17" s="313">
        <v>202045</v>
      </c>
      <c r="E17" s="129">
        <v>118758.24651466502</v>
      </c>
      <c r="F17" s="129">
        <v>1293608.9623508872</v>
      </c>
      <c r="G17" s="307">
        <f t="shared" si="3"/>
        <v>0.16776436535339284</v>
      </c>
      <c r="H17" s="307">
        <f t="shared" si="4"/>
        <v>-0.20689664206913422</v>
      </c>
      <c r="I17" s="313">
        <v>149738.67570614559</v>
      </c>
      <c r="J17" s="129">
        <v>1624647.7183399999</v>
      </c>
      <c r="K17" s="307">
        <f>I17/$I$21</f>
        <v>0.17395951964992412</v>
      </c>
      <c r="L17" s="90"/>
      <c r="M17" s="392"/>
      <c r="N17" s="392"/>
      <c r="O17" s="392"/>
      <c r="P17" s="392"/>
      <c r="Q17" s="392"/>
      <c r="R17" s="392"/>
      <c r="S17" s="392"/>
      <c r="T17" s="392"/>
      <c r="U17" s="392"/>
    </row>
    <row r="18" spans="1:21" ht="13" customHeight="1">
      <c r="A18" s="493"/>
      <c r="B18" s="493"/>
      <c r="C18" s="154" t="s">
        <v>7</v>
      </c>
      <c r="D18" s="313">
        <v>2537765</v>
      </c>
      <c r="E18" s="129">
        <v>214692.17283203403</v>
      </c>
      <c r="F18" s="129">
        <v>2338325.5160071547</v>
      </c>
      <c r="G18" s="307">
        <f t="shared" si="3"/>
        <v>0.30328585322333323</v>
      </c>
      <c r="H18" s="307">
        <f t="shared" si="4"/>
        <v>-0.23127031653796692</v>
      </c>
      <c r="I18" s="313">
        <v>279281.75202647486</v>
      </c>
      <c r="J18" s="129">
        <v>3029481.1226499998</v>
      </c>
      <c r="K18" s="307">
        <f>I18/$I$21</f>
        <v>0.32445671901665429</v>
      </c>
      <c r="L18" s="90"/>
      <c r="M18" s="392"/>
      <c r="N18" s="392"/>
      <c r="O18" s="392"/>
      <c r="P18" s="392"/>
      <c r="Q18" s="392"/>
      <c r="R18" s="392"/>
      <c r="S18" s="392"/>
      <c r="T18" s="392"/>
      <c r="U18" s="392"/>
    </row>
    <row r="19" spans="1:21" ht="13" customHeight="1">
      <c r="A19" s="493"/>
      <c r="B19" s="493"/>
      <c r="C19" s="154" t="s">
        <v>93</v>
      </c>
      <c r="D19" s="313">
        <v>278</v>
      </c>
      <c r="E19" s="129">
        <v>7301.4021622570008</v>
      </c>
      <c r="F19" s="129">
        <v>79508.402719999998</v>
      </c>
      <c r="G19" s="307">
        <f t="shared" si="3"/>
        <v>1.0314358252078737E-2</v>
      </c>
      <c r="H19" s="307">
        <f>(E19-I19)/I19</f>
        <v>4.3290274168230135E-2</v>
      </c>
      <c r="I19" s="313">
        <v>6998.4378681935768</v>
      </c>
      <c r="J19" s="129">
        <v>75919.713230000008</v>
      </c>
      <c r="K19" s="307">
        <f>I19/$I$21</f>
        <v>8.130463850501566E-3</v>
      </c>
      <c r="L19" s="90"/>
      <c r="M19" s="392"/>
      <c r="N19" s="392"/>
      <c r="O19" s="392"/>
      <c r="P19" s="392"/>
      <c r="Q19" s="392"/>
      <c r="R19" s="392"/>
      <c r="S19" s="392"/>
      <c r="T19" s="392"/>
      <c r="U19" s="392"/>
    </row>
    <row r="20" spans="1:21" ht="13" customHeight="1">
      <c r="A20" s="493"/>
      <c r="B20" s="493"/>
      <c r="C20" s="154" t="s">
        <v>94</v>
      </c>
      <c r="D20" s="313"/>
      <c r="E20" s="129">
        <v>15315.787542063999</v>
      </c>
      <c r="F20" s="129">
        <v>167332.21324700001</v>
      </c>
      <c r="G20" s="307">
        <f t="shared" si="3"/>
        <v>2.1635915418846106E-2</v>
      </c>
      <c r="H20" s="307">
        <f t="shared" ref="H20" si="6">(E20-I20)/I20</f>
        <v>-0.13935790995490224</v>
      </c>
      <c r="I20" s="313">
        <v>17795.768669949026</v>
      </c>
      <c r="J20" s="129">
        <v>193137.00934900003</v>
      </c>
      <c r="K20" s="307">
        <f t="shared" si="5"/>
        <v>2.0674307122234326E-2</v>
      </c>
      <c r="L20" s="90"/>
      <c r="M20" s="392"/>
      <c r="N20" s="392"/>
      <c r="O20" s="392"/>
      <c r="P20" s="392"/>
      <c r="Q20" s="392"/>
      <c r="R20" s="392"/>
      <c r="S20" s="392"/>
      <c r="T20" s="392"/>
      <c r="U20" s="392"/>
    </row>
    <row r="21" spans="1:21" ht="13" customHeight="1">
      <c r="A21" s="494"/>
      <c r="B21" s="494"/>
      <c r="C21" s="318" t="s">
        <v>0</v>
      </c>
      <c r="D21" s="321">
        <v>2747707</v>
      </c>
      <c r="E21" s="319">
        <v>707887.198002405</v>
      </c>
      <c r="F21" s="319">
        <v>7710509.6847610418</v>
      </c>
      <c r="G21" s="320">
        <f>SUM(G15:G20)</f>
        <v>1</v>
      </c>
      <c r="H21" s="320">
        <f>(E21-I21)/I21</f>
        <v>-0.17760914907186512</v>
      </c>
      <c r="I21" s="321">
        <v>860767.35557490308</v>
      </c>
      <c r="J21" s="319">
        <v>9341389.3359960001</v>
      </c>
      <c r="K21" s="320">
        <f>SUM(K15:K20)</f>
        <v>1</v>
      </c>
      <c r="L21" s="90"/>
      <c r="M21" s="392"/>
      <c r="N21" s="392"/>
      <c r="O21" s="392"/>
      <c r="P21" s="392"/>
      <c r="Q21" s="392"/>
      <c r="R21" s="392"/>
      <c r="S21" s="392"/>
      <c r="T21" s="392"/>
      <c r="U21" s="392"/>
    </row>
    <row r="22" spans="1:21" ht="13" customHeight="1">
      <c r="A22" s="492" t="str">
        <f>'3.1'!F5</f>
        <v>Březen</v>
      </c>
      <c r="B22" s="492"/>
      <c r="C22" s="164" t="s">
        <v>4</v>
      </c>
      <c r="D22" s="312">
        <v>1541</v>
      </c>
      <c r="E22" s="308">
        <v>287295.03820459399</v>
      </c>
      <c r="F22" s="308">
        <v>3125966.9880960006</v>
      </c>
      <c r="G22" s="309">
        <f>E22/$E$28</f>
        <v>0.43865862304276509</v>
      </c>
      <c r="H22" s="309">
        <f>(E22-I22)/I22</f>
        <v>-9.4694715427466838E-2</v>
      </c>
      <c r="I22" s="312">
        <v>317346.03022918274</v>
      </c>
      <c r="J22" s="308">
        <v>3440978.643801</v>
      </c>
      <c r="K22" s="309">
        <f>I22/$I$28</f>
        <v>0.41252984218308836</v>
      </c>
      <c r="L22" s="92"/>
      <c r="M22" s="392"/>
      <c r="N22" s="392"/>
      <c r="O22" s="392"/>
      <c r="P22" s="392"/>
      <c r="Q22" s="392"/>
      <c r="R22" s="392"/>
      <c r="S22" s="392"/>
      <c r="T22" s="392"/>
      <c r="U22" s="392"/>
    </row>
    <row r="23" spans="1:21" ht="13" customHeight="1">
      <c r="A23" s="493"/>
      <c r="B23" s="493"/>
      <c r="C23" s="154" t="s">
        <v>5</v>
      </c>
      <c r="D23" s="313">
        <v>6018</v>
      </c>
      <c r="E23" s="129">
        <v>62788.242370287997</v>
      </c>
      <c r="F23" s="129">
        <v>682947.80813000002</v>
      </c>
      <c r="G23" s="307">
        <f t="shared" ref="G23:G27" si="7">E23/$E$28</f>
        <v>9.5868707352376098E-2</v>
      </c>
      <c r="H23" s="307">
        <f t="shared" ref="H23:H26" si="8">(E23-I23)/I23</f>
        <v>-0.15108371478078794</v>
      </c>
      <c r="I23" s="313">
        <v>73962.819966487572</v>
      </c>
      <c r="J23" s="129">
        <v>802006.48307999969</v>
      </c>
      <c r="K23" s="307">
        <f t="shared" ref="K23:K27" si="9">I23/$I$28</f>
        <v>9.6147005293105645E-2</v>
      </c>
      <c r="L23" s="92"/>
      <c r="M23" s="392"/>
      <c r="N23" s="392"/>
      <c r="O23" s="392"/>
      <c r="P23" s="392"/>
      <c r="Q23" s="392"/>
      <c r="R23" s="392"/>
      <c r="S23" s="392"/>
      <c r="T23" s="392"/>
      <c r="U23" s="392"/>
    </row>
    <row r="24" spans="1:21" ht="13" customHeight="1">
      <c r="A24" s="493"/>
      <c r="B24" s="493"/>
      <c r="C24" s="154" t="s">
        <v>6</v>
      </c>
      <c r="D24" s="313">
        <v>201951</v>
      </c>
      <c r="E24" s="129">
        <v>104003.09048247901</v>
      </c>
      <c r="F24" s="129">
        <v>1131050.944860904</v>
      </c>
      <c r="G24" s="307">
        <f t="shared" si="7"/>
        <v>0.15879791293418458</v>
      </c>
      <c r="H24" s="307">
        <f t="shared" si="8"/>
        <v>-0.17049408981502723</v>
      </c>
      <c r="I24" s="313">
        <v>125379.56535992275</v>
      </c>
      <c r="J24" s="129">
        <v>1359260.0900159052</v>
      </c>
      <c r="K24" s="307">
        <f t="shared" si="9"/>
        <v>0.16298553435049959</v>
      </c>
      <c r="L24" s="92"/>
      <c r="M24" s="392"/>
      <c r="N24" s="392"/>
      <c r="O24" s="392"/>
      <c r="P24" s="392"/>
      <c r="Q24" s="392"/>
      <c r="R24" s="392"/>
      <c r="S24" s="392"/>
      <c r="T24" s="392"/>
      <c r="U24" s="392"/>
    </row>
    <row r="25" spans="1:21" ht="13" customHeight="1">
      <c r="A25" s="493"/>
      <c r="B25" s="493"/>
      <c r="C25" s="154" t="s">
        <v>7</v>
      </c>
      <c r="D25" s="313">
        <v>2534993</v>
      </c>
      <c r="E25" s="129">
        <v>181033.98005336002</v>
      </c>
      <c r="F25" s="129">
        <v>1968733.88101304</v>
      </c>
      <c r="G25" s="307">
        <f t="shared" si="7"/>
        <v>0.27641311493032417</v>
      </c>
      <c r="H25" s="307">
        <f t="shared" si="8"/>
        <v>-0.20467277874596657</v>
      </c>
      <c r="I25" s="313">
        <v>227622.00917493357</v>
      </c>
      <c r="J25" s="129">
        <v>2467191.9449630491</v>
      </c>
      <c r="K25" s="307">
        <f t="shared" si="9"/>
        <v>0.29589426864586577</v>
      </c>
      <c r="L25" s="92"/>
      <c r="M25" s="392"/>
      <c r="N25" s="392"/>
      <c r="O25" s="392"/>
      <c r="P25" s="392"/>
      <c r="Q25" s="392"/>
      <c r="R25" s="392"/>
      <c r="S25" s="392"/>
      <c r="T25" s="392"/>
      <c r="U25" s="392"/>
    </row>
    <row r="26" spans="1:21" ht="13" customHeight="1">
      <c r="A26" s="493"/>
      <c r="B26" s="493"/>
      <c r="C26" s="154" t="s">
        <v>93</v>
      </c>
      <c r="D26" s="313">
        <v>277</v>
      </c>
      <c r="E26" s="129">
        <v>7590.2210650469997</v>
      </c>
      <c r="F26" s="129">
        <v>82527.548020000002</v>
      </c>
      <c r="G26" s="307">
        <f t="shared" si="7"/>
        <v>1.1589186996722961E-2</v>
      </c>
      <c r="H26" s="307">
        <f t="shared" si="8"/>
        <v>-2.3293151768107777E-2</v>
      </c>
      <c r="I26" s="313">
        <v>7771.2376838427881</v>
      </c>
      <c r="J26" s="129">
        <v>84243.039270000008</v>
      </c>
      <c r="K26" s="307">
        <f t="shared" si="9"/>
        <v>1.010211929535625E-2</v>
      </c>
      <c r="L26" s="92"/>
      <c r="M26" s="392"/>
      <c r="N26" s="392"/>
      <c r="O26" s="392"/>
      <c r="P26" s="392"/>
      <c r="Q26" s="392"/>
      <c r="R26" s="392"/>
      <c r="S26" s="392"/>
      <c r="T26" s="392"/>
      <c r="U26" s="392"/>
    </row>
    <row r="27" spans="1:21" ht="13" customHeight="1">
      <c r="A27" s="493"/>
      <c r="B27" s="493"/>
      <c r="C27" s="154" t="s">
        <v>94</v>
      </c>
      <c r="D27" s="313"/>
      <c r="E27" s="129">
        <v>12229.335791310668</v>
      </c>
      <c r="F27" s="129">
        <v>133208.90361600008</v>
      </c>
      <c r="G27" s="307">
        <f t="shared" si="7"/>
        <v>1.8672454743627245E-2</v>
      </c>
      <c r="H27" s="307">
        <f t="shared" ref="H27" si="10">(E27-I27)/I27</f>
        <v>-0.28842925169640748</v>
      </c>
      <c r="I27" s="313">
        <v>17186.39477587548</v>
      </c>
      <c r="J27" s="129">
        <v>186339.213552</v>
      </c>
      <c r="K27" s="307">
        <f t="shared" si="9"/>
        <v>2.2341230232084335E-2</v>
      </c>
      <c r="L27" s="92"/>
      <c r="M27" s="392"/>
      <c r="N27" s="392"/>
      <c r="O27" s="392"/>
      <c r="P27" s="392"/>
      <c r="Q27" s="392"/>
      <c r="R27" s="392"/>
      <c r="S27" s="392"/>
      <c r="T27" s="392"/>
      <c r="U27" s="392"/>
    </row>
    <row r="28" spans="1:21" ht="13" customHeight="1">
      <c r="A28" s="494"/>
      <c r="B28" s="494"/>
      <c r="C28" s="318" t="s">
        <v>0</v>
      </c>
      <c r="D28" s="321">
        <v>2744780</v>
      </c>
      <c r="E28" s="319">
        <v>654939.90796707862</v>
      </c>
      <c r="F28" s="319">
        <v>7124436.0737359431</v>
      </c>
      <c r="G28" s="320">
        <f>SUM(G22:G27)</f>
        <v>1.0000000000000002</v>
      </c>
      <c r="H28" s="320">
        <f>(E28-I28)/I28</f>
        <v>-0.1486193897621986</v>
      </c>
      <c r="I28" s="321">
        <v>769268.0571902449</v>
      </c>
      <c r="J28" s="319">
        <v>8340019.4146819534</v>
      </c>
      <c r="K28" s="320">
        <f>SUM(K22:K27)</f>
        <v>0.99999999999999989</v>
      </c>
      <c r="M28" s="392"/>
      <c r="N28" s="392"/>
      <c r="O28" s="392"/>
      <c r="P28" s="392"/>
      <c r="Q28" s="392"/>
      <c r="R28" s="392"/>
      <c r="S28" s="392"/>
      <c r="T28" s="392"/>
      <c r="U28" s="392"/>
    </row>
    <row r="29" spans="1:21" ht="13" customHeight="1">
      <c r="A29" s="495" t="str">
        <f>'3.1'!G5</f>
        <v>I. čtvrtletí</v>
      </c>
      <c r="B29" s="492"/>
      <c r="C29" s="164" t="s">
        <v>4</v>
      </c>
      <c r="D29" s="312">
        <f>D22</f>
        <v>1541</v>
      </c>
      <c r="E29" s="308">
        <f>E8+E15+E22</f>
        <v>951074.21787183592</v>
      </c>
      <c r="F29" s="308">
        <f>F8+F15+F22</f>
        <v>10357751.521942001</v>
      </c>
      <c r="G29" s="309">
        <f>E29/$E$35</f>
        <v>0.39388114509719746</v>
      </c>
      <c r="H29" s="309">
        <f>(E29-I29)/I29</f>
        <v>-2.2270727771219141E-2</v>
      </c>
      <c r="I29" s="312">
        <f>I8+I15+I22</f>
        <v>972737.79653115687</v>
      </c>
      <c r="J29" s="308">
        <f>J8+J15+J22</f>
        <v>10569378.439568</v>
      </c>
      <c r="K29" s="309">
        <f>I29/$I$35</f>
        <v>0.38572924073479137</v>
      </c>
      <c r="M29" s="392"/>
      <c r="N29" s="392"/>
      <c r="O29" s="392"/>
      <c r="P29" s="392"/>
      <c r="Q29" s="392"/>
      <c r="R29" s="392"/>
      <c r="S29" s="392"/>
      <c r="T29" s="392"/>
      <c r="U29" s="392"/>
    </row>
    <row r="30" spans="1:21" ht="13" customHeight="1">
      <c r="A30" s="493"/>
      <c r="B30" s="493"/>
      <c r="C30" s="154" t="s">
        <v>5</v>
      </c>
      <c r="D30" s="313">
        <f t="shared" ref="D30:D33" si="11">D23</f>
        <v>6018</v>
      </c>
      <c r="E30" s="129">
        <f>E9+E16+E23</f>
        <v>240065.931529839</v>
      </c>
      <c r="F30" s="129">
        <f t="shared" ref="F30" si="12">F9+F16+F23</f>
        <v>2614642.1453800001</v>
      </c>
      <c r="G30" s="307">
        <f t="shared" ref="G30:G34" si="13">E30/$E$35</f>
        <v>9.9421729905983719E-2</v>
      </c>
      <c r="H30" s="307">
        <f t="shared" ref="H30:H32" si="14">(E30-I30)/I30</f>
        <v>-2.6183444983804188E-2</v>
      </c>
      <c r="I30" s="313">
        <f>I9+I16+I23</f>
        <v>246520.6925198005</v>
      </c>
      <c r="J30" s="129">
        <f t="shared" ref="J30" si="15">J9+J16+J23</f>
        <v>2678342.1776699997</v>
      </c>
      <c r="K30" s="307">
        <f t="shared" ref="K30:K34" si="16">I30/$I$35</f>
        <v>9.7755263432936682E-2</v>
      </c>
      <c r="M30" s="392"/>
      <c r="N30" s="392"/>
      <c r="O30" s="392"/>
      <c r="P30" s="392"/>
      <c r="Q30" s="392"/>
      <c r="R30" s="392"/>
      <c r="S30" s="392"/>
      <c r="T30" s="392"/>
      <c r="U30" s="392"/>
    </row>
    <row r="31" spans="1:21" ht="13" customHeight="1">
      <c r="A31" s="493"/>
      <c r="B31" s="493"/>
      <c r="C31" s="154" t="s">
        <v>6</v>
      </c>
      <c r="D31" s="313">
        <f t="shared" si="11"/>
        <v>201951</v>
      </c>
      <c r="E31" s="129">
        <f t="shared" ref="E31:F31" si="17">E10+E17+E24</f>
        <v>415434.26502247405</v>
      </c>
      <c r="F31" s="129">
        <f t="shared" si="17"/>
        <v>4524247.4998255465</v>
      </c>
      <c r="G31" s="307">
        <f t="shared" si="13"/>
        <v>0.17204937421793853</v>
      </c>
      <c r="H31" s="307">
        <f t="shared" si="14"/>
        <v>-4.1897593616920602E-2</v>
      </c>
      <c r="I31" s="313">
        <f t="shared" ref="I31:J31" si="18">I10+I17+I24</f>
        <v>433601.10803893587</v>
      </c>
      <c r="J31" s="129">
        <f t="shared" si="18"/>
        <v>4710218.3123059049</v>
      </c>
      <c r="K31" s="307">
        <f t="shared" si="16"/>
        <v>0.17194009195700646</v>
      </c>
      <c r="M31" s="392"/>
      <c r="N31" s="392"/>
      <c r="O31" s="392"/>
      <c r="P31" s="392"/>
      <c r="Q31" s="392"/>
      <c r="R31" s="392"/>
      <c r="S31" s="392"/>
      <c r="T31" s="392"/>
      <c r="U31" s="392"/>
    </row>
    <row r="32" spans="1:21" ht="13" customHeight="1">
      <c r="A32" s="493"/>
      <c r="B32" s="493"/>
      <c r="C32" s="154" t="s">
        <v>7</v>
      </c>
      <c r="D32" s="313">
        <f t="shared" si="11"/>
        <v>2534993</v>
      </c>
      <c r="E32" s="129">
        <f>E11+E18+E25</f>
        <v>746190.69889336301</v>
      </c>
      <c r="F32" s="129">
        <f t="shared" ref="E32:F34" si="19">F11+F18+F25</f>
        <v>8126093.6473153848</v>
      </c>
      <c r="G32" s="307">
        <f t="shared" si="13"/>
        <v>0.30902998043482077</v>
      </c>
      <c r="H32" s="307">
        <f t="shared" si="14"/>
        <v>-5.9794519117604875E-2</v>
      </c>
      <c r="I32" s="313">
        <f>I11+I18+I25</f>
        <v>793646.40396804886</v>
      </c>
      <c r="J32" s="129">
        <f t="shared" ref="J32" si="20">J11+J18+J25</f>
        <v>8619917.6248230487</v>
      </c>
      <c r="K32" s="307">
        <f t="shared" si="16"/>
        <v>0.31471237768921989</v>
      </c>
      <c r="M32" s="392"/>
      <c r="N32" s="392"/>
      <c r="O32" s="392"/>
      <c r="P32" s="392"/>
      <c r="Q32" s="392"/>
      <c r="R32" s="392"/>
      <c r="S32" s="392"/>
      <c r="T32" s="392"/>
      <c r="U32" s="392"/>
    </row>
    <row r="33" spans="1:21" ht="13" customHeight="1">
      <c r="A33" s="493"/>
      <c r="B33" s="493"/>
      <c r="C33" s="154" t="s">
        <v>93</v>
      </c>
      <c r="D33" s="313">
        <f t="shared" si="11"/>
        <v>277</v>
      </c>
      <c r="E33" s="129">
        <f>E12+E19+E26</f>
        <v>22776.600120695002</v>
      </c>
      <c r="F33" s="129">
        <f t="shared" si="19"/>
        <v>247938.94812999998</v>
      </c>
      <c r="G33" s="307">
        <f t="shared" si="13"/>
        <v>9.4327794491525768E-3</v>
      </c>
      <c r="H33" s="307">
        <f>(E33-I33)/I33</f>
        <v>2.7173893750828876E-2</v>
      </c>
      <c r="I33" s="313">
        <f>I12+I19+I26</f>
        <v>22174.044978425176</v>
      </c>
      <c r="J33" s="129">
        <f t="shared" ref="J33" si="21">J12+J19+J26</f>
        <v>240809.60168000002</v>
      </c>
      <c r="K33" s="307">
        <f t="shared" si="16"/>
        <v>8.7928911203494046E-3</v>
      </c>
      <c r="M33" s="392"/>
      <c r="N33" s="392"/>
      <c r="O33" s="392"/>
      <c r="P33" s="392"/>
      <c r="Q33" s="392"/>
      <c r="R33" s="392"/>
      <c r="S33" s="392"/>
      <c r="T33" s="392"/>
      <c r="U33" s="392"/>
    </row>
    <row r="34" spans="1:21" ht="13" customHeight="1">
      <c r="A34" s="493"/>
      <c r="B34" s="493"/>
      <c r="C34" s="154" t="s">
        <v>94</v>
      </c>
      <c r="D34" s="313"/>
      <c r="E34" s="129">
        <f t="shared" si="19"/>
        <v>39080.640818280357</v>
      </c>
      <c r="F34" s="129">
        <f t="shared" si="19"/>
        <v>426428.25482700008</v>
      </c>
      <c r="G34" s="307">
        <f t="shared" si="13"/>
        <v>1.6184990894907086E-2</v>
      </c>
      <c r="H34" s="307">
        <f t="shared" ref="H34" si="22">(E34-I34)/I34</f>
        <v>-0.26450262318622852</v>
      </c>
      <c r="I34" s="313">
        <f t="shared" ref="I34:J34" si="23">I13+I20+I27</f>
        <v>53134.98327836403</v>
      </c>
      <c r="J34" s="129">
        <f t="shared" si="23"/>
        <v>577305.92618099996</v>
      </c>
      <c r="K34" s="307">
        <f t="shared" si="16"/>
        <v>2.1070135065696209E-2</v>
      </c>
      <c r="M34" s="392"/>
      <c r="N34" s="392"/>
      <c r="O34" s="392"/>
      <c r="P34" s="392"/>
      <c r="Q34" s="392"/>
      <c r="R34" s="392"/>
      <c r="S34" s="392"/>
      <c r="T34" s="392"/>
      <c r="U34" s="392"/>
    </row>
    <row r="35" spans="1:21" ht="13" customHeight="1">
      <c r="A35" s="494"/>
      <c r="B35" s="494"/>
      <c r="C35" s="318" t="s">
        <v>0</v>
      </c>
      <c r="D35" s="321">
        <f>SUM(D29:D34)</f>
        <v>2744780</v>
      </c>
      <c r="E35" s="319">
        <f>SUM(E29:E34)</f>
        <v>2414622.354256487</v>
      </c>
      <c r="F35" s="319">
        <f>SUM(F29:F34)</f>
        <v>26297102.017419931</v>
      </c>
      <c r="G35" s="320">
        <f>SUM(G29:G34)</f>
        <v>1</v>
      </c>
      <c r="H35" s="320">
        <f>(E35-I35)/I35</f>
        <v>-4.250616076603065E-2</v>
      </c>
      <c r="I35" s="321">
        <f>SUM(I29:I34)</f>
        <v>2521815.0293147312</v>
      </c>
      <c r="J35" s="319">
        <f>SUM(J29:J34)</f>
        <v>27395972.082227953</v>
      </c>
      <c r="K35" s="320">
        <f>SUM(K29:K34)</f>
        <v>1</v>
      </c>
      <c r="M35" s="392"/>
      <c r="N35" s="392"/>
      <c r="O35" s="392"/>
      <c r="P35" s="392"/>
      <c r="Q35" s="392"/>
      <c r="R35" s="392"/>
      <c r="S35" s="392"/>
      <c r="T35" s="392"/>
      <c r="U35" s="392"/>
    </row>
    <row r="36" spans="1:21" ht="20.149999999999999" customHeight="1">
      <c r="A36" s="126"/>
      <c r="B36" s="303"/>
      <c r="C36" s="101"/>
      <c r="D36" s="88"/>
      <c r="E36" s="88"/>
      <c r="F36" s="88"/>
      <c r="G36" s="496" t="s">
        <v>270</v>
      </c>
      <c r="H36" s="496"/>
      <c r="I36" s="496"/>
      <c r="J36" s="496"/>
      <c r="K36" s="496"/>
    </row>
    <row r="37" spans="1:21" ht="15" customHeight="1">
      <c r="A37" s="488" t="s">
        <v>269</v>
      </c>
      <c r="B37" s="488"/>
      <c r="C37" s="488"/>
      <c r="D37" s="488"/>
      <c r="E37" s="488"/>
      <c r="F37" s="119"/>
      <c r="G37" s="496"/>
      <c r="H37" s="496"/>
      <c r="I37" s="496"/>
      <c r="J37" s="496"/>
      <c r="K37" s="496"/>
      <c r="M37" s="93"/>
      <c r="N37" s="93"/>
      <c r="O37" s="93"/>
      <c r="P37" s="93"/>
      <c r="Q37" s="93"/>
      <c r="R37" s="93"/>
      <c r="S37" s="93"/>
    </row>
    <row r="38" spans="1:21" ht="15" customHeight="1">
      <c r="A38" s="489" t="str">
        <f>A29</f>
        <v>I. čtvrtletí</v>
      </c>
      <c r="B38" s="490"/>
      <c r="C38" s="490"/>
      <c r="D38" s="490"/>
      <c r="E38" s="490"/>
      <c r="F38" s="125"/>
      <c r="G38" s="491" t="str">
        <f>A29</f>
        <v>I. čtvrtletí</v>
      </c>
      <c r="H38" s="491"/>
      <c r="I38" s="491"/>
      <c r="J38" s="491"/>
      <c r="K38" s="491"/>
      <c r="M38" s="93"/>
      <c r="N38" s="93"/>
      <c r="O38" s="93"/>
      <c r="P38" s="93"/>
      <c r="Q38" s="93"/>
      <c r="R38" s="93"/>
      <c r="S38" s="93"/>
    </row>
    <row r="39" spans="1:21" ht="15" customHeight="1">
      <c r="A39" s="126"/>
      <c r="B39" s="126"/>
      <c r="C39" s="126"/>
      <c r="D39" s="76"/>
      <c r="E39" s="76"/>
      <c r="F39" s="76"/>
      <c r="G39" s="126"/>
      <c r="H39" s="126"/>
      <c r="I39" s="126"/>
      <c r="J39" s="126"/>
      <c r="K39" s="126"/>
      <c r="M39" s="93"/>
      <c r="N39" s="93"/>
      <c r="O39" s="93"/>
      <c r="P39" s="93"/>
      <c r="Q39" s="93"/>
      <c r="R39" s="93"/>
      <c r="S39" s="93"/>
      <c r="T39" s="93"/>
    </row>
    <row r="40" spans="1:21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1" ht="15" customHeight="1">
      <c r="A41" s="94"/>
      <c r="B41" s="94"/>
      <c r="C41" s="94"/>
      <c r="D41" s="76"/>
      <c r="E41" s="76"/>
      <c r="F41" s="76"/>
      <c r="G41" s="94"/>
      <c r="H41" s="94"/>
      <c r="I41" s="94"/>
      <c r="J41" s="94"/>
      <c r="K41" s="94"/>
    </row>
    <row r="42" spans="1:21" ht="15" customHeight="1">
      <c r="A42" s="94"/>
      <c r="B42" s="94"/>
      <c r="C42" s="94">
        <f>D4</f>
        <v>2024</v>
      </c>
      <c r="D42" s="94">
        <f>I4</f>
        <v>2023</v>
      </c>
      <c r="E42" s="76"/>
      <c r="F42" s="76"/>
      <c r="G42" s="76"/>
      <c r="H42" s="94"/>
      <c r="I42" s="94">
        <f>D4</f>
        <v>2024</v>
      </c>
      <c r="J42" s="94">
        <f>I4</f>
        <v>2023</v>
      </c>
      <c r="K42" s="94"/>
    </row>
    <row r="43" spans="1:21" ht="15" customHeight="1">
      <c r="A43" s="94"/>
      <c r="B43" s="94" t="str">
        <f>A8</f>
        <v>Leden</v>
      </c>
      <c r="C43" s="78">
        <f>E14</f>
        <v>1051795.2482870037</v>
      </c>
      <c r="D43" s="78">
        <f>I14</f>
        <v>891779.61654958315</v>
      </c>
      <c r="E43" s="76"/>
      <c r="F43" s="76"/>
      <c r="G43" s="76"/>
      <c r="H43" s="94" t="str">
        <f>A8</f>
        <v>Leden</v>
      </c>
      <c r="I43" s="95">
        <f>E14/E35</f>
        <v>0.43559409877611011</v>
      </c>
      <c r="J43" s="95">
        <f>I14/I35</f>
        <v>0.35362610111492282</v>
      </c>
      <c r="K43" s="94"/>
    </row>
    <row r="44" spans="1:21" ht="15" customHeight="1">
      <c r="A44" s="94"/>
      <c r="B44" s="94" t="str">
        <f>A15</f>
        <v>Únor</v>
      </c>
      <c r="C44" s="78">
        <f>E21</f>
        <v>707887.198002405</v>
      </c>
      <c r="D44" s="78">
        <f>I21</f>
        <v>860767.35557490308</v>
      </c>
      <c r="E44" s="76"/>
      <c r="F44" s="76"/>
      <c r="G44" s="76"/>
      <c r="H44" s="94" t="str">
        <f>A15</f>
        <v>Únor</v>
      </c>
      <c r="I44" s="95">
        <f>E21/E35</f>
        <v>0.2931668369401717</v>
      </c>
      <c r="J44" s="95">
        <f>I21/I35</f>
        <v>0.3413285056869555</v>
      </c>
      <c r="K44" s="94"/>
    </row>
    <row r="45" spans="1:21" ht="15" customHeight="1">
      <c r="A45" s="94"/>
      <c r="B45" s="94" t="str">
        <f>A22</f>
        <v>Březen</v>
      </c>
      <c r="C45" s="78">
        <f>E28</f>
        <v>654939.90796707862</v>
      </c>
      <c r="D45" s="78">
        <f>I28</f>
        <v>769268.0571902449</v>
      </c>
      <c r="E45" s="76"/>
      <c r="F45" s="76"/>
      <c r="G45" s="76"/>
      <c r="H45" s="94" t="str">
        <f>A22</f>
        <v>Březen</v>
      </c>
      <c r="I45" s="95">
        <f>E28/E35</f>
        <v>0.27123906428371836</v>
      </c>
      <c r="J45" s="95">
        <f>I28/I35</f>
        <v>0.30504539319812168</v>
      </c>
      <c r="K45" s="94"/>
    </row>
    <row r="46" spans="1:21" ht="15" customHeight="1">
      <c r="A46" s="94"/>
      <c r="B46" s="94"/>
      <c r="C46" s="78">
        <f>SUM(C43:C45)</f>
        <v>2414622.3542564875</v>
      </c>
      <c r="D46" s="78">
        <f>SUM(D43:D45)</f>
        <v>2521815.0293147312</v>
      </c>
      <c r="E46" s="94"/>
      <c r="F46" s="94"/>
      <c r="G46" s="94"/>
      <c r="H46" s="94"/>
      <c r="I46" s="96">
        <f>SUM(I43:I45)</f>
        <v>1.0000000000000002</v>
      </c>
      <c r="J46" s="96">
        <f>SUM(J43:J45)</f>
        <v>1</v>
      </c>
      <c r="K46" s="94"/>
    </row>
    <row r="47" spans="1:21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1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  <mergeCell ref="A37:E37"/>
    <mergeCell ref="A38:E38"/>
    <mergeCell ref="G38:K38"/>
    <mergeCell ref="A8:B14"/>
    <mergeCell ref="A15:B21"/>
    <mergeCell ref="A22:B28"/>
    <mergeCell ref="A29:B35"/>
    <mergeCell ref="G36:K3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topLeftCell="A13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21" s="86" customFormat="1" ht="18">
      <c r="A1" s="482" t="s">
        <v>296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21" ht="6" customHeight="1">
      <c r="A2" s="497"/>
      <c r="B2" s="497"/>
      <c r="C2" s="49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7" t="s">
        <v>254</v>
      </c>
      <c r="B3" s="507"/>
      <c r="C3" s="507"/>
      <c r="D3" s="341">
        <f>'3.1'!A4</f>
        <v>2024</v>
      </c>
      <c r="E3" s="502"/>
      <c r="F3" s="502"/>
      <c r="G3" s="502"/>
      <c r="H3" s="340"/>
      <c r="I3" s="501">
        <f>D3-1</f>
        <v>2023</v>
      </c>
      <c r="J3" s="502"/>
      <c r="K3" s="502"/>
    </row>
    <row r="4" spans="1:21" ht="50.15" customHeight="1">
      <c r="A4" s="508"/>
      <c r="B4" s="508"/>
      <c r="C4" s="508"/>
      <c r="D4" s="343"/>
      <c r="E4" s="504"/>
      <c r="F4" s="504"/>
      <c r="G4" s="504"/>
      <c r="H4" s="174"/>
      <c r="I4" s="503"/>
      <c r="J4" s="504"/>
      <c r="K4" s="504"/>
    </row>
    <row r="5" spans="1:21" ht="25" customHeight="1">
      <c r="A5" s="507" t="s">
        <v>158</v>
      </c>
      <c r="B5" s="507"/>
      <c r="C5" s="509" t="s">
        <v>184</v>
      </c>
      <c r="D5" s="505" t="s">
        <v>159</v>
      </c>
      <c r="E5" s="499" t="s">
        <v>60</v>
      </c>
      <c r="F5" s="499"/>
      <c r="G5" s="500" t="s">
        <v>33</v>
      </c>
      <c r="H5" s="500" t="s">
        <v>268</v>
      </c>
      <c r="I5" s="498" t="s">
        <v>60</v>
      </c>
      <c r="J5" s="499"/>
      <c r="K5" s="500" t="s">
        <v>33</v>
      </c>
    </row>
    <row r="6" spans="1:21" ht="22.5" customHeight="1">
      <c r="A6" s="508"/>
      <c r="B6" s="508"/>
      <c r="C6" s="510"/>
      <c r="D6" s="506"/>
      <c r="E6" s="219" t="s">
        <v>259</v>
      </c>
      <c r="F6" s="219" t="s">
        <v>260</v>
      </c>
      <c r="G6" s="487"/>
      <c r="H6" s="487"/>
      <c r="I6" s="221" t="s">
        <v>259</v>
      </c>
      <c r="J6" s="219" t="s">
        <v>260</v>
      </c>
      <c r="K6" s="487"/>
    </row>
    <row r="7" spans="1:21" ht="13" customHeight="1">
      <c r="A7" s="442" t="str">
        <f>'3.1'!D5</f>
        <v>Leden</v>
      </c>
      <c r="B7" s="442"/>
      <c r="C7" s="164" t="s">
        <v>4</v>
      </c>
      <c r="D7" s="312">
        <v>135</v>
      </c>
      <c r="E7" s="308">
        <v>23875.305658411999</v>
      </c>
      <c r="F7" s="308">
        <v>260361.78750999999</v>
      </c>
      <c r="G7" s="309">
        <f t="shared" ref="G7:G12" si="0">E7/$E$13</f>
        <v>0.1878350780245204</v>
      </c>
      <c r="H7" s="309">
        <f>(E7-I7)/I7</f>
        <v>0.20778370787518485</v>
      </c>
      <c r="I7" s="312">
        <v>19767.865307949101</v>
      </c>
      <c r="J7" s="308">
        <v>215523.33815</v>
      </c>
      <c r="K7" s="309">
        <f>I7/$I$13</f>
        <v>0.18848124653008647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3" customHeight="1">
      <c r="A8" s="443"/>
      <c r="B8" s="443"/>
      <c r="C8" s="154" t="s">
        <v>5</v>
      </c>
      <c r="D8" s="313">
        <v>1439</v>
      </c>
      <c r="E8" s="129">
        <v>24177.094086996</v>
      </c>
      <c r="F8" s="129">
        <v>263652.82059999998</v>
      </c>
      <c r="G8" s="307">
        <f t="shared" si="0"/>
        <v>0.19020934932562941</v>
      </c>
      <c r="H8" s="307">
        <f t="shared" ref="H8:H11" si="1">(E8-I8)/I8</f>
        <v>0.20937344070636088</v>
      </c>
      <c r="I8" s="313">
        <v>19991.42140319771</v>
      </c>
      <c r="J8" s="129">
        <v>217960.93731000001</v>
      </c>
      <c r="K8" s="307">
        <f t="shared" ref="K8:K12" si="2">I8/$I$13</f>
        <v>0.19061279340403814</v>
      </c>
      <c r="L8" s="93"/>
      <c r="M8" s="89"/>
      <c r="N8" s="89"/>
      <c r="O8" s="89"/>
      <c r="P8" s="89"/>
      <c r="Q8" s="89"/>
      <c r="R8" s="89"/>
      <c r="S8" s="89"/>
    </row>
    <row r="9" spans="1:21" ht="13" customHeight="1">
      <c r="A9" s="443"/>
      <c r="B9" s="443"/>
      <c r="C9" s="154" t="s">
        <v>6</v>
      </c>
      <c r="D9" s="313">
        <v>37451</v>
      </c>
      <c r="E9" s="129">
        <v>34293.255115330001</v>
      </c>
      <c r="F9" s="129">
        <v>373970.230093755</v>
      </c>
      <c r="G9" s="307">
        <f t="shared" si="0"/>
        <v>0.26979659831216718</v>
      </c>
      <c r="H9" s="307">
        <f t="shared" si="1"/>
        <v>0.27518344413436158</v>
      </c>
      <c r="I9" s="313">
        <v>26892.801402867524</v>
      </c>
      <c r="J9" s="129">
        <v>293204.77431000001</v>
      </c>
      <c r="K9" s="307">
        <f t="shared" si="2"/>
        <v>0.25641558418855959</v>
      </c>
      <c r="L9" s="93"/>
      <c r="M9" s="89"/>
      <c r="N9" s="89"/>
      <c r="O9" s="89"/>
      <c r="P9" s="89"/>
      <c r="Q9" s="89"/>
      <c r="R9" s="89"/>
      <c r="S9" s="89"/>
    </row>
    <row r="10" spans="1:21" ht="13" customHeight="1">
      <c r="A10" s="443"/>
      <c r="B10" s="443"/>
      <c r="C10" s="154" t="s">
        <v>7</v>
      </c>
      <c r="D10" s="313">
        <v>362815</v>
      </c>
      <c r="E10" s="129">
        <v>41660.490047968997</v>
      </c>
      <c r="F10" s="129">
        <v>454310.41750519001</v>
      </c>
      <c r="G10" s="307">
        <f t="shared" si="0"/>
        <v>0.32775711903579002</v>
      </c>
      <c r="H10" s="307">
        <f t="shared" si="1"/>
        <v>0.17906820880071211</v>
      </c>
      <c r="I10" s="313">
        <v>35333.401186640353</v>
      </c>
      <c r="J10" s="129">
        <v>385230.29882000003</v>
      </c>
      <c r="K10" s="307">
        <f t="shared" si="2"/>
        <v>0.33689441910187451</v>
      </c>
      <c r="L10" s="93"/>
      <c r="M10" s="89"/>
      <c r="N10" s="89"/>
      <c r="O10" s="89"/>
      <c r="P10" s="89"/>
      <c r="Q10" s="89"/>
      <c r="R10" s="89"/>
      <c r="S10" s="89"/>
    </row>
    <row r="11" spans="1:21" ht="13" customHeight="1">
      <c r="A11" s="443"/>
      <c r="B11" s="443"/>
      <c r="C11" s="154" t="s">
        <v>93</v>
      </c>
      <c r="D11" s="313">
        <v>40</v>
      </c>
      <c r="E11" s="129">
        <v>1154.2318933910001</v>
      </c>
      <c r="F11" s="129">
        <v>12586.975640000001</v>
      </c>
      <c r="G11" s="307">
        <f t="shared" si="0"/>
        <v>9.0807313990177684E-3</v>
      </c>
      <c r="H11" s="307">
        <f t="shared" si="1"/>
        <v>0.1156607927584752</v>
      </c>
      <c r="I11" s="313">
        <v>1034.572426388811</v>
      </c>
      <c r="J11" s="129">
        <v>11279.65697</v>
      </c>
      <c r="K11" s="307">
        <f t="shared" si="2"/>
        <v>9.864368130483284E-3</v>
      </c>
      <c r="L11" s="93"/>
      <c r="M11" s="89"/>
      <c r="N11" s="89"/>
      <c r="O11" s="89"/>
      <c r="P11" s="89"/>
      <c r="Q11" s="89"/>
      <c r="R11" s="89"/>
      <c r="S11" s="89"/>
    </row>
    <row r="12" spans="1:21" ht="13" customHeight="1">
      <c r="A12" s="443"/>
      <c r="B12" s="443"/>
      <c r="C12" s="154" t="s">
        <v>94</v>
      </c>
      <c r="D12" s="313"/>
      <c r="E12" s="129">
        <v>1947.434526387</v>
      </c>
      <c r="F12" s="129">
        <v>21236.903159999998</v>
      </c>
      <c r="G12" s="307">
        <f t="shared" si="0"/>
        <v>1.532112390287518E-2</v>
      </c>
      <c r="H12" s="307">
        <f>(E12-I12)/I12</f>
        <v>4.718542739861812E-2</v>
      </c>
      <c r="I12" s="313">
        <v>1859.6845175975659</v>
      </c>
      <c r="J12" s="129">
        <v>20276.271290000001</v>
      </c>
      <c r="K12" s="307">
        <f t="shared" si="2"/>
        <v>1.7731588644958118E-2</v>
      </c>
      <c r="L12" s="93"/>
      <c r="M12" s="89"/>
      <c r="N12" s="89"/>
      <c r="O12" s="89"/>
      <c r="P12" s="89"/>
      <c r="Q12" s="89"/>
      <c r="R12" s="89"/>
      <c r="S12" s="89"/>
    </row>
    <row r="13" spans="1:21" ht="13" customHeight="1">
      <c r="A13" s="444"/>
      <c r="B13" s="444"/>
      <c r="C13" s="318" t="s">
        <v>0</v>
      </c>
      <c r="D13" s="321">
        <v>401880</v>
      </c>
      <c r="E13" s="319">
        <v>127107.811328485</v>
      </c>
      <c r="F13" s="319">
        <v>1386119.134508945</v>
      </c>
      <c r="G13" s="320">
        <f>SUM(G7:G12)</f>
        <v>1</v>
      </c>
      <c r="H13" s="320">
        <f>(E13-I13)/I13</f>
        <v>0.21193858566357576</v>
      </c>
      <c r="I13" s="321">
        <v>104879.74624464105</v>
      </c>
      <c r="J13" s="319">
        <v>1143475.27685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3" customHeight="1">
      <c r="A14" s="442" t="str">
        <f>'3.1'!E5</f>
        <v>Únor</v>
      </c>
      <c r="B14" s="442"/>
      <c r="C14" s="164" t="s">
        <v>4</v>
      </c>
      <c r="D14" s="312">
        <v>135</v>
      </c>
      <c r="E14" s="308">
        <v>16059.22569883</v>
      </c>
      <c r="F14" s="308">
        <v>175356.63923</v>
      </c>
      <c r="G14" s="309">
        <f>E14/$E$20</f>
        <v>0.19542996859617703</v>
      </c>
      <c r="H14" s="309">
        <f>(E14-I14)/I14</f>
        <v>-0.13022781405511982</v>
      </c>
      <c r="I14" s="312">
        <v>18463.714934024938</v>
      </c>
      <c r="J14" s="308">
        <v>201144.25449000002</v>
      </c>
      <c r="K14" s="309">
        <f>I14/$I$20</f>
        <v>0.1862283574230173</v>
      </c>
      <c r="L14" s="93"/>
      <c r="M14" s="89"/>
      <c r="N14" s="89"/>
      <c r="O14" s="89"/>
      <c r="P14" s="89"/>
      <c r="Q14" s="89"/>
      <c r="R14" s="89"/>
      <c r="S14" s="89"/>
    </row>
    <row r="15" spans="1:21" ht="13" customHeight="1">
      <c r="A15" s="443"/>
      <c r="B15" s="443"/>
      <c r="C15" s="154" t="s">
        <v>5</v>
      </c>
      <c r="D15" s="313">
        <v>1436</v>
      </c>
      <c r="E15" s="129">
        <v>15609.143382554999</v>
      </c>
      <c r="F15" s="129">
        <v>170442.17269000001</v>
      </c>
      <c r="G15" s="307">
        <f t="shared" ref="G15:G19" si="3">E15/$E$20</f>
        <v>0.18995276972090833</v>
      </c>
      <c r="H15" s="307">
        <f t="shared" ref="H15:H17" si="4">(E15-I15)/I15</f>
        <v>-0.17019645319048318</v>
      </c>
      <c r="I15" s="313">
        <v>18810.64915011518</v>
      </c>
      <c r="J15" s="129">
        <v>204924.16413999998</v>
      </c>
      <c r="K15" s="307">
        <f t="shared" ref="K15:K19" si="5">I15/$I$20</f>
        <v>0.18972759847105072</v>
      </c>
      <c r="L15" s="97"/>
      <c r="M15" s="89"/>
      <c r="N15" s="89"/>
      <c r="O15" s="89"/>
      <c r="P15" s="89"/>
      <c r="Q15" s="89"/>
      <c r="R15" s="89"/>
      <c r="S15" s="89"/>
    </row>
    <row r="16" spans="1:21" ht="13" customHeight="1">
      <c r="A16" s="443"/>
      <c r="B16" s="443"/>
      <c r="C16" s="154" t="s">
        <v>6</v>
      </c>
      <c r="D16" s="313">
        <v>37441</v>
      </c>
      <c r="E16" s="129">
        <v>21368.430004664999</v>
      </c>
      <c r="F16" s="129">
        <v>233330.013550887</v>
      </c>
      <c r="G16" s="307">
        <f t="shared" si="3"/>
        <v>0.2600394118046136</v>
      </c>
      <c r="H16" s="307">
        <f t="shared" si="4"/>
        <v>-0.16675961796225319</v>
      </c>
      <c r="I16" s="313">
        <v>25644.976486145606</v>
      </c>
      <c r="J16" s="129">
        <v>279377.67213000002</v>
      </c>
      <c r="K16" s="307">
        <f>I16/$I$20</f>
        <v>0.25865985605994773</v>
      </c>
      <c r="L16" s="93"/>
      <c r="M16" s="89"/>
      <c r="N16" s="89"/>
      <c r="O16" s="89"/>
      <c r="P16" s="89"/>
      <c r="Q16" s="89"/>
      <c r="R16" s="89"/>
      <c r="S16" s="89"/>
    </row>
    <row r="17" spans="1:20" ht="13" customHeight="1">
      <c r="A17" s="443"/>
      <c r="B17" s="443"/>
      <c r="C17" s="154" t="s">
        <v>7</v>
      </c>
      <c r="D17" s="313">
        <v>362470</v>
      </c>
      <c r="E17" s="129">
        <v>26574.826882034002</v>
      </c>
      <c r="F17" s="129">
        <v>290180.64102715498</v>
      </c>
      <c r="G17" s="307">
        <f t="shared" si="3"/>
        <v>0.32339775779993685</v>
      </c>
      <c r="H17" s="307">
        <f t="shared" si="4"/>
        <v>-0.20426708106725658</v>
      </c>
      <c r="I17" s="313">
        <v>33396.666456474886</v>
      </c>
      <c r="J17" s="129">
        <v>363824.97509999998</v>
      </c>
      <c r="K17" s="307">
        <f>I17/$I$20</f>
        <v>0.33684479855852706</v>
      </c>
      <c r="L17" s="93"/>
      <c r="M17" s="89"/>
      <c r="N17" s="89"/>
      <c r="O17" s="89"/>
      <c r="P17" s="89"/>
      <c r="Q17" s="89"/>
      <c r="R17" s="89"/>
      <c r="S17" s="89"/>
    </row>
    <row r="18" spans="1:20" ht="13" customHeight="1">
      <c r="A18" s="443"/>
      <c r="B18" s="443"/>
      <c r="C18" s="154" t="s">
        <v>93</v>
      </c>
      <c r="D18" s="313">
        <v>40</v>
      </c>
      <c r="E18" s="129">
        <v>1077.3561622570001</v>
      </c>
      <c r="F18" s="129">
        <v>11764.06165</v>
      </c>
      <c r="G18" s="307">
        <f t="shared" si="3"/>
        <v>1.3110699413865442E-2</v>
      </c>
      <c r="H18" s="307">
        <f>(E18-I18)/I18</f>
        <v>4.4382026200046477E-2</v>
      </c>
      <c r="I18" s="313">
        <v>1031.5728681935757</v>
      </c>
      <c r="J18" s="129">
        <v>11238.007049999998</v>
      </c>
      <c r="K18" s="307">
        <f>I18/$I$20</f>
        <v>1.0404629918317436E-2</v>
      </c>
      <c r="L18" s="93"/>
      <c r="M18" s="89"/>
      <c r="N18" s="89"/>
      <c r="O18" s="89"/>
      <c r="P18" s="89"/>
      <c r="Q18" s="89"/>
      <c r="R18" s="89"/>
      <c r="S18" s="89"/>
    </row>
    <row r="19" spans="1:20" ht="13" customHeight="1">
      <c r="A19" s="443"/>
      <c r="B19" s="443"/>
      <c r="C19" s="154" t="s">
        <v>94</v>
      </c>
      <c r="D19" s="313"/>
      <c r="E19" s="129">
        <v>1484.8308942810002</v>
      </c>
      <c r="F19" s="129">
        <v>16213.433210000001</v>
      </c>
      <c r="G19" s="307">
        <f t="shared" si="3"/>
        <v>1.8069392664498793E-2</v>
      </c>
      <c r="H19" s="307">
        <f t="shared" ref="H19" si="6">(E19-I19)/I19</f>
        <v>-0.17416759650382141</v>
      </c>
      <c r="I19" s="313">
        <v>1797.9809075000421</v>
      </c>
      <c r="J19" s="129">
        <v>19587.295030000001</v>
      </c>
      <c r="K19" s="307">
        <f t="shared" si="5"/>
        <v>1.8134759569139836E-2</v>
      </c>
      <c r="L19" s="93"/>
      <c r="M19" s="89"/>
      <c r="N19" s="89"/>
      <c r="O19" s="89"/>
      <c r="P19" s="89"/>
      <c r="Q19" s="89"/>
      <c r="R19" s="89"/>
      <c r="S19" s="89"/>
    </row>
    <row r="20" spans="1:20" ht="13" customHeight="1">
      <c r="A20" s="444"/>
      <c r="B20" s="444"/>
      <c r="C20" s="318" t="s">
        <v>0</v>
      </c>
      <c r="D20" s="321">
        <v>401522</v>
      </c>
      <c r="E20" s="319">
        <v>82173.813024621995</v>
      </c>
      <c r="F20" s="319">
        <v>897286.96135804208</v>
      </c>
      <c r="G20" s="320">
        <f>SUM(G14:G19)</f>
        <v>1</v>
      </c>
      <c r="H20" s="320">
        <f>(E20-I20)/I20</f>
        <v>-0.17118010771705786</v>
      </c>
      <c r="I20" s="321">
        <v>99145.560802454216</v>
      </c>
      <c r="J20" s="319">
        <v>1080096.3679399998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3" customHeight="1">
      <c r="A21" s="442" t="str">
        <f>'3.1'!F5</f>
        <v>Březen</v>
      </c>
      <c r="B21" s="442"/>
      <c r="C21" s="164" t="s">
        <v>4</v>
      </c>
      <c r="D21" s="312">
        <v>134</v>
      </c>
      <c r="E21" s="308">
        <v>14723.580144594</v>
      </c>
      <c r="F21" s="308">
        <v>160374.63777</v>
      </c>
      <c r="G21" s="309">
        <f>E21/$E$27</f>
        <v>0.20457035608591745</v>
      </c>
      <c r="H21" s="309">
        <f>(E21-I21)/I21</f>
        <v>-0.11661514774476807</v>
      </c>
      <c r="I21" s="312">
        <v>16667.23184918275</v>
      </c>
      <c r="J21" s="308">
        <v>181132.64786000003</v>
      </c>
      <c r="K21" s="309">
        <f>I21/$I$27</f>
        <v>0.19392713922566879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3" customHeight="1">
      <c r="A22" s="443"/>
      <c r="B22" s="443"/>
      <c r="C22" s="154" t="s">
        <v>5</v>
      </c>
      <c r="D22" s="313">
        <v>1409</v>
      </c>
      <c r="E22" s="129">
        <v>13653.190870287999</v>
      </c>
      <c r="F22" s="129">
        <v>148715.45168</v>
      </c>
      <c r="G22" s="307">
        <f t="shared" ref="G22:G26" si="7">E22/$E$27</f>
        <v>0.1896982996400724</v>
      </c>
      <c r="H22" s="307">
        <f t="shared" ref="H22:H26" si="8">(E22-I22)/I22</f>
        <v>-0.16889225136851016</v>
      </c>
      <c r="I22" s="313">
        <v>16427.70253648757</v>
      </c>
      <c r="J22" s="129">
        <v>178529.97398999997</v>
      </c>
      <c r="K22" s="307">
        <f t="shared" ref="K22:K26" si="9">I22/$I$27</f>
        <v>0.19114015967249573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3" customHeight="1">
      <c r="A23" s="443"/>
      <c r="B23" s="443"/>
      <c r="C23" s="154" t="s">
        <v>6</v>
      </c>
      <c r="D23" s="313">
        <v>37470</v>
      </c>
      <c r="E23" s="129">
        <v>18144.900092479002</v>
      </c>
      <c r="F23" s="129">
        <v>197640.759480904</v>
      </c>
      <c r="G23" s="307">
        <f t="shared" si="7"/>
        <v>0.25210639237255844</v>
      </c>
      <c r="H23" s="307">
        <f t="shared" si="8"/>
        <v>-0.17098924706719246</v>
      </c>
      <c r="I23" s="313">
        <v>21887.412229922753</v>
      </c>
      <c r="J23" s="129">
        <v>237864.00608590498</v>
      </c>
      <c r="K23" s="307">
        <f t="shared" si="9"/>
        <v>0.25466515839041148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3" customHeight="1">
      <c r="A24" s="443"/>
      <c r="B24" s="443"/>
      <c r="C24" s="154" t="s">
        <v>7</v>
      </c>
      <c r="D24" s="313">
        <v>362042</v>
      </c>
      <c r="E24" s="129">
        <v>22925.46201336</v>
      </c>
      <c r="F24" s="129">
        <v>249712.35447304</v>
      </c>
      <c r="G24" s="307">
        <f t="shared" si="7"/>
        <v>0.31852782281551206</v>
      </c>
      <c r="H24" s="307">
        <f t="shared" si="8"/>
        <v>-0.18408715803676085</v>
      </c>
      <c r="I24" s="313">
        <v>28097.930114933653</v>
      </c>
      <c r="J24" s="129">
        <v>305357.5338030493</v>
      </c>
      <c r="K24" s="307">
        <f t="shared" si="9"/>
        <v>0.32692598595003231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3" customHeight="1">
      <c r="A25" s="443"/>
      <c r="B25" s="443"/>
      <c r="C25" s="154" t="s">
        <v>93</v>
      </c>
      <c r="D25" s="313">
        <v>40</v>
      </c>
      <c r="E25" s="129">
        <v>1157.544065047</v>
      </c>
      <c r="F25" s="129">
        <v>12608.385109999999</v>
      </c>
      <c r="G25" s="307">
        <f t="shared" si="7"/>
        <v>1.6082990634499302E-2</v>
      </c>
      <c r="H25" s="307">
        <f t="shared" si="8"/>
        <v>-4.9118350306084829E-2</v>
      </c>
      <c r="I25" s="313">
        <v>1217.337683842788</v>
      </c>
      <c r="J25" s="129">
        <v>13229.559309999999</v>
      </c>
      <c r="K25" s="307">
        <f t="shared" si="9"/>
        <v>1.4164008554954437E-2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3" customHeight="1">
      <c r="A26" s="443"/>
      <c r="B26" s="443"/>
      <c r="C26" s="154" t="s">
        <v>94</v>
      </c>
      <c r="D26" s="313"/>
      <c r="E26" s="129">
        <v>1368.5081100049999</v>
      </c>
      <c r="F26" s="129">
        <v>14906.281149999999</v>
      </c>
      <c r="G26" s="307">
        <f t="shared" si="7"/>
        <v>1.9014138451440368E-2</v>
      </c>
      <c r="H26" s="307">
        <f t="shared" si="8"/>
        <v>-0.16971076623874226</v>
      </c>
      <c r="I26" s="313">
        <v>1648.2305856304795</v>
      </c>
      <c r="J26" s="129">
        <v>17913.524549999998</v>
      </c>
      <c r="K26" s="307">
        <f t="shared" si="9"/>
        <v>1.91775482064372E-2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3" customHeight="1">
      <c r="A27" s="444"/>
      <c r="B27" s="444"/>
      <c r="C27" s="318" t="s">
        <v>0</v>
      </c>
      <c r="D27" s="321">
        <v>401095</v>
      </c>
      <c r="E27" s="319">
        <v>71973.185295773001</v>
      </c>
      <c r="F27" s="319">
        <v>783957.869663944</v>
      </c>
      <c r="G27" s="320">
        <f>SUM(G21:G26)</f>
        <v>1</v>
      </c>
      <c r="H27" s="320">
        <f>(E27-I27)/I27</f>
        <v>-0.1625751623505127</v>
      </c>
      <c r="I27" s="321">
        <v>85945.845000000001</v>
      </c>
      <c r="J27" s="319">
        <v>934027.24559895427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3" customHeight="1">
      <c r="A28" s="511" t="str">
        <f>'3.1'!G5</f>
        <v>I. čtvrtletí</v>
      </c>
      <c r="B28" s="511"/>
      <c r="C28" s="164" t="s">
        <v>4</v>
      </c>
      <c r="D28" s="312">
        <f>D21</f>
        <v>134</v>
      </c>
      <c r="E28" s="308">
        <f>E7+E14+E21</f>
        <v>54658.111501836</v>
      </c>
      <c r="F28" s="308">
        <f>F7+F14+F21</f>
        <v>596093.06451000005</v>
      </c>
      <c r="G28" s="309">
        <f>E28/$E$34</f>
        <v>0.19433662866093374</v>
      </c>
      <c r="H28" s="309">
        <f>(E28-I28)/I28</f>
        <v>-4.3844407584104177E-3</v>
      </c>
      <c r="I28" s="312">
        <f>I7+I14+I21</f>
        <v>54898.812091156782</v>
      </c>
      <c r="J28" s="308">
        <f>J7+J14+J21</f>
        <v>597800.24050000007</v>
      </c>
      <c r="K28" s="309">
        <f>I28/$I$34</f>
        <v>0.18932508183517671</v>
      </c>
      <c r="M28" s="89"/>
      <c r="N28" s="89"/>
      <c r="O28" s="89"/>
      <c r="P28" s="89"/>
      <c r="Q28" s="89"/>
      <c r="R28" s="89"/>
      <c r="S28" s="89"/>
    </row>
    <row r="29" spans="1:20" ht="13" customHeight="1">
      <c r="A29" s="512"/>
      <c r="B29" s="512"/>
      <c r="C29" s="154" t="s">
        <v>5</v>
      </c>
      <c r="D29" s="313">
        <f t="shared" ref="D29:D32" si="10">D22</f>
        <v>1409</v>
      </c>
      <c r="E29" s="129">
        <f>E8+E15+E22</f>
        <v>53439.428339838996</v>
      </c>
      <c r="F29" s="129">
        <f t="shared" ref="F29" si="11">F8+F15+F22</f>
        <v>582810.44497000007</v>
      </c>
      <c r="G29" s="307">
        <f t="shared" ref="G29:G33" si="12">E29/$E$34</f>
        <v>0.1900036070727219</v>
      </c>
      <c r="H29" s="307">
        <f t="shared" ref="H29:H31" si="13">(E29-I29)/I29</f>
        <v>-3.241629740267938E-2</v>
      </c>
      <c r="I29" s="313">
        <f>I8+I15+I22</f>
        <v>55229.773089800467</v>
      </c>
      <c r="J29" s="129">
        <f t="shared" ref="J29" si="14">J8+J15+J22</f>
        <v>601415.07543999993</v>
      </c>
      <c r="K29" s="307">
        <f t="shared" ref="K29:K33" si="15">I29/$I$34</f>
        <v>0.19046644019550743</v>
      </c>
      <c r="M29" s="89"/>
      <c r="N29" s="89"/>
      <c r="O29" s="89"/>
      <c r="P29" s="89"/>
      <c r="Q29" s="89"/>
      <c r="R29" s="89"/>
      <c r="S29" s="89"/>
    </row>
    <row r="30" spans="1:20" ht="13" customHeight="1">
      <c r="A30" s="512"/>
      <c r="B30" s="512"/>
      <c r="C30" s="154" t="s">
        <v>6</v>
      </c>
      <c r="D30" s="313">
        <f t="shared" si="10"/>
        <v>37470</v>
      </c>
      <c r="E30" s="129">
        <f t="shared" ref="E30:F33" si="16">E9+E16+E23</f>
        <v>73806.585212474005</v>
      </c>
      <c r="F30" s="129">
        <f t="shared" si="16"/>
        <v>804941.00312554592</v>
      </c>
      <c r="G30" s="307">
        <f t="shared" si="12"/>
        <v>0.2624189264696114</v>
      </c>
      <c r="H30" s="307">
        <f t="shared" si="13"/>
        <v>-8.3117679037610515E-3</v>
      </c>
      <c r="I30" s="313">
        <f t="shared" ref="I30:J32" si="17">I9+I16+I23</f>
        <v>74425.19011893589</v>
      </c>
      <c r="J30" s="129">
        <f t="shared" si="17"/>
        <v>810446.4525259051</v>
      </c>
      <c r="K30" s="307">
        <f t="shared" si="15"/>
        <v>0.25666411845978465</v>
      </c>
      <c r="M30" s="89"/>
      <c r="N30" s="89"/>
      <c r="O30" s="89"/>
      <c r="P30" s="89"/>
      <c r="Q30" s="89"/>
      <c r="R30" s="89"/>
      <c r="S30" s="89"/>
    </row>
    <row r="31" spans="1:20" ht="13" customHeight="1">
      <c r="A31" s="512"/>
      <c r="B31" s="512"/>
      <c r="C31" s="154" t="s">
        <v>7</v>
      </c>
      <c r="D31" s="313">
        <f t="shared" si="10"/>
        <v>362042</v>
      </c>
      <c r="E31" s="129">
        <f>E10+E17+E24</f>
        <v>91160.778943362995</v>
      </c>
      <c r="F31" s="129">
        <f t="shared" si="16"/>
        <v>994203.41300538497</v>
      </c>
      <c r="G31" s="307">
        <f t="shared" si="12"/>
        <v>0.32412167122463997</v>
      </c>
      <c r="H31" s="307">
        <f t="shared" si="13"/>
        <v>-5.8528720472429741E-2</v>
      </c>
      <c r="I31" s="313">
        <f>I10+I17+I24</f>
        <v>96827.997758048892</v>
      </c>
      <c r="J31" s="129">
        <f t="shared" si="17"/>
        <v>1054412.8077230493</v>
      </c>
      <c r="K31" s="307">
        <f t="shared" si="15"/>
        <v>0.33392286465214543</v>
      </c>
      <c r="M31" s="89"/>
      <c r="N31" s="89"/>
      <c r="O31" s="89"/>
      <c r="P31" s="89"/>
      <c r="Q31" s="89"/>
      <c r="R31" s="89"/>
      <c r="S31" s="89"/>
    </row>
    <row r="32" spans="1:20" ht="13" customHeight="1">
      <c r="A32" s="512"/>
      <c r="B32" s="512"/>
      <c r="C32" s="154" t="s">
        <v>93</v>
      </c>
      <c r="D32" s="313">
        <f t="shared" si="10"/>
        <v>40</v>
      </c>
      <c r="E32" s="129">
        <f>E11+E18+E25</f>
        <v>3389.1321206950001</v>
      </c>
      <c r="F32" s="129">
        <f t="shared" si="16"/>
        <v>36959.422399999996</v>
      </c>
      <c r="G32" s="307">
        <f t="shared" si="12"/>
        <v>1.2050041472805426E-2</v>
      </c>
      <c r="H32" s="307">
        <f>(E32-I32)/I32</f>
        <v>3.2175937248347469E-2</v>
      </c>
      <c r="I32" s="313">
        <f>I11+I18+I25</f>
        <v>3283.4829784251747</v>
      </c>
      <c r="J32" s="129">
        <f t="shared" si="17"/>
        <v>35747.223329999993</v>
      </c>
      <c r="K32" s="307">
        <f t="shared" si="15"/>
        <v>1.1323481509263694E-2</v>
      </c>
      <c r="M32" s="89"/>
      <c r="N32" s="89"/>
      <c r="O32" s="89"/>
      <c r="P32" s="89"/>
      <c r="Q32" s="89"/>
      <c r="R32" s="89"/>
      <c r="S32" s="89"/>
    </row>
    <row r="33" spans="1:20" ht="13" customHeight="1">
      <c r="A33" s="512"/>
      <c r="B33" s="512"/>
      <c r="C33" s="154" t="s">
        <v>94</v>
      </c>
      <c r="D33" s="313"/>
      <c r="E33" s="129">
        <f t="shared" si="16"/>
        <v>4800.7735306730001</v>
      </c>
      <c r="F33" s="129">
        <f t="shared" si="16"/>
        <v>52356.61752</v>
      </c>
      <c r="G33" s="307">
        <f t="shared" si="12"/>
        <v>1.7069125099287406E-2</v>
      </c>
      <c r="H33" s="307">
        <f t="shared" ref="H33" si="18">(E33-I33)/I33</f>
        <v>-9.5200222362777351E-2</v>
      </c>
      <c r="I33" s="313">
        <f t="shared" ref="I33:J33" si="19">I12+I19+I26</f>
        <v>5305.8960107280873</v>
      </c>
      <c r="J33" s="129">
        <f t="shared" si="19"/>
        <v>57777.09087</v>
      </c>
      <c r="K33" s="307">
        <f t="shared" si="15"/>
        <v>1.8298013348122082E-2</v>
      </c>
      <c r="M33" s="89"/>
      <c r="N33" s="89"/>
      <c r="O33" s="89"/>
      <c r="P33" s="89"/>
      <c r="Q33" s="89"/>
      <c r="R33" s="89"/>
      <c r="S33" s="89"/>
    </row>
    <row r="34" spans="1:20" ht="13" customHeight="1">
      <c r="A34" s="513"/>
      <c r="B34" s="513"/>
      <c r="C34" s="318" t="s">
        <v>0</v>
      </c>
      <c r="D34" s="321">
        <f>SUM(D28:D33)</f>
        <v>401095</v>
      </c>
      <c r="E34" s="319">
        <f>SUM(E28:E33)</f>
        <v>281254.80964888004</v>
      </c>
      <c r="F34" s="319">
        <f>SUM(F28:F33)</f>
        <v>3067363.965530931</v>
      </c>
      <c r="G34" s="320">
        <f>SUM(G28:G33)</f>
        <v>0.99999999999999978</v>
      </c>
      <c r="H34" s="320">
        <f>(E34-I34)/I34</f>
        <v>-3.0059343271497594E-2</v>
      </c>
      <c r="I34" s="321">
        <f>SUM(I28:I33)</f>
        <v>289971.1520470953</v>
      </c>
      <c r="J34" s="319">
        <f>SUM(J28:J33)</f>
        <v>3157598.8903889544</v>
      </c>
      <c r="K34" s="320">
        <f>SUM(K28:K33)</f>
        <v>0.99999999999999989</v>
      </c>
      <c r="M34" s="89"/>
      <c r="N34" s="89"/>
      <c r="O34" s="89"/>
      <c r="P34" s="89"/>
      <c r="Q34" s="89"/>
      <c r="R34" s="89"/>
      <c r="S34" s="89"/>
    </row>
    <row r="35" spans="1:20" ht="20.149999999999999" customHeight="1">
      <c r="A35" s="126"/>
      <c r="B35" s="303"/>
      <c r="C35" s="101"/>
      <c r="D35" s="88"/>
      <c r="E35" s="88"/>
      <c r="F35" s="88"/>
      <c r="G35" s="496" t="s">
        <v>270</v>
      </c>
      <c r="H35" s="496"/>
      <c r="I35" s="496"/>
      <c r="J35" s="496"/>
      <c r="K35" s="496"/>
    </row>
    <row r="36" spans="1:20" ht="15" customHeight="1">
      <c r="A36" s="488" t="s">
        <v>269</v>
      </c>
      <c r="B36" s="488"/>
      <c r="C36" s="488"/>
      <c r="D36" s="488"/>
      <c r="E36" s="488"/>
      <c r="F36" s="119"/>
      <c r="G36" s="496"/>
      <c r="H36" s="496"/>
      <c r="I36" s="496"/>
      <c r="J36" s="496"/>
      <c r="K36" s="496"/>
      <c r="M36" s="93"/>
      <c r="N36" s="93"/>
      <c r="O36" s="93"/>
      <c r="P36" s="93"/>
      <c r="Q36" s="93"/>
      <c r="R36" s="93"/>
      <c r="S36" s="93"/>
    </row>
    <row r="37" spans="1:20" ht="15" customHeight="1">
      <c r="A37" s="489" t="str">
        <f>A28</f>
        <v>I. čtvrtletí</v>
      </c>
      <c r="B37" s="490"/>
      <c r="C37" s="490"/>
      <c r="D37" s="490"/>
      <c r="E37" s="490"/>
      <c r="F37" s="125"/>
      <c r="G37" s="491" t="str">
        <f>A28</f>
        <v>I. čtvrtletí</v>
      </c>
      <c r="H37" s="491"/>
      <c r="I37" s="491"/>
      <c r="J37" s="491"/>
      <c r="K37" s="49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2024</v>
      </c>
      <c r="D41" s="94">
        <f>I3</f>
        <v>2023</v>
      </c>
      <c r="E41" s="76"/>
      <c r="F41" s="76"/>
      <c r="G41" s="76"/>
      <c r="H41" s="94"/>
      <c r="I41" s="94">
        <f>D3</f>
        <v>2024</v>
      </c>
      <c r="J41" s="94">
        <f>I3</f>
        <v>2023</v>
      </c>
      <c r="K41" s="94"/>
    </row>
    <row r="42" spans="1:20" ht="15" customHeight="1">
      <c r="A42" s="94"/>
      <c r="B42" s="94" t="str">
        <f>A7</f>
        <v>Leden</v>
      </c>
      <c r="C42" s="78">
        <f>E13</f>
        <v>127107.811328485</v>
      </c>
      <c r="D42" s="78">
        <f>I13</f>
        <v>104879.74624464105</v>
      </c>
      <c r="E42" s="76"/>
      <c r="F42" s="76"/>
      <c r="G42" s="76"/>
      <c r="H42" s="94" t="str">
        <f>A7</f>
        <v>Leden</v>
      </c>
      <c r="I42" s="95">
        <f>E13/E34</f>
        <v>0.45193115626064156</v>
      </c>
      <c r="J42" s="95">
        <f>I13/I34</f>
        <v>0.36169027678866184</v>
      </c>
      <c r="K42" s="94"/>
    </row>
    <row r="43" spans="1:20" ht="15" customHeight="1">
      <c r="A43" s="94"/>
      <c r="B43" s="94" t="str">
        <f>A14</f>
        <v>Únor</v>
      </c>
      <c r="C43" s="78">
        <f>E20</f>
        <v>82173.813024621995</v>
      </c>
      <c r="D43" s="78">
        <f>I20</f>
        <v>99145.560802454216</v>
      </c>
      <c r="E43" s="76"/>
      <c r="F43" s="76"/>
      <c r="G43" s="76"/>
      <c r="H43" s="94" t="str">
        <f>A14</f>
        <v>Únor</v>
      </c>
      <c r="I43" s="95">
        <f>E20/E34</f>
        <v>0.29216856105397171</v>
      </c>
      <c r="J43" s="95">
        <f>I20/I34</f>
        <v>0.34191525640575315</v>
      </c>
      <c r="K43" s="94"/>
    </row>
    <row r="44" spans="1:20" ht="15" customHeight="1">
      <c r="A44" s="94"/>
      <c r="B44" s="94" t="str">
        <f>A21</f>
        <v>Březen</v>
      </c>
      <c r="C44" s="78">
        <f>E27</f>
        <v>71973.185295773001</v>
      </c>
      <c r="D44" s="78">
        <f>I27</f>
        <v>85945.845000000001</v>
      </c>
      <c r="E44" s="76"/>
      <c r="F44" s="76"/>
      <c r="G44" s="76"/>
      <c r="H44" s="94" t="str">
        <f>A21</f>
        <v>Březen</v>
      </c>
      <c r="I44" s="95">
        <f>E27/E34</f>
        <v>0.25590028268538662</v>
      </c>
      <c r="J44" s="95">
        <f>I27/I34</f>
        <v>0.2963944668055849</v>
      </c>
      <c r="K44" s="94"/>
    </row>
    <row r="45" spans="1:20" ht="15" customHeight="1">
      <c r="A45" s="94"/>
      <c r="B45" s="94"/>
      <c r="C45" s="78">
        <f>SUM(C42:C44)</f>
        <v>281254.80964888004</v>
      </c>
      <c r="D45" s="78">
        <f>SUM(D42:D44)</f>
        <v>289971.15204709524</v>
      </c>
      <c r="E45" s="94"/>
      <c r="F45" s="94"/>
      <c r="G45" s="94"/>
      <c r="H45" s="94"/>
      <c r="I45" s="96">
        <f>SUM(I42:I44)</f>
        <v>1</v>
      </c>
      <c r="J45" s="96">
        <f>SUM(J42:J44)</f>
        <v>0.99999999999999989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topLeftCell="A13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21" s="86" customFormat="1" ht="18">
      <c r="A1" s="482" t="s">
        <v>297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21" ht="6" customHeight="1">
      <c r="A2" s="497"/>
      <c r="B2" s="497"/>
      <c r="C2" s="49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7" t="s">
        <v>88</v>
      </c>
      <c r="B3" s="507"/>
      <c r="C3" s="507"/>
      <c r="D3" s="341">
        <f>'3.1'!A4</f>
        <v>2024</v>
      </c>
      <c r="E3" s="502"/>
      <c r="F3" s="502"/>
      <c r="G3" s="502"/>
      <c r="H3" s="340"/>
      <c r="I3" s="501">
        <f>D3-1</f>
        <v>2023</v>
      </c>
      <c r="J3" s="502"/>
      <c r="K3" s="502"/>
    </row>
    <row r="4" spans="1:21" ht="50.15" customHeight="1">
      <c r="A4" s="508"/>
      <c r="B4" s="508"/>
      <c r="C4" s="508"/>
      <c r="D4" s="343"/>
      <c r="E4" s="504"/>
      <c r="F4" s="504"/>
      <c r="G4" s="504"/>
      <c r="H4" s="174"/>
      <c r="I4" s="503"/>
      <c r="J4" s="504"/>
      <c r="K4" s="504"/>
    </row>
    <row r="5" spans="1:21" ht="25" customHeight="1">
      <c r="A5" s="507" t="s">
        <v>158</v>
      </c>
      <c r="B5" s="507"/>
      <c r="C5" s="509" t="s">
        <v>184</v>
      </c>
      <c r="D5" s="505" t="s">
        <v>159</v>
      </c>
      <c r="E5" s="499" t="s">
        <v>60</v>
      </c>
      <c r="F5" s="499"/>
      <c r="G5" s="500" t="s">
        <v>33</v>
      </c>
      <c r="H5" s="500" t="s">
        <v>268</v>
      </c>
      <c r="I5" s="498" t="s">
        <v>60</v>
      </c>
      <c r="J5" s="499"/>
      <c r="K5" s="500" t="s">
        <v>33</v>
      </c>
    </row>
    <row r="6" spans="1:21" ht="22.5" customHeight="1">
      <c r="A6" s="508"/>
      <c r="B6" s="508"/>
      <c r="C6" s="510"/>
      <c r="D6" s="506"/>
      <c r="E6" s="219" t="s">
        <v>259</v>
      </c>
      <c r="F6" s="219" t="s">
        <v>260</v>
      </c>
      <c r="G6" s="487"/>
      <c r="H6" s="487"/>
      <c r="I6" s="221" t="s">
        <v>259</v>
      </c>
      <c r="J6" s="219" t="s">
        <v>260</v>
      </c>
      <c r="K6" s="487"/>
    </row>
    <row r="7" spans="1:21" ht="13" customHeight="1">
      <c r="A7" s="442" t="str">
        <f>'3.1'!D5</f>
        <v>Leden</v>
      </c>
      <c r="B7" s="442"/>
      <c r="C7" s="164" t="s">
        <v>4</v>
      </c>
      <c r="D7" s="312">
        <v>1239</v>
      </c>
      <c r="E7" s="308">
        <v>309838.92700000003</v>
      </c>
      <c r="F7" s="308">
        <v>3376004.8245599996</v>
      </c>
      <c r="G7" s="309">
        <f t="shared" ref="G7:G12" si="0">E7/$E$13</f>
        <v>0.36739478662106723</v>
      </c>
      <c r="H7" s="309">
        <f>(E7-I7)/I7</f>
        <v>0.11382313980978713</v>
      </c>
      <c r="I7" s="312">
        <v>278176.05499999999</v>
      </c>
      <c r="J7" s="308">
        <v>3028860.4911499992</v>
      </c>
      <c r="K7" s="309">
        <f>I7/$I$13</f>
        <v>0.38371450347309943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3" customHeight="1">
      <c r="A8" s="443"/>
      <c r="B8" s="443"/>
      <c r="C8" s="154" t="s">
        <v>5</v>
      </c>
      <c r="D8" s="313">
        <v>4170</v>
      </c>
      <c r="E8" s="129">
        <v>76580.293999999994</v>
      </c>
      <c r="F8" s="129">
        <v>834420.16268000007</v>
      </c>
      <c r="G8" s="307">
        <f t="shared" si="0"/>
        <v>9.080589403638295E-2</v>
      </c>
      <c r="H8" s="307">
        <f t="shared" ref="H8:H11" si="1">(E8-I8)/I8</f>
        <v>0.2120122967022566</v>
      </c>
      <c r="I8" s="313">
        <v>63184.42</v>
      </c>
      <c r="J8" s="129">
        <v>687970.16494000005</v>
      </c>
      <c r="K8" s="307">
        <f t="shared" ref="K8:K12" si="2">I8/$I$13</f>
        <v>8.7156237611953236E-2</v>
      </c>
      <c r="L8" s="93"/>
      <c r="M8" s="89"/>
      <c r="N8" s="89"/>
      <c r="O8" s="89"/>
      <c r="P8" s="89"/>
      <c r="Q8" s="89"/>
      <c r="R8" s="89"/>
      <c r="S8" s="89"/>
    </row>
    <row r="9" spans="1:21" ht="13" customHeight="1">
      <c r="A9" s="443"/>
      <c r="B9" s="443"/>
      <c r="C9" s="154" t="s">
        <v>6</v>
      </c>
      <c r="D9" s="313">
        <v>152947</v>
      </c>
      <c r="E9" s="129">
        <v>148256.80799999999</v>
      </c>
      <c r="F9" s="129">
        <v>1615405.85626</v>
      </c>
      <c r="G9" s="307">
        <f t="shared" si="0"/>
        <v>0.17579707904255854</v>
      </c>
      <c r="H9" s="307">
        <f t="shared" si="1"/>
        <v>0.20204832276676638</v>
      </c>
      <c r="I9" s="313">
        <v>123336.81200000001</v>
      </c>
      <c r="J9" s="129">
        <v>1342926.6264000002</v>
      </c>
      <c r="K9" s="307">
        <f t="shared" si="2"/>
        <v>0.17013011266025399</v>
      </c>
      <c r="L9" s="93"/>
      <c r="M9" s="89"/>
      <c r="N9" s="89"/>
      <c r="O9" s="89"/>
      <c r="P9" s="89"/>
      <c r="Q9" s="89"/>
      <c r="R9" s="89"/>
      <c r="S9" s="89"/>
    </row>
    <row r="10" spans="1:21" ht="13" customHeight="1">
      <c r="A10" s="443"/>
      <c r="B10" s="443"/>
      <c r="C10" s="154" t="s">
        <v>7</v>
      </c>
      <c r="D10" s="313">
        <v>2068540</v>
      </c>
      <c r="E10" s="129">
        <v>293698.10000000003</v>
      </c>
      <c r="F10" s="129">
        <v>3200134.8570000003</v>
      </c>
      <c r="G10" s="307">
        <f t="shared" si="0"/>
        <v>0.34825563019237049</v>
      </c>
      <c r="H10" s="307">
        <f t="shared" si="1"/>
        <v>0.22817785234338012</v>
      </c>
      <c r="I10" s="313">
        <v>239133.20000000004</v>
      </c>
      <c r="J10" s="129">
        <v>2603749.6999999997</v>
      </c>
      <c r="K10" s="307">
        <f t="shared" si="2"/>
        <v>0.32985900638332583</v>
      </c>
      <c r="L10" s="93"/>
      <c r="M10" s="89"/>
      <c r="N10" s="89"/>
      <c r="O10" s="89"/>
      <c r="P10" s="89"/>
      <c r="Q10" s="89"/>
      <c r="R10" s="89"/>
      <c r="S10" s="89"/>
    </row>
    <row r="11" spans="1:21" ht="13" customHeight="1">
      <c r="A11" s="443"/>
      <c r="B11" s="443"/>
      <c r="C11" s="154" t="s">
        <v>93</v>
      </c>
      <c r="D11" s="313">
        <v>214</v>
      </c>
      <c r="E11" s="129">
        <v>6315.463999999999</v>
      </c>
      <c r="F11" s="129">
        <v>68813.313750000001</v>
      </c>
      <c r="G11" s="307">
        <f t="shared" si="0"/>
        <v>7.4886282726283494E-3</v>
      </c>
      <c r="H11" s="307">
        <f t="shared" si="1"/>
        <v>5.5489957872081462E-2</v>
      </c>
      <c r="I11" s="313">
        <v>5983.4429999999984</v>
      </c>
      <c r="J11" s="129">
        <v>65149.459210000001</v>
      </c>
      <c r="K11" s="307">
        <f t="shared" si="2"/>
        <v>8.2535280033523804E-3</v>
      </c>
      <c r="L11" s="93"/>
      <c r="M11" s="89"/>
      <c r="N11" s="89"/>
      <c r="O11" s="89"/>
      <c r="P11" s="89"/>
      <c r="Q11" s="89"/>
      <c r="R11" s="89"/>
      <c r="S11" s="89"/>
    </row>
    <row r="12" spans="1:21" ht="13" customHeight="1">
      <c r="A12" s="443"/>
      <c r="B12" s="443"/>
      <c r="C12" s="154" t="s">
        <v>94</v>
      </c>
      <c r="D12" s="313"/>
      <c r="E12" s="129">
        <v>8650.9721985186898</v>
      </c>
      <c r="F12" s="129">
        <v>94261.005640000003</v>
      </c>
      <c r="G12" s="307">
        <f t="shared" si="0"/>
        <v>1.0257981834992472E-2</v>
      </c>
      <c r="H12" s="307">
        <f>(E12-I12)/I12</f>
        <v>-0.42867215504178036</v>
      </c>
      <c r="I12" s="313">
        <v>15141.870424941957</v>
      </c>
      <c r="J12" s="129">
        <v>164869.00227999999</v>
      </c>
      <c r="K12" s="307">
        <f t="shared" si="2"/>
        <v>2.0886611868015065E-2</v>
      </c>
      <c r="L12" s="93"/>
      <c r="M12" s="89"/>
      <c r="N12" s="89"/>
      <c r="O12" s="89"/>
      <c r="P12" s="89"/>
      <c r="Q12" s="89"/>
      <c r="R12" s="89"/>
      <c r="S12" s="89"/>
    </row>
    <row r="13" spans="1:21" ht="13" customHeight="1">
      <c r="A13" s="444"/>
      <c r="B13" s="444"/>
      <c r="C13" s="318" t="s">
        <v>0</v>
      </c>
      <c r="D13" s="321">
        <v>2227110</v>
      </c>
      <c r="E13" s="319">
        <v>843340.56519851869</v>
      </c>
      <c r="F13" s="319">
        <v>9189040.019890001</v>
      </c>
      <c r="G13" s="320">
        <f>SUM(G7:G12)</f>
        <v>1</v>
      </c>
      <c r="H13" s="320">
        <f>(E13-I13)/I13</f>
        <v>0.16329928625191206</v>
      </c>
      <c r="I13" s="321">
        <v>724955.80042494205</v>
      </c>
      <c r="J13" s="319">
        <v>7893525.4439799991</v>
      </c>
      <c r="K13" s="320">
        <f>SUM(K7:K12)</f>
        <v>0.99999999999999989</v>
      </c>
      <c r="L13" s="93"/>
      <c r="M13" s="89"/>
      <c r="N13" s="89"/>
      <c r="O13" s="89"/>
      <c r="P13" s="89"/>
      <c r="Q13" s="89"/>
      <c r="R13" s="89"/>
      <c r="S13" s="89"/>
    </row>
    <row r="14" spans="1:21" ht="13" customHeight="1">
      <c r="A14" s="442" t="str">
        <f>'3.1'!E5</f>
        <v>Únor</v>
      </c>
      <c r="B14" s="442"/>
      <c r="C14" s="164" t="s">
        <v>4</v>
      </c>
      <c r="D14" s="312">
        <v>1239</v>
      </c>
      <c r="E14" s="308">
        <v>246075.75400000002</v>
      </c>
      <c r="F14" s="308">
        <v>2679094.1281999992</v>
      </c>
      <c r="G14" s="309">
        <f>E14/$E$20</f>
        <v>0.42028275656969522</v>
      </c>
      <c r="H14" s="309">
        <f>(E14-I14)/I14</f>
        <v>-4.6473896460584148E-2</v>
      </c>
      <c r="I14" s="312">
        <v>258069.23699999996</v>
      </c>
      <c r="J14" s="308">
        <v>2797593.4904</v>
      </c>
      <c r="K14" s="309">
        <f>I14/$I$20</f>
        <v>0.37375331528787609</v>
      </c>
      <c r="L14" s="93"/>
      <c r="M14" s="89"/>
      <c r="N14" s="89"/>
      <c r="O14" s="89"/>
      <c r="P14" s="89"/>
      <c r="Q14" s="89"/>
      <c r="R14" s="89"/>
      <c r="S14" s="89"/>
    </row>
    <row r="15" spans="1:21" ht="13" customHeight="1">
      <c r="A15" s="443"/>
      <c r="B15" s="443"/>
      <c r="C15" s="154" t="s">
        <v>5</v>
      </c>
      <c r="D15" s="313">
        <v>4168</v>
      </c>
      <c r="E15" s="129">
        <v>50616.303</v>
      </c>
      <c r="F15" s="129">
        <v>551075.09100000001</v>
      </c>
      <c r="G15" s="307">
        <f t="shared" ref="G15:G19" si="3">E15/$E$20</f>
        <v>8.6449635961318369E-2</v>
      </c>
      <c r="H15" s="307">
        <f t="shared" ref="H15:H17" si="4">(E15-I15)/I15</f>
        <v>-0.17414940271646373</v>
      </c>
      <c r="I15" s="313">
        <v>61289.902999999998</v>
      </c>
      <c r="J15" s="129">
        <v>664410.04708999989</v>
      </c>
      <c r="K15" s="307">
        <f t="shared" ref="K15:K19" si="5">I15/$I$20</f>
        <v>8.8764180908251167E-2</v>
      </c>
      <c r="L15" s="97"/>
      <c r="M15" s="89"/>
      <c r="N15" s="89"/>
      <c r="O15" s="89"/>
      <c r="P15" s="89"/>
      <c r="Q15" s="89"/>
      <c r="R15" s="89"/>
      <c r="S15" s="89"/>
    </row>
    <row r="16" spans="1:21" ht="13" customHeight="1">
      <c r="A16" s="443"/>
      <c r="B16" s="443"/>
      <c r="C16" s="154" t="s">
        <v>6</v>
      </c>
      <c r="D16" s="313">
        <v>152818</v>
      </c>
      <c r="E16" s="129">
        <v>91052.542999999991</v>
      </c>
      <c r="F16" s="129">
        <v>991311.24827999994</v>
      </c>
      <c r="G16" s="307">
        <f t="shared" si="3"/>
        <v>0.15551232960855096</v>
      </c>
      <c r="H16" s="307">
        <f t="shared" si="4"/>
        <v>-0.21696000406189048</v>
      </c>
      <c r="I16" s="313">
        <v>116280.833</v>
      </c>
      <c r="J16" s="129">
        <v>1260540.4033599999</v>
      </c>
      <c r="K16" s="307">
        <f>I16/$I$20</f>
        <v>0.16840576328819026</v>
      </c>
      <c r="L16" s="93"/>
      <c r="M16" s="89"/>
      <c r="N16" s="89"/>
      <c r="O16" s="89"/>
      <c r="P16" s="89"/>
      <c r="Q16" s="89"/>
      <c r="R16" s="89"/>
      <c r="S16" s="89"/>
    </row>
    <row r="17" spans="1:20" ht="13" customHeight="1">
      <c r="A17" s="443"/>
      <c r="B17" s="443"/>
      <c r="C17" s="154" t="s">
        <v>7</v>
      </c>
      <c r="D17" s="313">
        <v>2066583</v>
      </c>
      <c r="E17" s="129">
        <v>178721.2</v>
      </c>
      <c r="F17" s="129">
        <v>1945785.4569999997</v>
      </c>
      <c r="G17" s="307">
        <f t="shared" si="3"/>
        <v>0.3052451831294351</v>
      </c>
      <c r="H17" s="307">
        <f t="shared" si="4"/>
        <v>-0.23703074098281146</v>
      </c>
      <c r="I17" s="313">
        <v>234244.3</v>
      </c>
      <c r="J17" s="129">
        <v>2539319.3000000003</v>
      </c>
      <c r="K17" s="307">
        <f>I17/$I$20</f>
        <v>0.33924843088635098</v>
      </c>
      <c r="L17" s="93"/>
      <c r="M17" s="89"/>
      <c r="N17" s="89"/>
      <c r="O17" s="89"/>
      <c r="P17" s="89"/>
      <c r="Q17" s="89"/>
      <c r="R17" s="89"/>
      <c r="S17" s="89"/>
    </row>
    <row r="18" spans="1:20" ht="13" customHeight="1">
      <c r="A18" s="443"/>
      <c r="B18" s="443"/>
      <c r="C18" s="154" t="s">
        <v>93</v>
      </c>
      <c r="D18" s="313">
        <v>214</v>
      </c>
      <c r="E18" s="129">
        <v>5839.4350000000004</v>
      </c>
      <c r="F18" s="129">
        <v>63575.508069999996</v>
      </c>
      <c r="G18" s="307">
        <f t="shared" si="3"/>
        <v>9.9734077767351208E-3</v>
      </c>
      <c r="H18" s="307">
        <f>(E18-I18)/I18</f>
        <v>3.9715638747185401E-2</v>
      </c>
      <c r="I18" s="313">
        <v>5616.3769999999995</v>
      </c>
      <c r="J18" s="129">
        <v>60884.192180000005</v>
      </c>
      <c r="K18" s="307">
        <f>I18/$I$20</f>
        <v>8.1340168555486363E-3</v>
      </c>
      <c r="L18" s="93"/>
      <c r="M18" s="89"/>
      <c r="N18" s="89"/>
      <c r="O18" s="89"/>
      <c r="P18" s="89"/>
      <c r="Q18" s="89"/>
      <c r="R18" s="89"/>
      <c r="S18" s="89"/>
    </row>
    <row r="19" spans="1:20" ht="13" customHeight="1">
      <c r="A19" s="443"/>
      <c r="B19" s="443"/>
      <c r="C19" s="154" t="s">
        <v>94</v>
      </c>
      <c r="D19" s="313"/>
      <c r="E19" s="129">
        <v>13195.240937783001</v>
      </c>
      <c r="F19" s="129">
        <v>143660.14667000002</v>
      </c>
      <c r="G19" s="307">
        <f t="shared" si="3"/>
        <v>2.2536686954265025E-2</v>
      </c>
      <c r="H19" s="307">
        <f t="shared" ref="H19" si="6">(E19-I19)/I19</f>
        <v>-0.11911210179811832</v>
      </c>
      <c r="I19" s="313">
        <v>14979.478052448983</v>
      </c>
      <c r="J19" s="129">
        <v>162384.64682000002</v>
      </c>
      <c r="K19" s="307">
        <f t="shared" si="5"/>
        <v>2.1694292773782972E-2</v>
      </c>
      <c r="L19" s="93"/>
      <c r="M19" s="89"/>
      <c r="N19" s="89"/>
      <c r="O19" s="89"/>
      <c r="P19" s="89"/>
      <c r="Q19" s="89"/>
      <c r="R19" s="89"/>
      <c r="S19" s="89"/>
    </row>
    <row r="20" spans="1:20" ht="13" customHeight="1">
      <c r="A20" s="444"/>
      <c r="B20" s="444"/>
      <c r="C20" s="318" t="s">
        <v>0</v>
      </c>
      <c r="D20" s="321">
        <v>2225022</v>
      </c>
      <c r="E20" s="319">
        <v>585500.47593778314</v>
      </c>
      <c r="F20" s="319">
        <v>6374501.5792199988</v>
      </c>
      <c r="G20" s="320">
        <f>SUM(G14:G19)</f>
        <v>0.99999999999999978</v>
      </c>
      <c r="H20" s="320">
        <f>(E20-I20)/I20</f>
        <v>-0.15203862913588653</v>
      </c>
      <c r="I20" s="321">
        <v>690480.12805244885</v>
      </c>
      <c r="J20" s="319">
        <v>7485132.0798500003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3" customHeight="1">
      <c r="A21" s="442" t="str">
        <f>'3.1'!F5</f>
        <v>Březen</v>
      </c>
      <c r="B21" s="442"/>
      <c r="C21" s="164" t="s">
        <v>4</v>
      </c>
      <c r="D21" s="312">
        <v>1235</v>
      </c>
      <c r="E21" s="308">
        <v>246072.745</v>
      </c>
      <c r="F21" s="308">
        <v>2675118.2376600001</v>
      </c>
      <c r="G21" s="309">
        <f>E21/$E$27</f>
        <v>0.45749899930029414</v>
      </c>
      <c r="H21" s="309">
        <f>(E21-I21)/I21</f>
        <v>-5.293209215131589E-2</v>
      </c>
      <c r="I21" s="312">
        <v>259825.872</v>
      </c>
      <c r="J21" s="308">
        <v>2813966.7432099995</v>
      </c>
      <c r="K21" s="309">
        <f>I21/$I$27</f>
        <v>0.41828291208256274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3" customHeight="1">
      <c r="A22" s="443"/>
      <c r="B22" s="443"/>
      <c r="C22" s="154" t="s">
        <v>5</v>
      </c>
      <c r="D22" s="313">
        <v>4134</v>
      </c>
      <c r="E22" s="129">
        <v>45151.248</v>
      </c>
      <c r="F22" s="129">
        <v>490850.17311999993</v>
      </c>
      <c r="G22" s="307">
        <f t="shared" ref="G22:G26" si="7">E22/$E$27</f>
        <v>8.3945301529266908E-2</v>
      </c>
      <c r="H22" s="307">
        <f t="shared" ref="H22:H26" si="8">(E22-I22)/I22</f>
        <v>-0.15827494644707318</v>
      </c>
      <c r="I22" s="313">
        <v>53641.325999999994</v>
      </c>
      <c r="J22" s="129">
        <v>580945.65843999991</v>
      </c>
      <c r="K22" s="307">
        <f t="shared" ref="K22:K26" si="9">I22/$I$27</f>
        <v>8.6354949468812267E-2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3" customHeight="1">
      <c r="A23" s="443"/>
      <c r="B23" s="443"/>
      <c r="C23" s="154" t="s">
        <v>6</v>
      </c>
      <c r="D23" s="313">
        <v>152669</v>
      </c>
      <c r="E23" s="129">
        <v>80298.566000000006</v>
      </c>
      <c r="F23" s="129">
        <v>872944.92530000012</v>
      </c>
      <c r="G23" s="307">
        <f t="shared" si="7"/>
        <v>0.14929127396960856</v>
      </c>
      <c r="H23" s="307">
        <f t="shared" si="8"/>
        <v>-0.17245219141046506</v>
      </c>
      <c r="I23" s="313">
        <v>97031.936000000002</v>
      </c>
      <c r="J23" s="129">
        <v>1050872.2562000002</v>
      </c>
      <c r="K23" s="307">
        <f t="shared" si="9"/>
        <v>0.15620769572588544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3" customHeight="1">
      <c r="A24" s="443"/>
      <c r="B24" s="443"/>
      <c r="C24" s="154" t="s">
        <v>7</v>
      </c>
      <c r="D24" s="313">
        <v>2064330</v>
      </c>
      <c r="E24" s="129">
        <v>150029.90000000002</v>
      </c>
      <c r="F24" s="129">
        <v>1631011.5999999999</v>
      </c>
      <c r="G24" s="307">
        <f t="shared" si="7"/>
        <v>0.27893592650873711</v>
      </c>
      <c r="H24" s="307">
        <f t="shared" si="8"/>
        <v>-0.21023427152840765</v>
      </c>
      <c r="I24" s="313">
        <v>189967.59999999995</v>
      </c>
      <c r="J24" s="129">
        <v>2057387.8</v>
      </c>
      <c r="K24" s="307">
        <f t="shared" si="9"/>
        <v>0.30582097278340098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3" customHeight="1">
      <c r="A25" s="443"/>
      <c r="B25" s="443"/>
      <c r="C25" s="154" t="s">
        <v>93</v>
      </c>
      <c r="D25" s="313">
        <v>214</v>
      </c>
      <c r="E25" s="129">
        <v>6045.1729999999998</v>
      </c>
      <c r="F25" s="129">
        <v>65718.53691000001</v>
      </c>
      <c r="G25" s="307">
        <f t="shared" si="7"/>
        <v>1.1239199197364004E-2</v>
      </c>
      <c r="H25" s="307">
        <f t="shared" si="8"/>
        <v>-2.1208485531462928E-2</v>
      </c>
      <c r="I25" s="313">
        <v>6176.16</v>
      </c>
      <c r="J25" s="129">
        <v>66889.031960000008</v>
      </c>
      <c r="K25" s="307">
        <f t="shared" si="9"/>
        <v>9.9427442325213892E-3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3" customHeight="1">
      <c r="A26" s="443"/>
      <c r="B26" s="443"/>
      <c r="C26" s="154" t="s">
        <v>94</v>
      </c>
      <c r="D26" s="313"/>
      <c r="E26" s="129">
        <v>10267.467981305668</v>
      </c>
      <c r="F26" s="129">
        <v>111620.16682000006</v>
      </c>
      <c r="G26" s="307">
        <f t="shared" si="7"/>
        <v>1.908929949472931E-2</v>
      </c>
      <c r="H26" s="307">
        <f t="shared" si="8"/>
        <v>-0.29334507445678909</v>
      </c>
      <c r="I26" s="313">
        <v>14529.677230245001</v>
      </c>
      <c r="J26" s="129">
        <v>157359.25328999999</v>
      </c>
      <c r="K26" s="307">
        <f t="shared" si="9"/>
        <v>2.3390725706817155E-2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3" customHeight="1">
      <c r="A27" s="444"/>
      <c r="B27" s="444"/>
      <c r="C27" s="318" t="s">
        <v>0</v>
      </c>
      <c r="D27" s="321">
        <v>2222582</v>
      </c>
      <c r="E27" s="319">
        <v>537865.09998130566</v>
      </c>
      <c r="F27" s="319">
        <v>5847263.6398100005</v>
      </c>
      <c r="G27" s="320">
        <f>SUM(G21:G26)</f>
        <v>1.0000000000000002</v>
      </c>
      <c r="H27" s="320">
        <f>(E27-I27)/I27</f>
        <v>-0.13411324824588944</v>
      </c>
      <c r="I27" s="321">
        <v>621172.57123024494</v>
      </c>
      <c r="J27" s="319">
        <v>6727420.7430999996</v>
      </c>
      <c r="K27" s="320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3" customHeight="1">
      <c r="A28" s="511" t="str">
        <f>'3.1'!G5</f>
        <v>I. čtvrtletí</v>
      </c>
      <c r="B28" s="442"/>
      <c r="C28" s="164" t="s">
        <v>4</v>
      </c>
      <c r="D28" s="312">
        <f>D21</f>
        <v>1235</v>
      </c>
      <c r="E28" s="308">
        <f>E7+E14+E21</f>
        <v>801987.42600000009</v>
      </c>
      <c r="F28" s="308">
        <f>F7+F14+F21</f>
        <v>8730217.190419998</v>
      </c>
      <c r="G28" s="309">
        <f>E28/$E$34</f>
        <v>0.40778203170925159</v>
      </c>
      <c r="H28" s="309">
        <f>(E28-I28)/I28</f>
        <v>7.4318255296083324E-3</v>
      </c>
      <c r="I28" s="312">
        <f>I7+I14+I21</f>
        <v>796071.16399999987</v>
      </c>
      <c r="J28" s="308">
        <f>J7+J14+J21</f>
        <v>8640420.7247599978</v>
      </c>
      <c r="K28" s="309">
        <f>I28/$I$34</f>
        <v>0.39088080213466619</v>
      </c>
      <c r="M28" s="89"/>
      <c r="N28" s="89"/>
      <c r="O28" s="89"/>
      <c r="P28" s="89"/>
      <c r="Q28" s="89"/>
      <c r="R28" s="89"/>
      <c r="S28" s="89"/>
    </row>
    <row r="29" spans="1:20" ht="13" customHeight="1">
      <c r="A29" s="443"/>
      <c r="B29" s="443"/>
      <c r="C29" s="154" t="s">
        <v>5</v>
      </c>
      <c r="D29" s="313">
        <f t="shared" ref="D29:D32" si="10">D22</f>
        <v>4134</v>
      </c>
      <c r="E29" s="129">
        <f>E8+E15+E22</f>
        <v>172347.845</v>
      </c>
      <c r="F29" s="129">
        <f t="shared" ref="F29" si="11">F8+F15+F22</f>
        <v>1876345.4268</v>
      </c>
      <c r="G29" s="307">
        <f t="shared" ref="G29:G33" si="12">E29/$E$34</f>
        <v>8.7632738514794584E-2</v>
      </c>
      <c r="H29" s="307">
        <f t="shared" ref="H29:H31" si="13">(E29-I29)/I29</f>
        <v>-3.2382354006413011E-2</v>
      </c>
      <c r="I29" s="313">
        <f>I8+I15+I22</f>
        <v>178115.649</v>
      </c>
      <c r="J29" s="129">
        <f t="shared" ref="J29" si="14">J8+J15+J22</f>
        <v>1933325.87047</v>
      </c>
      <c r="K29" s="307">
        <f t="shared" ref="K29:K33" si="15">I29/$I$34</f>
        <v>8.7456989905310367E-2</v>
      </c>
      <c r="M29" s="89"/>
      <c r="N29" s="89"/>
      <c r="O29" s="89"/>
      <c r="P29" s="89"/>
      <c r="Q29" s="89"/>
      <c r="R29" s="89"/>
      <c r="S29" s="89"/>
    </row>
    <row r="30" spans="1:20" ht="13" customHeight="1">
      <c r="A30" s="443"/>
      <c r="B30" s="443"/>
      <c r="C30" s="154" t="s">
        <v>6</v>
      </c>
      <c r="D30" s="313">
        <f t="shared" si="10"/>
        <v>152669</v>
      </c>
      <c r="E30" s="129">
        <f t="shared" ref="E30:F33" si="16">E9+E16+E23</f>
        <v>319607.91699999996</v>
      </c>
      <c r="F30" s="129">
        <f t="shared" si="16"/>
        <v>3479662.02984</v>
      </c>
      <c r="G30" s="307">
        <f t="shared" si="12"/>
        <v>0.16250923832392083</v>
      </c>
      <c r="H30" s="307">
        <f t="shared" si="13"/>
        <v>-5.0621372970014324E-2</v>
      </c>
      <c r="I30" s="313">
        <f t="shared" ref="I30:J32" si="17">I9+I16+I23</f>
        <v>336649.58100000001</v>
      </c>
      <c r="J30" s="129">
        <f t="shared" si="17"/>
        <v>3654339.2859600005</v>
      </c>
      <c r="K30" s="307">
        <f t="shared" si="15"/>
        <v>0.1652991142128335</v>
      </c>
      <c r="M30" s="89"/>
      <c r="N30" s="89"/>
      <c r="O30" s="89"/>
      <c r="P30" s="89"/>
      <c r="Q30" s="89"/>
      <c r="R30" s="89"/>
      <c r="S30" s="89"/>
    </row>
    <row r="31" spans="1:20" ht="13" customHeight="1">
      <c r="A31" s="443"/>
      <c r="B31" s="443"/>
      <c r="C31" s="154" t="s">
        <v>7</v>
      </c>
      <c r="D31" s="313">
        <f t="shared" si="10"/>
        <v>2064330</v>
      </c>
      <c r="E31" s="129">
        <f>E10+E17+E24</f>
        <v>622449.20000000007</v>
      </c>
      <c r="F31" s="129">
        <f t="shared" si="16"/>
        <v>6776931.9139999999</v>
      </c>
      <c r="G31" s="307">
        <f t="shared" si="12"/>
        <v>0.3164932406456436</v>
      </c>
      <c r="H31" s="307">
        <f t="shared" si="13"/>
        <v>-6.1651016944272156E-2</v>
      </c>
      <c r="I31" s="313">
        <f>I10+I17+I24</f>
        <v>663345.1</v>
      </c>
      <c r="J31" s="129">
        <f t="shared" si="17"/>
        <v>7200456.7999999998</v>
      </c>
      <c r="K31" s="307">
        <f t="shared" si="15"/>
        <v>0.32571066068673782</v>
      </c>
      <c r="M31" s="89"/>
      <c r="N31" s="89"/>
      <c r="O31" s="89"/>
      <c r="P31" s="89"/>
      <c r="Q31" s="89"/>
      <c r="R31" s="89"/>
      <c r="S31" s="89"/>
    </row>
    <row r="32" spans="1:20" ht="13" customHeight="1">
      <c r="A32" s="443"/>
      <c r="B32" s="443"/>
      <c r="C32" s="154" t="s">
        <v>93</v>
      </c>
      <c r="D32" s="313">
        <f t="shared" si="10"/>
        <v>214</v>
      </c>
      <c r="E32" s="129">
        <f>E11+E18+E25</f>
        <v>18200.072</v>
      </c>
      <c r="F32" s="129">
        <f t="shared" si="16"/>
        <v>198107.35873000004</v>
      </c>
      <c r="G32" s="307">
        <f t="shared" si="12"/>
        <v>9.2540881525175703E-3</v>
      </c>
      <c r="H32" s="307">
        <f>(E32-I32)/I32</f>
        <v>2.3857587598546143E-2</v>
      </c>
      <c r="I32" s="313">
        <f>I11+I18+I25</f>
        <v>17775.979999999996</v>
      </c>
      <c r="J32" s="129">
        <f t="shared" si="17"/>
        <v>192922.68335000001</v>
      </c>
      <c r="K32" s="307">
        <f t="shared" si="15"/>
        <v>8.7282263638553091E-3</v>
      </c>
      <c r="M32" s="89"/>
      <c r="N32" s="89"/>
      <c r="O32" s="89"/>
      <c r="P32" s="89"/>
      <c r="Q32" s="89"/>
      <c r="R32" s="89"/>
      <c r="S32" s="89"/>
    </row>
    <row r="33" spans="1:20" ht="13" customHeight="1">
      <c r="A33" s="443"/>
      <c r="B33" s="443"/>
      <c r="C33" s="154" t="s">
        <v>94</v>
      </c>
      <c r="D33" s="313"/>
      <c r="E33" s="129">
        <f t="shared" si="16"/>
        <v>32113.681117607357</v>
      </c>
      <c r="F33" s="129">
        <f t="shared" si="16"/>
        <v>349541.31913000008</v>
      </c>
      <c r="G33" s="307">
        <f t="shared" si="12"/>
        <v>1.6328662653871777E-2</v>
      </c>
      <c r="H33" s="307">
        <f t="shared" ref="H33" si="18">(E33-I33)/I33</f>
        <v>-0.28078514191633736</v>
      </c>
      <c r="I33" s="313">
        <f t="shared" ref="I33:J33" si="19">I12+I19+I26</f>
        <v>44651.025707635941</v>
      </c>
      <c r="J33" s="129">
        <f t="shared" si="19"/>
        <v>484612.90239000006</v>
      </c>
      <c r="K33" s="307">
        <f t="shared" si="15"/>
        <v>2.1924206696596716E-2</v>
      </c>
      <c r="M33" s="89"/>
      <c r="N33" s="89"/>
      <c r="O33" s="89"/>
      <c r="P33" s="89"/>
      <c r="Q33" s="89"/>
      <c r="R33" s="89"/>
      <c r="S33" s="89"/>
    </row>
    <row r="34" spans="1:20" ht="13" customHeight="1">
      <c r="A34" s="444"/>
      <c r="B34" s="444"/>
      <c r="C34" s="318" t="s">
        <v>0</v>
      </c>
      <c r="D34" s="321">
        <f>SUM(D28:D33)</f>
        <v>2222582</v>
      </c>
      <c r="E34" s="319">
        <f>SUM(E28:E33)</f>
        <v>1966706.1411176075</v>
      </c>
      <c r="F34" s="319">
        <f>SUM(F28:F33)</f>
        <v>21410805.238919996</v>
      </c>
      <c r="G34" s="320">
        <f>SUM(G28:G33)</f>
        <v>0.99999999999999989</v>
      </c>
      <c r="H34" s="320">
        <f>(E34-I34)/I34</f>
        <v>-3.432292391987133E-2</v>
      </c>
      <c r="I34" s="321">
        <f>SUM(I28:I33)</f>
        <v>2036608.499707636</v>
      </c>
      <c r="J34" s="319">
        <f>SUM(J28:J33)</f>
        <v>22106078.266929999</v>
      </c>
      <c r="K34" s="320">
        <f>SUM(K28:K33)</f>
        <v>0.99999999999999978</v>
      </c>
      <c r="M34" s="89"/>
      <c r="N34" s="89"/>
      <c r="O34" s="89"/>
      <c r="P34" s="89"/>
      <c r="Q34" s="89"/>
      <c r="R34" s="89"/>
      <c r="S34" s="89"/>
    </row>
    <row r="35" spans="1:20" ht="20.149999999999999" customHeight="1">
      <c r="A35" s="126"/>
      <c r="B35" s="303"/>
      <c r="C35" s="101"/>
      <c r="D35" s="88"/>
      <c r="E35" s="88"/>
      <c r="F35" s="88"/>
      <c r="G35" s="496" t="s">
        <v>270</v>
      </c>
      <c r="H35" s="496"/>
      <c r="I35" s="496"/>
      <c r="J35" s="496"/>
      <c r="K35" s="496"/>
    </row>
    <row r="36" spans="1:20" ht="15" customHeight="1">
      <c r="A36" s="488" t="s">
        <v>269</v>
      </c>
      <c r="B36" s="488"/>
      <c r="C36" s="488"/>
      <c r="D36" s="488"/>
      <c r="E36" s="488"/>
      <c r="F36" s="119"/>
      <c r="G36" s="496"/>
      <c r="H36" s="496"/>
      <c r="I36" s="496"/>
      <c r="J36" s="496"/>
      <c r="K36" s="496"/>
      <c r="M36" s="93"/>
      <c r="N36" s="93"/>
      <c r="O36" s="93"/>
      <c r="P36" s="93"/>
      <c r="Q36" s="93"/>
      <c r="R36" s="93"/>
      <c r="S36" s="93"/>
    </row>
    <row r="37" spans="1:20" ht="15" customHeight="1">
      <c r="A37" s="489" t="str">
        <f>A28</f>
        <v>I. čtvrtletí</v>
      </c>
      <c r="B37" s="490"/>
      <c r="C37" s="490"/>
      <c r="D37" s="490"/>
      <c r="E37" s="490"/>
      <c r="F37" s="125"/>
      <c r="G37" s="491" t="str">
        <f>A28</f>
        <v>I. čtvrtletí</v>
      </c>
      <c r="H37" s="491"/>
      <c r="I37" s="491"/>
      <c r="J37" s="491"/>
      <c r="K37" s="49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2024</v>
      </c>
      <c r="D41" s="94">
        <f>I3</f>
        <v>2023</v>
      </c>
      <c r="E41" s="76"/>
      <c r="F41" s="76"/>
      <c r="G41" s="76"/>
      <c r="H41" s="94"/>
      <c r="I41" s="94">
        <f>D3</f>
        <v>2024</v>
      </c>
      <c r="J41" s="94">
        <f>I3</f>
        <v>2023</v>
      </c>
      <c r="K41" s="94"/>
    </row>
    <row r="42" spans="1:20" ht="15" customHeight="1">
      <c r="A42" s="94"/>
      <c r="B42" s="94" t="str">
        <f>A7</f>
        <v>Leden</v>
      </c>
      <c r="C42" s="78">
        <f>E13</f>
        <v>843340.56519851869</v>
      </c>
      <c r="D42" s="78">
        <f>I13</f>
        <v>724955.80042494205</v>
      </c>
      <c r="E42" s="76"/>
      <c r="F42" s="76"/>
      <c r="G42" s="76"/>
      <c r="H42" s="94" t="str">
        <f>A7</f>
        <v>Leden</v>
      </c>
      <c r="I42" s="95">
        <f>E13/E34</f>
        <v>0.42880862959998639</v>
      </c>
      <c r="J42" s="95">
        <f>I13/I34</f>
        <v>0.35596227774214467</v>
      </c>
      <c r="K42" s="94"/>
    </row>
    <row r="43" spans="1:20" ht="15" customHeight="1">
      <c r="A43" s="94"/>
      <c r="B43" s="94" t="str">
        <f>A14</f>
        <v>Únor</v>
      </c>
      <c r="C43" s="78">
        <f>E20</f>
        <v>585500.47593778314</v>
      </c>
      <c r="D43" s="78">
        <f>I20</f>
        <v>690480.12805244885</v>
      </c>
      <c r="E43" s="76"/>
      <c r="F43" s="76"/>
      <c r="G43" s="76"/>
      <c r="H43" s="94" t="str">
        <f>A14</f>
        <v>Únor</v>
      </c>
      <c r="I43" s="95">
        <f>E20/E34</f>
        <v>0.29770613092460502</v>
      </c>
      <c r="J43" s="95">
        <f>I20/I34</f>
        <v>0.33903429557107823</v>
      </c>
      <c r="K43" s="94"/>
    </row>
    <row r="44" spans="1:20" ht="15" customHeight="1">
      <c r="A44" s="94"/>
      <c r="B44" s="94" t="str">
        <f>A21</f>
        <v>Březen</v>
      </c>
      <c r="C44" s="78">
        <f>E27</f>
        <v>537865.09998130566</v>
      </c>
      <c r="D44" s="78">
        <f>I27</f>
        <v>621172.57123024494</v>
      </c>
      <c r="E44" s="76"/>
      <c r="F44" s="76"/>
      <c r="G44" s="76"/>
      <c r="H44" s="94" t="str">
        <f>A21</f>
        <v>Březen</v>
      </c>
      <c r="I44" s="95">
        <f>E27/E34</f>
        <v>0.27348523947540859</v>
      </c>
      <c r="J44" s="95">
        <f>I27/I34</f>
        <v>0.30500342668677705</v>
      </c>
      <c r="K44" s="94"/>
    </row>
    <row r="45" spans="1:20" ht="15" customHeight="1">
      <c r="A45" s="94"/>
      <c r="B45" s="94"/>
      <c r="C45" s="78">
        <f>SUM(C42:C44)</f>
        <v>1966706.1411176075</v>
      </c>
      <c r="D45" s="78">
        <f>SUM(D42:D44)</f>
        <v>2036608.499707636</v>
      </c>
      <c r="E45" s="94"/>
      <c r="F45" s="94"/>
      <c r="G45" s="94"/>
      <c r="H45" s="94"/>
      <c r="I45" s="96">
        <f>SUM(I42:I44)</f>
        <v>1</v>
      </c>
      <c r="J45" s="96">
        <f>SUM(J42:J44)</f>
        <v>0.99999999999999989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E3:G4"/>
    <mergeCell ref="I3:K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21" s="86" customFormat="1" ht="18">
      <c r="A1" s="482" t="s">
        <v>298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21" ht="6" customHeight="1">
      <c r="A2" s="497"/>
      <c r="B2" s="497"/>
      <c r="C2" s="49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7" t="s">
        <v>207</v>
      </c>
      <c r="B3" s="507"/>
      <c r="C3" s="507"/>
      <c r="D3" s="341">
        <f>'3.1'!A4</f>
        <v>2024</v>
      </c>
      <c r="E3" s="502"/>
      <c r="F3" s="502"/>
      <c r="G3" s="502"/>
      <c r="H3" s="340"/>
      <c r="I3" s="501">
        <f>D3-1</f>
        <v>2023</v>
      </c>
      <c r="J3" s="502"/>
      <c r="K3" s="502"/>
    </row>
    <row r="4" spans="1:21" ht="50.15" customHeight="1">
      <c r="A4" s="508"/>
      <c r="B4" s="508"/>
      <c r="C4" s="508"/>
      <c r="D4" s="343"/>
      <c r="E4" s="504"/>
      <c r="F4" s="504"/>
      <c r="G4" s="504"/>
      <c r="H4" s="174"/>
      <c r="I4" s="503"/>
      <c r="J4" s="504"/>
      <c r="K4" s="504"/>
    </row>
    <row r="5" spans="1:21" ht="25" customHeight="1">
      <c r="A5" s="507" t="s">
        <v>158</v>
      </c>
      <c r="B5" s="507"/>
      <c r="C5" s="509" t="s">
        <v>184</v>
      </c>
      <c r="D5" s="505" t="s">
        <v>159</v>
      </c>
      <c r="E5" s="499" t="s">
        <v>60</v>
      </c>
      <c r="F5" s="499"/>
      <c r="G5" s="500" t="s">
        <v>33</v>
      </c>
      <c r="H5" s="500" t="s">
        <v>268</v>
      </c>
      <c r="I5" s="498" t="s">
        <v>60</v>
      </c>
      <c r="J5" s="499"/>
      <c r="K5" s="500" t="s">
        <v>33</v>
      </c>
    </row>
    <row r="6" spans="1:21" ht="22.5" customHeight="1">
      <c r="A6" s="508"/>
      <c r="B6" s="508"/>
      <c r="C6" s="510"/>
      <c r="D6" s="506"/>
      <c r="E6" s="219" t="s">
        <v>259</v>
      </c>
      <c r="F6" s="219" t="s">
        <v>260</v>
      </c>
      <c r="G6" s="487"/>
      <c r="H6" s="487"/>
      <c r="I6" s="221" t="s">
        <v>259</v>
      </c>
      <c r="J6" s="219" t="s">
        <v>260</v>
      </c>
      <c r="K6" s="487"/>
    </row>
    <row r="7" spans="1:21" ht="13" customHeight="1">
      <c r="A7" s="442" t="str">
        <f>'3.1'!D5</f>
        <v>Leden</v>
      </c>
      <c r="B7" s="442"/>
      <c r="C7" s="164" t="s">
        <v>4</v>
      </c>
      <c r="D7" s="312">
        <v>80</v>
      </c>
      <c r="E7" s="308">
        <v>9278.4686600000005</v>
      </c>
      <c r="F7" s="308">
        <v>101094.48440999999</v>
      </c>
      <c r="G7" s="309">
        <f t="shared" ref="G7:G12" si="0">E7/$E$13</f>
        <v>0.22642015675009244</v>
      </c>
      <c r="H7" s="309">
        <f>(E7-I7)/I7</f>
        <v>-8.6185695698905343E-2</v>
      </c>
      <c r="I7" s="312">
        <v>10153.560320000001</v>
      </c>
      <c r="J7" s="308">
        <v>111050.51944999999</v>
      </c>
      <c r="K7" s="309">
        <f>I7/$I$13</f>
        <v>0.27916964749557427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3" customHeight="1">
      <c r="A8" s="443"/>
      <c r="B8" s="443"/>
      <c r="C8" s="154" t="s">
        <v>5</v>
      </c>
      <c r="D8" s="313">
        <v>345</v>
      </c>
      <c r="E8" s="129">
        <v>5839.7734700000001</v>
      </c>
      <c r="F8" s="129">
        <v>63627.835889999995</v>
      </c>
      <c r="G8" s="307">
        <f t="shared" si="0"/>
        <v>0.14250653560567517</v>
      </c>
      <c r="H8" s="307">
        <f t="shared" ref="H8:H11" si="1">(E8-I8)/I8</f>
        <v>0.25688576711312272</v>
      </c>
      <c r="I8" s="313">
        <v>4646.2245199999998</v>
      </c>
      <c r="J8" s="129">
        <v>50816.222260000002</v>
      </c>
      <c r="K8" s="307">
        <f t="shared" ref="K8:K12" si="2">I8/$I$13</f>
        <v>0.12774680216147999</v>
      </c>
      <c r="L8" s="93"/>
      <c r="M8" s="89"/>
      <c r="N8" s="89"/>
      <c r="O8" s="89"/>
      <c r="P8" s="89"/>
      <c r="Q8" s="89"/>
      <c r="R8" s="89"/>
      <c r="S8" s="89"/>
    </row>
    <row r="9" spans="1:21" ht="13" customHeight="1">
      <c r="A9" s="443"/>
      <c r="B9" s="443"/>
      <c r="C9" s="154" t="s">
        <v>6</v>
      </c>
      <c r="D9" s="313">
        <v>10627</v>
      </c>
      <c r="E9" s="129">
        <v>9903.9049099999993</v>
      </c>
      <c r="F9" s="129">
        <v>107908.98626000001</v>
      </c>
      <c r="G9" s="307">
        <f t="shared" si="0"/>
        <v>0.24168252158112155</v>
      </c>
      <c r="H9" s="307">
        <f t="shared" si="1"/>
        <v>0.23052336372004339</v>
      </c>
      <c r="I9" s="313">
        <v>8048.5305700000008</v>
      </c>
      <c r="J9" s="129">
        <v>88027.583740000002</v>
      </c>
      <c r="K9" s="307">
        <f t="shared" si="2"/>
        <v>0.22129237147076439</v>
      </c>
      <c r="L9" s="93"/>
      <c r="M9" s="89"/>
      <c r="N9" s="89"/>
      <c r="O9" s="89"/>
      <c r="P9" s="89"/>
      <c r="Q9" s="89"/>
      <c r="R9" s="89"/>
      <c r="S9" s="89"/>
    </row>
    <row r="10" spans="1:21" ht="13" customHeight="1">
      <c r="A10" s="443"/>
      <c r="B10" s="443"/>
      <c r="C10" s="154" t="s">
        <v>7</v>
      </c>
      <c r="D10" s="313">
        <v>100723</v>
      </c>
      <c r="E10" s="129">
        <v>15105.955959999999</v>
      </c>
      <c r="F10" s="129">
        <v>164588.97579</v>
      </c>
      <c r="G10" s="307">
        <f t="shared" si="0"/>
        <v>0.36862687601330896</v>
      </c>
      <c r="H10" s="307">
        <f t="shared" si="1"/>
        <v>0.23052336223839984</v>
      </c>
      <c r="I10" s="313">
        <v>12276.041580000001</v>
      </c>
      <c r="J10" s="129">
        <v>134264.55838999999</v>
      </c>
      <c r="K10" s="307">
        <f t="shared" si="2"/>
        <v>0.33752674850210695</v>
      </c>
      <c r="L10" s="93"/>
      <c r="M10" s="89"/>
      <c r="N10" s="89"/>
      <c r="O10" s="89"/>
      <c r="P10" s="89"/>
      <c r="Q10" s="89"/>
      <c r="R10" s="89"/>
      <c r="S10" s="89"/>
    </row>
    <row r="11" spans="1:21" ht="13" customHeight="1">
      <c r="A11" s="443"/>
      <c r="B11" s="443"/>
      <c r="C11" s="154" t="s">
        <v>93</v>
      </c>
      <c r="D11" s="313">
        <v>18</v>
      </c>
      <c r="E11" s="129">
        <v>359.66300000000001</v>
      </c>
      <c r="F11" s="129">
        <v>3918.7190000000001</v>
      </c>
      <c r="G11" s="307">
        <f t="shared" si="0"/>
        <v>8.7767664925440941E-3</v>
      </c>
      <c r="H11" s="307">
        <f t="shared" si="1"/>
        <v>-3.1299490417039194E-2</v>
      </c>
      <c r="I11" s="313">
        <v>371.28399999999999</v>
      </c>
      <c r="J11" s="129">
        <v>4061.4870000000001</v>
      </c>
      <c r="K11" s="307">
        <f t="shared" si="2"/>
        <v>1.0208362400386743E-2</v>
      </c>
      <c r="L11" s="93"/>
      <c r="M11" s="89"/>
      <c r="N11" s="89"/>
      <c r="O11" s="89"/>
      <c r="P11" s="89"/>
      <c r="Q11" s="89"/>
      <c r="R11" s="89"/>
      <c r="S11" s="89"/>
    </row>
    <row r="12" spans="1:21" ht="13" customHeight="1">
      <c r="A12" s="443"/>
      <c r="B12" s="443"/>
      <c r="C12" s="154" t="s">
        <v>94</v>
      </c>
      <c r="D12" s="313"/>
      <c r="E12" s="129">
        <v>491.221</v>
      </c>
      <c r="F12" s="129">
        <v>5352.1589999999997</v>
      </c>
      <c r="G12" s="307">
        <f t="shared" si="0"/>
        <v>1.1987143557257772E-2</v>
      </c>
      <c r="H12" s="307">
        <f>(E12-I12)/I12</f>
        <v>-0.43856158128679573</v>
      </c>
      <c r="I12" s="313">
        <v>874.93300000000011</v>
      </c>
      <c r="J12" s="129">
        <v>9569.237000000001</v>
      </c>
      <c r="K12" s="307">
        <f t="shared" si="2"/>
        <v>2.4056067969687827E-2</v>
      </c>
      <c r="L12" s="93"/>
      <c r="M12" s="89"/>
      <c r="N12" s="89"/>
      <c r="O12" s="89"/>
      <c r="P12" s="89"/>
      <c r="Q12" s="89"/>
      <c r="R12" s="89"/>
      <c r="S12" s="89"/>
    </row>
    <row r="13" spans="1:21" ht="13" customHeight="1">
      <c r="A13" s="444"/>
      <c r="B13" s="444"/>
      <c r="C13" s="318" t="s">
        <v>0</v>
      </c>
      <c r="D13" s="321">
        <v>111793</v>
      </c>
      <c r="E13" s="319">
        <v>40978.987000000001</v>
      </c>
      <c r="F13" s="319">
        <v>446491.16034999996</v>
      </c>
      <c r="G13" s="320">
        <f>SUM(G7:G12)</f>
        <v>1</v>
      </c>
      <c r="H13" s="320">
        <f>(E13-I13)/I13</f>
        <v>0.12670718397974901</v>
      </c>
      <c r="I13" s="321">
        <v>36370.573989999997</v>
      </c>
      <c r="J13" s="319">
        <v>397789.60784000007</v>
      </c>
      <c r="K13" s="320">
        <f>SUM(K7:K12)</f>
        <v>1</v>
      </c>
      <c r="L13" s="93"/>
      <c r="M13" s="89"/>
      <c r="N13" s="89"/>
      <c r="O13" s="89"/>
      <c r="P13" s="89"/>
      <c r="Q13" s="89"/>
      <c r="R13" s="89"/>
      <c r="S13" s="89"/>
    </row>
    <row r="14" spans="1:21" ht="13" customHeight="1">
      <c r="A14" s="442" t="str">
        <f>'3.1'!E5</f>
        <v>Únor</v>
      </c>
      <c r="B14" s="442"/>
      <c r="C14" s="164" t="s">
        <v>4</v>
      </c>
      <c r="D14" s="312">
        <v>80</v>
      </c>
      <c r="E14" s="308">
        <v>7726.7696500000011</v>
      </c>
      <c r="F14" s="308">
        <v>84173.885310000012</v>
      </c>
      <c r="G14" s="309">
        <f>E14/$E$20</f>
        <v>0.27326824778022529</v>
      </c>
      <c r="H14" s="309">
        <f>(E14-I14)/I14</f>
        <v>-0.20069174159528272</v>
      </c>
      <c r="I14" s="312">
        <v>9666.820740000001</v>
      </c>
      <c r="J14" s="308">
        <v>104912.45165999999</v>
      </c>
      <c r="K14" s="309">
        <f>I14/$I$20</f>
        <v>0.28040394165842153</v>
      </c>
      <c r="L14" s="93"/>
      <c r="M14" s="89"/>
      <c r="N14" s="89"/>
      <c r="O14" s="89"/>
      <c r="P14" s="89"/>
      <c r="Q14" s="89"/>
      <c r="R14" s="89"/>
      <c r="S14" s="89"/>
    </row>
    <row r="15" spans="1:21" ht="13" customHeight="1">
      <c r="A15" s="443"/>
      <c r="B15" s="443"/>
      <c r="C15" s="154" t="s">
        <v>5</v>
      </c>
      <c r="D15" s="313">
        <v>344</v>
      </c>
      <c r="E15" s="129">
        <v>4280.6592199999996</v>
      </c>
      <c r="F15" s="129">
        <v>46632.645389999998</v>
      </c>
      <c r="G15" s="307">
        <f t="shared" ref="G15:G19" si="3">E15/$E$20</f>
        <v>0.15139162902231279</v>
      </c>
      <c r="H15" s="307">
        <f t="shared" ref="H15:H17" si="4">(E15-I15)/I15</f>
        <v>-3.9043456895079688E-2</v>
      </c>
      <c r="I15" s="313">
        <v>4454.5814799999998</v>
      </c>
      <c r="J15" s="129">
        <v>48344.681850000001</v>
      </c>
      <c r="K15" s="307">
        <f t="shared" ref="K15:K19" si="5">I15/$I$20</f>
        <v>0.1292133410793552</v>
      </c>
      <c r="L15" s="97"/>
      <c r="M15" s="89"/>
      <c r="N15" s="89"/>
      <c r="O15" s="89"/>
      <c r="P15" s="89"/>
      <c r="Q15" s="89"/>
      <c r="R15" s="89"/>
      <c r="S15" s="89"/>
    </row>
    <row r="16" spans="1:21" ht="13" customHeight="1">
      <c r="A16" s="443"/>
      <c r="B16" s="443"/>
      <c r="C16" s="154" t="s">
        <v>6</v>
      </c>
      <c r="D16" s="313">
        <v>10616</v>
      </c>
      <c r="E16" s="129">
        <v>6160.3875099999996</v>
      </c>
      <c r="F16" s="129">
        <v>67110.029519999996</v>
      </c>
      <c r="G16" s="307">
        <f t="shared" si="3"/>
        <v>0.21787090553487443</v>
      </c>
      <c r="H16" s="307">
        <f t="shared" si="4"/>
        <v>-0.19282538524813633</v>
      </c>
      <c r="I16" s="313">
        <v>7632.0382200000004</v>
      </c>
      <c r="J16" s="129">
        <v>82828.984349999999</v>
      </c>
      <c r="K16" s="307">
        <f>I16/$I$20</f>
        <v>0.22138132663621973</v>
      </c>
      <c r="L16" s="93"/>
      <c r="M16" s="89"/>
      <c r="N16" s="89"/>
      <c r="O16" s="89"/>
      <c r="P16" s="89"/>
      <c r="Q16" s="89"/>
      <c r="R16" s="89"/>
      <c r="S16" s="89"/>
    </row>
    <row r="17" spans="1:20" ht="13" customHeight="1">
      <c r="A17" s="443"/>
      <c r="B17" s="443"/>
      <c r="C17" s="154" t="s">
        <v>7</v>
      </c>
      <c r="D17" s="313">
        <v>100645</v>
      </c>
      <c r="E17" s="129">
        <v>9396.1459500000001</v>
      </c>
      <c r="F17" s="129">
        <v>102359.41798</v>
      </c>
      <c r="G17" s="307">
        <f t="shared" si="3"/>
        <v>0.33230812564002865</v>
      </c>
      <c r="H17" s="307">
        <f t="shared" si="4"/>
        <v>-0.19282544176269023</v>
      </c>
      <c r="I17" s="313">
        <v>11640.78557</v>
      </c>
      <c r="J17" s="129">
        <v>126336.84755000001</v>
      </c>
      <c r="K17" s="307">
        <f>I17/$I$20</f>
        <v>0.3376624275571779</v>
      </c>
      <c r="L17" s="93"/>
      <c r="M17" s="89"/>
      <c r="N17" s="89"/>
      <c r="O17" s="89"/>
      <c r="P17" s="89"/>
      <c r="Q17" s="89"/>
      <c r="R17" s="89"/>
      <c r="S17" s="89"/>
    </row>
    <row r="18" spans="1:20" ht="13" customHeight="1">
      <c r="A18" s="443"/>
      <c r="B18" s="443"/>
      <c r="C18" s="154" t="s">
        <v>93</v>
      </c>
      <c r="D18" s="313">
        <v>18</v>
      </c>
      <c r="E18" s="129">
        <v>330.45299999999997</v>
      </c>
      <c r="F18" s="129">
        <v>3600.174</v>
      </c>
      <c r="G18" s="307">
        <f t="shared" si="3"/>
        <v>1.1686942457734426E-2</v>
      </c>
      <c r="H18" s="307">
        <f>(E18-I18)/I18</f>
        <v>-2.9583557250966921E-2</v>
      </c>
      <c r="I18" s="313">
        <v>340.52699999999999</v>
      </c>
      <c r="J18" s="129">
        <v>3694.328</v>
      </c>
      <c r="K18" s="307">
        <f>I18/$I$20</f>
        <v>9.8776128790733428E-3</v>
      </c>
      <c r="L18" s="93"/>
      <c r="M18" s="89"/>
      <c r="N18" s="89"/>
      <c r="O18" s="89"/>
      <c r="P18" s="89"/>
      <c r="Q18" s="89"/>
      <c r="R18" s="89"/>
      <c r="S18" s="89"/>
    </row>
    <row r="19" spans="1:20" ht="13" customHeight="1">
      <c r="A19" s="443"/>
      <c r="B19" s="443"/>
      <c r="C19" s="154" t="s">
        <v>94</v>
      </c>
      <c r="D19" s="313"/>
      <c r="E19" s="129">
        <v>380.98700000000002</v>
      </c>
      <c r="F19" s="129">
        <v>4150.402</v>
      </c>
      <c r="G19" s="307">
        <f t="shared" si="3"/>
        <v>1.3474149564824246E-2</v>
      </c>
      <c r="H19" s="307">
        <f t="shared" ref="H19" si="6">(E19-I19)/I19</f>
        <v>-0.48506363262834645</v>
      </c>
      <c r="I19" s="313">
        <v>739.87199999999996</v>
      </c>
      <c r="J19" s="129">
        <v>8029.6120000000001</v>
      </c>
      <c r="K19" s="307">
        <f t="shared" si="5"/>
        <v>2.1461350189752215E-2</v>
      </c>
      <c r="L19" s="93"/>
      <c r="M19" s="89"/>
      <c r="N19" s="89"/>
      <c r="O19" s="89"/>
      <c r="P19" s="89"/>
      <c r="Q19" s="89"/>
      <c r="R19" s="89"/>
      <c r="S19" s="89"/>
    </row>
    <row r="20" spans="1:20" ht="13" customHeight="1">
      <c r="A20" s="444"/>
      <c r="B20" s="444"/>
      <c r="C20" s="318" t="s">
        <v>0</v>
      </c>
      <c r="D20" s="321">
        <v>111703</v>
      </c>
      <c r="E20" s="319">
        <v>28275.402330000004</v>
      </c>
      <c r="F20" s="319">
        <v>308026.55420000001</v>
      </c>
      <c r="G20" s="320">
        <f>SUM(G14:G19)</f>
        <v>0.99999999999999978</v>
      </c>
      <c r="H20" s="320">
        <f>(E20-I20)/I20</f>
        <v>-0.17981987268032065</v>
      </c>
      <c r="I20" s="321">
        <v>34474.625010000003</v>
      </c>
      <c r="J20" s="319">
        <v>374146.90541000001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3" customHeight="1">
      <c r="A21" s="442" t="str">
        <f>'3.1'!F5</f>
        <v>Březen</v>
      </c>
      <c r="B21" s="442"/>
      <c r="C21" s="164" t="s">
        <v>4</v>
      </c>
      <c r="D21" s="312">
        <v>77</v>
      </c>
      <c r="E21" s="308">
        <v>7673.10106</v>
      </c>
      <c r="F21" s="308">
        <v>83593.082290000006</v>
      </c>
      <c r="G21" s="309">
        <f>E21/$E$27</f>
        <v>0.29884693894635</v>
      </c>
      <c r="H21" s="309">
        <f>(E21-I21)/I21</f>
        <v>-0.21538797324609049</v>
      </c>
      <c r="I21" s="312">
        <v>9779.4843799999999</v>
      </c>
      <c r="J21" s="308">
        <v>106884.01293</v>
      </c>
      <c r="K21" s="309">
        <f>I21/$I$27</f>
        <v>0.32089119990859699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3" customHeight="1">
      <c r="A22" s="443"/>
      <c r="B22" s="443"/>
      <c r="C22" s="154" t="s">
        <v>5</v>
      </c>
      <c r="D22" s="313">
        <v>349</v>
      </c>
      <c r="E22" s="129">
        <v>3930.8915000000002</v>
      </c>
      <c r="F22" s="129">
        <v>42824.311329999997</v>
      </c>
      <c r="G22" s="307">
        <f t="shared" ref="G22:G26" si="7">E22/$E$27</f>
        <v>0.15309780008361132</v>
      </c>
      <c r="H22" s="307">
        <f t="shared" ref="H22:H26" si="8">(E22-I22)/I22</f>
        <v>2.7101778219883695E-2</v>
      </c>
      <c r="I22" s="313">
        <v>3827.1684299999997</v>
      </c>
      <c r="J22" s="129">
        <v>41828.654649999997</v>
      </c>
      <c r="K22" s="307">
        <f t="shared" ref="K22:K26" si="9">I22/$I$27</f>
        <v>0.12557969541488251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3" customHeight="1">
      <c r="A23" s="443"/>
      <c r="B23" s="443"/>
      <c r="C23" s="154" t="s">
        <v>6</v>
      </c>
      <c r="D23" s="313">
        <v>10633</v>
      </c>
      <c r="E23" s="129">
        <v>5296.5773899999995</v>
      </c>
      <c r="F23" s="129">
        <v>57702.503079999995</v>
      </c>
      <c r="G23" s="307">
        <f t="shared" si="7"/>
        <v>0.20628764400686098</v>
      </c>
      <c r="H23" s="307">
        <f t="shared" si="8"/>
        <v>-0.1546449273045401</v>
      </c>
      <c r="I23" s="313">
        <v>6265.5061299999998</v>
      </c>
      <c r="J23" s="129">
        <v>68478.222729999994</v>
      </c>
      <c r="K23" s="307">
        <f t="shared" si="9"/>
        <v>0.2055881171201758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3" customHeight="1">
      <c r="A24" s="443"/>
      <c r="B24" s="443"/>
      <c r="C24" s="154" t="s">
        <v>7</v>
      </c>
      <c r="D24" s="313">
        <v>100559</v>
      </c>
      <c r="E24" s="129">
        <v>8078.6180399999994</v>
      </c>
      <c r="F24" s="129">
        <v>88009.926539999986</v>
      </c>
      <c r="G24" s="307">
        <f t="shared" si="7"/>
        <v>0.31464074997739722</v>
      </c>
      <c r="H24" s="307">
        <f t="shared" si="8"/>
        <v>-0.15464492840106744</v>
      </c>
      <c r="I24" s="313">
        <v>9556.4790599999997</v>
      </c>
      <c r="J24" s="129">
        <v>104446.61116</v>
      </c>
      <c r="K24" s="307">
        <f t="shared" si="9"/>
        <v>0.3135737952336482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3" customHeight="1">
      <c r="A25" s="443"/>
      <c r="B25" s="443"/>
      <c r="C25" s="154" t="s">
        <v>93</v>
      </c>
      <c r="D25" s="313">
        <v>18</v>
      </c>
      <c r="E25" s="129">
        <v>334.20799999999997</v>
      </c>
      <c r="F25" s="129">
        <v>3641.018</v>
      </c>
      <c r="G25" s="307">
        <f t="shared" si="7"/>
        <v>1.3016515355446357E-2</v>
      </c>
      <c r="H25" s="307">
        <f t="shared" si="8"/>
        <v>-9.7790963548064228E-2</v>
      </c>
      <c r="I25" s="313">
        <v>370.43300000000005</v>
      </c>
      <c r="J25" s="129">
        <v>4048.6959999999999</v>
      </c>
      <c r="K25" s="307">
        <f t="shared" si="9"/>
        <v>1.2154903595821411E-2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3" customHeight="1">
      <c r="A26" s="443"/>
      <c r="B26" s="443"/>
      <c r="C26" s="154" t="s">
        <v>94</v>
      </c>
      <c r="D26" s="313"/>
      <c r="E26" s="129">
        <v>362.29300000000001</v>
      </c>
      <c r="F26" s="129">
        <v>3946.962</v>
      </c>
      <c r="G26" s="307">
        <f t="shared" si="7"/>
        <v>1.4110351630334186E-2</v>
      </c>
      <c r="H26" s="307">
        <f t="shared" si="8"/>
        <v>-0.46480939282833683</v>
      </c>
      <c r="I26" s="313">
        <v>676.94200000000001</v>
      </c>
      <c r="J26" s="129">
        <v>7398.5339999999997</v>
      </c>
      <c r="K26" s="307">
        <f t="shared" si="9"/>
        <v>2.2212288726875133E-2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3" customHeight="1">
      <c r="A27" s="444"/>
      <c r="B27" s="444"/>
      <c r="C27" s="318" t="s">
        <v>0</v>
      </c>
      <c r="D27" s="321">
        <v>111636</v>
      </c>
      <c r="E27" s="319">
        <v>25675.688989999999</v>
      </c>
      <c r="F27" s="319">
        <v>279717.80323999992</v>
      </c>
      <c r="G27" s="320">
        <f>SUM(G21:G26)</f>
        <v>1</v>
      </c>
      <c r="H27" s="320">
        <f>(E27-I27)/I27</f>
        <v>-0.1575115488367852</v>
      </c>
      <c r="I27" s="321">
        <v>30476.012999999999</v>
      </c>
      <c r="J27" s="319">
        <v>333084.73147</v>
      </c>
      <c r="K27" s="320">
        <f>SUM(K21:K26)</f>
        <v>1</v>
      </c>
      <c r="M27" s="89"/>
      <c r="N27" s="89"/>
      <c r="O27" s="89"/>
      <c r="P27" s="89"/>
      <c r="Q27" s="89"/>
      <c r="R27" s="89"/>
      <c r="S27" s="89"/>
    </row>
    <row r="28" spans="1:20" ht="13" customHeight="1">
      <c r="A28" s="511" t="str">
        <f>'3.1'!G5</f>
        <v>I. čtvrtletí</v>
      </c>
      <c r="B28" s="442"/>
      <c r="C28" s="164" t="s">
        <v>4</v>
      </c>
      <c r="D28" s="312">
        <f>D21</f>
        <v>77</v>
      </c>
      <c r="E28" s="308">
        <f>E7+E14+E21</f>
        <v>24678.339370000002</v>
      </c>
      <c r="F28" s="308">
        <f>F7+F14+F21</f>
        <v>268861.45201000001</v>
      </c>
      <c r="G28" s="309">
        <f>E28/$E$34</f>
        <v>0.25996333097726665</v>
      </c>
      <c r="H28" s="309">
        <f>(E28-I28)/I28</f>
        <v>-0.16626852848287813</v>
      </c>
      <c r="I28" s="312">
        <f>I7+I14+I21</f>
        <v>29599.865440000001</v>
      </c>
      <c r="J28" s="308">
        <f>J7+J14+J21</f>
        <v>322846.98404000001</v>
      </c>
      <c r="K28" s="309">
        <f>I28/$I$34</f>
        <v>0.29213888045476594</v>
      </c>
      <c r="M28" s="89"/>
      <c r="N28" s="89"/>
      <c r="O28" s="89"/>
      <c r="P28" s="89"/>
      <c r="Q28" s="89"/>
      <c r="R28" s="89"/>
      <c r="S28" s="89"/>
    </row>
    <row r="29" spans="1:20" ht="13" customHeight="1">
      <c r="A29" s="443"/>
      <c r="B29" s="443"/>
      <c r="C29" s="154" t="s">
        <v>5</v>
      </c>
      <c r="D29" s="313">
        <f t="shared" ref="D29:D32" si="10">D22</f>
        <v>349</v>
      </c>
      <c r="E29" s="129">
        <f>E8+E15+E22</f>
        <v>14051.324189999999</v>
      </c>
      <c r="F29" s="129">
        <f t="shared" ref="F29" si="11">F8+F15+F22</f>
        <v>153084.79261</v>
      </c>
      <c r="G29" s="307">
        <f t="shared" ref="G29:G33" si="12">E29/$E$34</f>
        <v>0.14801761926956769</v>
      </c>
      <c r="H29" s="307">
        <f t="shared" ref="H29:H31" si="13">(E29-I29)/I29</f>
        <v>8.6892944140824629E-2</v>
      </c>
      <c r="I29" s="313">
        <f>I8+I15+I22</f>
        <v>12927.97443</v>
      </c>
      <c r="J29" s="129">
        <f t="shared" ref="J29" si="14">J8+J15+J22</f>
        <v>140989.55875999999</v>
      </c>
      <c r="K29" s="307">
        <f t="shared" ref="K29:K33" si="15">I29/$I$34</f>
        <v>0.12759395762064116</v>
      </c>
      <c r="M29" s="89"/>
      <c r="N29" s="89"/>
      <c r="O29" s="89"/>
      <c r="P29" s="89"/>
      <c r="Q29" s="89"/>
      <c r="R29" s="89"/>
      <c r="S29" s="89"/>
    </row>
    <row r="30" spans="1:20" ht="13" customHeight="1">
      <c r="A30" s="443"/>
      <c r="B30" s="443"/>
      <c r="C30" s="154" t="s">
        <v>6</v>
      </c>
      <c r="D30" s="313">
        <f t="shared" si="10"/>
        <v>10633</v>
      </c>
      <c r="E30" s="129">
        <f t="shared" ref="E30:F33" si="16">E9+E16+E23</f>
        <v>21360.869809999997</v>
      </c>
      <c r="F30" s="129">
        <f t="shared" si="16"/>
        <v>232721.51886000001</v>
      </c>
      <c r="G30" s="307">
        <f t="shared" si="12"/>
        <v>0.225016877559024</v>
      </c>
      <c r="H30" s="307">
        <f t="shared" si="13"/>
        <v>-2.6665593375273258E-2</v>
      </c>
      <c r="I30" s="313">
        <f t="shared" ref="I30:J32" si="17">I9+I16+I23</f>
        <v>21946.074919999999</v>
      </c>
      <c r="J30" s="129">
        <f t="shared" si="17"/>
        <v>239334.79081999999</v>
      </c>
      <c r="K30" s="307">
        <f t="shared" si="15"/>
        <v>0.21659901699557241</v>
      </c>
      <c r="M30" s="89"/>
      <c r="N30" s="89"/>
      <c r="O30" s="89"/>
      <c r="P30" s="89"/>
      <c r="Q30" s="89"/>
      <c r="R30" s="89"/>
      <c r="S30" s="89"/>
    </row>
    <row r="31" spans="1:20" ht="13" customHeight="1">
      <c r="A31" s="443"/>
      <c r="B31" s="443"/>
      <c r="C31" s="154" t="s">
        <v>7</v>
      </c>
      <c r="D31" s="313">
        <f t="shared" si="10"/>
        <v>100559</v>
      </c>
      <c r="E31" s="129">
        <f>E10+E17+E24</f>
        <v>32580.719949999999</v>
      </c>
      <c r="F31" s="129">
        <f t="shared" si="16"/>
        <v>354958.32030999998</v>
      </c>
      <c r="G31" s="307">
        <f t="shared" si="12"/>
        <v>0.34320755367096178</v>
      </c>
      <c r="H31" s="307">
        <f t="shared" si="13"/>
        <v>-2.666561391934889E-2</v>
      </c>
      <c r="I31" s="313">
        <f>I10+I17+I24</f>
        <v>33473.306210000002</v>
      </c>
      <c r="J31" s="129">
        <f t="shared" si="17"/>
        <v>365048.0171</v>
      </c>
      <c r="K31" s="307">
        <f t="shared" si="15"/>
        <v>0.3303681978261373</v>
      </c>
      <c r="M31" s="89"/>
      <c r="N31" s="89"/>
      <c r="O31" s="89"/>
      <c r="P31" s="89"/>
      <c r="Q31" s="89"/>
      <c r="R31" s="89"/>
      <c r="S31" s="89"/>
    </row>
    <row r="32" spans="1:20" ht="13" customHeight="1">
      <c r="A32" s="443"/>
      <c r="B32" s="443"/>
      <c r="C32" s="154" t="s">
        <v>93</v>
      </c>
      <c r="D32" s="313">
        <f t="shared" si="10"/>
        <v>18</v>
      </c>
      <c r="E32" s="129">
        <f>E11+E18+E25</f>
        <v>1024.3240000000001</v>
      </c>
      <c r="F32" s="129">
        <f t="shared" si="16"/>
        <v>11159.911</v>
      </c>
      <c r="G32" s="307">
        <f t="shared" si="12"/>
        <v>1.0790299746167957E-2</v>
      </c>
      <c r="H32" s="307">
        <f>(E32-I32)/I32</f>
        <v>-5.3518430224607248E-2</v>
      </c>
      <c r="I32" s="313">
        <f>I11+I18+I25</f>
        <v>1082.2439999999999</v>
      </c>
      <c r="J32" s="129">
        <f t="shared" si="17"/>
        <v>11804.511</v>
      </c>
      <c r="K32" s="307">
        <f t="shared" si="15"/>
        <v>1.0681317155977168E-2</v>
      </c>
      <c r="M32" s="89"/>
      <c r="N32" s="89"/>
      <c r="O32" s="89"/>
      <c r="P32" s="89"/>
      <c r="Q32" s="89"/>
      <c r="R32" s="89"/>
      <c r="S32" s="89"/>
    </row>
    <row r="33" spans="1:20" ht="13" customHeight="1">
      <c r="A33" s="443"/>
      <c r="B33" s="443"/>
      <c r="C33" s="154" t="s">
        <v>94</v>
      </c>
      <c r="D33" s="313"/>
      <c r="E33" s="129">
        <f t="shared" si="16"/>
        <v>1234.5010000000002</v>
      </c>
      <c r="F33" s="129">
        <f t="shared" si="16"/>
        <v>13449.522999999999</v>
      </c>
      <c r="G33" s="307">
        <f t="shared" si="12"/>
        <v>1.3004318777012049E-2</v>
      </c>
      <c r="H33" s="307">
        <f t="shared" ref="H33" si="18">(E33-I33)/I33</f>
        <v>-0.46132753746377764</v>
      </c>
      <c r="I33" s="313">
        <f t="shared" ref="I33:J33" si="19">I12+I19+I26</f>
        <v>2291.7470000000003</v>
      </c>
      <c r="J33" s="129">
        <f t="shared" si="19"/>
        <v>24997.383000000002</v>
      </c>
      <c r="K33" s="307">
        <f t="shared" si="15"/>
        <v>2.2618629946905885E-2</v>
      </c>
      <c r="M33" s="89"/>
      <c r="N33" s="89"/>
      <c r="O33" s="89"/>
      <c r="P33" s="89"/>
      <c r="Q33" s="89"/>
      <c r="R33" s="89"/>
      <c r="S33" s="89"/>
    </row>
    <row r="34" spans="1:20" ht="13" customHeight="1">
      <c r="A34" s="444"/>
      <c r="B34" s="444"/>
      <c r="C34" s="318" t="s">
        <v>0</v>
      </c>
      <c r="D34" s="321">
        <f>SUM(D28:D33)</f>
        <v>111636</v>
      </c>
      <c r="E34" s="319">
        <f>SUM(E28:E33)</f>
        <v>94930.078319999986</v>
      </c>
      <c r="F34" s="319">
        <f>SUM(F28:F33)</f>
        <v>1034235.51779</v>
      </c>
      <c r="G34" s="320">
        <f>SUM(G28:G33)</f>
        <v>1.0000000000000002</v>
      </c>
      <c r="H34" s="320">
        <f>(E34-I34)/I34</f>
        <v>-6.307794344189277E-2</v>
      </c>
      <c r="I34" s="321">
        <f>SUM(I28:I33)</f>
        <v>101321.21200000001</v>
      </c>
      <c r="J34" s="319">
        <f>SUM(J28:J33)</f>
        <v>1105021.2447199998</v>
      </c>
      <c r="K34" s="320">
        <f>SUM(K28:K33)</f>
        <v>0.99999999999999989</v>
      </c>
      <c r="M34" s="89"/>
      <c r="N34" s="89"/>
      <c r="O34" s="89"/>
      <c r="P34" s="89"/>
      <c r="Q34" s="89"/>
      <c r="R34" s="89"/>
      <c r="S34" s="89"/>
    </row>
    <row r="35" spans="1:20" ht="20.149999999999999" customHeight="1">
      <c r="A35" s="126"/>
      <c r="B35" s="303"/>
      <c r="C35" s="101"/>
      <c r="D35" s="88"/>
      <c r="E35" s="88"/>
      <c r="F35" s="88"/>
      <c r="G35" s="496" t="s">
        <v>270</v>
      </c>
      <c r="H35" s="496"/>
      <c r="I35" s="496"/>
      <c r="J35" s="496"/>
      <c r="K35" s="496"/>
    </row>
    <row r="36" spans="1:20" ht="15" customHeight="1">
      <c r="A36" s="488" t="s">
        <v>269</v>
      </c>
      <c r="B36" s="488"/>
      <c r="C36" s="488"/>
      <c r="D36" s="488"/>
      <c r="E36" s="488"/>
      <c r="F36" s="119"/>
      <c r="G36" s="496"/>
      <c r="H36" s="496"/>
      <c r="I36" s="496"/>
      <c r="J36" s="496"/>
      <c r="K36" s="496"/>
      <c r="M36" s="93"/>
      <c r="N36" s="93"/>
      <c r="O36" s="93"/>
      <c r="P36" s="93"/>
      <c r="Q36" s="93"/>
      <c r="R36" s="93"/>
      <c r="S36" s="93"/>
    </row>
    <row r="37" spans="1:20" ht="15" customHeight="1">
      <c r="A37" s="489" t="str">
        <f>A28</f>
        <v>I. čtvrtletí</v>
      </c>
      <c r="B37" s="490"/>
      <c r="C37" s="490"/>
      <c r="D37" s="490"/>
      <c r="E37" s="490"/>
      <c r="F37" s="125"/>
      <c r="G37" s="491" t="str">
        <f>A28</f>
        <v>I. čtvrtletí</v>
      </c>
      <c r="H37" s="491"/>
      <c r="I37" s="491"/>
      <c r="J37" s="491"/>
      <c r="K37" s="49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2024</v>
      </c>
      <c r="D41" s="94">
        <f>I3</f>
        <v>2023</v>
      </c>
      <c r="E41" s="76"/>
      <c r="F41" s="76"/>
      <c r="G41" s="76"/>
      <c r="H41" s="94"/>
      <c r="I41" s="94">
        <f>D3</f>
        <v>2024</v>
      </c>
      <c r="J41" s="94">
        <f>I3</f>
        <v>2023</v>
      </c>
      <c r="K41" s="94"/>
    </row>
    <row r="42" spans="1:20" ht="15" customHeight="1">
      <c r="A42" s="94"/>
      <c r="B42" s="94" t="str">
        <f>A7</f>
        <v>Leden</v>
      </c>
      <c r="C42" s="78">
        <f>E13</f>
        <v>40978.987000000001</v>
      </c>
      <c r="D42" s="78">
        <f>I13</f>
        <v>36370.573989999997</v>
      </c>
      <c r="E42" s="76"/>
      <c r="F42" s="76"/>
      <c r="G42" s="76"/>
      <c r="H42" s="94" t="str">
        <f>A7</f>
        <v>Leden</v>
      </c>
      <c r="I42" s="95">
        <f>E13/E34</f>
        <v>0.43167547868088607</v>
      </c>
      <c r="J42" s="95">
        <f>I13/I34</f>
        <v>0.35896307665565619</v>
      </c>
      <c r="K42" s="94"/>
    </row>
    <row r="43" spans="1:20" ht="15" customHeight="1">
      <c r="A43" s="94"/>
      <c r="B43" s="94" t="str">
        <f>A14</f>
        <v>Únor</v>
      </c>
      <c r="C43" s="78">
        <f>E20</f>
        <v>28275.402330000004</v>
      </c>
      <c r="D43" s="78">
        <f>I20</f>
        <v>34474.625010000003</v>
      </c>
      <c r="E43" s="76"/>
      <c r="F43" s="76"/>
      <c r="G43" s="76"/>
      <c r="H43" s="94" t="str">
        <f>A14</f>
        <v>Únor</v>
      </c>
      <c r="I43" s="95">
        <f>E20/E34</f>
        <v>0.29785504057719614</v>
      </c>
      <c r="J43" s="95">
        <f>I20/I34</f>
        <v>0.34025081549557462</v>
      </c>
      <c r="K43" s="94"/>
    </row>
    <row r="44" spans="1:20" ht="15" customHeight="1">
      <c r="A44" s="94"/>
      <c r="B44" s="94" t="str">
        <f>A21</f>
        <v>Březen</v>
      </c>
      <c r="C44" s="78">
        <f>E27</f>
        <v>25675.688989999999</v>
      </c>
      <c r="D44" s="78">
        <f>I27</f>
        <v>30476.012999999999</v>
      </c>
      <c r="E44" s="76"/>
      <c r="F44" s="76"/>
      <c r="G44" s="76"/>
      <c r="H44" s="94" t="str">
        <f>A21</f>
        <v>Březen</v>
      </c>
      <c r="I44" s="95">
        <f>E27/E34</f>
        <v>0.27046948074191796</v>
      </c>
      <c r="J44" s="95">
        <f>I27/I34</f>
        <v>0.30078610784876908</v>
      </c>
      <c r="K44" s="94"/>
    </row>
    <row r="45" spans="1:20" ht="15" customHeight="1">
      <c r="A45" s="94"/>
      <c r="B45" s="94"/>
      <c r="C45" s="78">
        <f>SUM(C42:C44)</f>
        <v>94930.078320000001</v>
      </c>
      <c r="D45" s="78">
        <f>SUM(D42:D44)</f>
        <v>101321.212</v>
      </c>
      <c r="E45" s="94"/>
      <c r="F45" s="94"/>
      <c r="G45" s="94"/>
      <c r="H45" s="94"/>
      <c r="I45" s="96">
        <f>SUM(I42:I44)</f>
        <v>1.0000000000000002</v>
      </c>
      <c r="J45" s="96">
        <f>SUM(J42:J44)</f>
        <v>0.99999999999999978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ht="15" customHeight="1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  <mergeCell ref="A1:K1"/>
    <mergeCell ref="A2:C2"/>
    <mergeCell ref="I3:K4"/>
    <mergeCell ref="E3:G4"/>
    <mergeCell ref="A3:C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21" s="86" customFormat="1" ht="18">
      <c r="A1" s="482" t="s">
        <v>299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21" ht="6" customHeight="1">
      <c r="A2" s="497"/>
      <c r="B2" s="497"/>
      <c r="C2" s="497"/>
      <c r="D2" s="315"/>
      <c r="E2" s="315"/>
      <c r="F2" s="316"/>
      <c r="G2" s="317"/>
      <c r="H2" s="317"/>
      <c r="I2" s="317"/>
      <c r="J2" s="279"/>
      <c r="K2" s="279"/>
    </row>
    <row r="3" spans="1:21" ht="15" customHeight="1">
      <c r="A3" s="507" t="s">
        <v>34</v>
      </c>
      <c r="B3" s="507"/>
      <c r="C3" s="507"/>
      <c r="D3" s="341">
        <f>'3.1'!A4</f>
        <v>2024</v>
      </c>
      <c r="E3" s="502"/>
      <c r="F3" s="502"/>
      <c r="G3" s="502"/>
      <c r="H3" s="340"/>
      <c r="I3" s="501">
        <f>D3-1</f>
        <v>2023</v>
      </c>
      <c r="J3" s="502"/>
      <c r="K3" s="502"/>
    </row>
    <row r="4" spans="1:21" ht="50.15" customHeight="1">
      <c r="A4" s="508"/>
      <c r="B4" s="508"/>
      <c r="C4" s="508"/>
      <c r="D4" s="343"/>
      <c r="E4" s="504"/>
      <c r="F4" s="504"/>
      <c r="G4" s="504"/>
      <c r="H4" s="174"/>
      <c r="I4" s="503"/>
      <c r="J4" s="504"/>
      <c r="K4" s="504"/>
    </row>
    <row r="5" spans="1:21" ht="25" customHeight="1">
      <c r="A5" s="507" t="s">
        <v>158</v>
      </c>
      <c r="B5" s="507"/>
      <c r="C5" s="509" t="s">
        <v>184</v>
      </c>
      <c r="D5" s="505" t="s">
        <v>159</v>
      </c>
      <c r="E5" s="499" t="s">
        <v>60</v>
      </c>
      <c r="F5" s="499"/>
      <c r="G5" s="500" t="s">
        <v>33</v>
      </c>
      <c r="H5" s="500" t="s">
        <v>268</v>
      </c>
      <c r="I5" s="498" t="s">
        <v>60</v>
      </c>
      <c r="J5" s="499"/>
      <c r="K5" s="500" t="s">
        <v>33</v>
      </c>
    </row>
    <row r="6" spans="1:21" ht="22.5" customHeight="1">
      <c r="A6" s="508"/>
      <c r="B6" s="508"/>
      <c r="C6" s="510"/>
      <c r="D6" s="506"/>
      <c r="E6" s="219" t="s">
        <v>259</v>
      </c>
      <c r="F6" s="219" t="s">
        <v>260</v>
      </c>
      <c r="G6" s="487"/>
      <c r="H6" s="487"/>
      <c r="I6" s="221" t="s">
        <v>259</v>
      </c>
      <c r="J6" s="219" t="s">
        <v>260</v>
      </c>
      <c r="K6" s="487"/>
    </row>
    <row r="7" spans="1:21" ht="13" customHeight="1">
      <c r="A7" s="442" t="str">
        <f>'3.1'!D5</f>
        <v>Leden</v>
      </c>
      <c r="B7" s="442"/>
      <c r="C7" s="164" t="s">
        <v>4</v>
      </c>
      <c r="D7" s="312">
        <v>94</v>
      </c>
      <c r="E7" s="308">
        <v>39534.951000000008</v>
      </c>
      <c r="F7" s="308">
        <v>431390.24000999995</v>
      </c>
      <c r="G7" s="309">
        <f t="shared" ref="G7:G12" si="0">E7/$E$13</f>
        <v>0.97936642544061803</v>
      </c>
      <c r="H7" s="309">
        <f>(E7-I7)/I7</f>
        <v>0.5823050805643829</v>
      </c>
      <c r="I7" s="312">
        <v>24985.669000000002</v>
      </c>
      <c r="J7" s="308">
        <v>273380.71367000003</v>
      </c>
      <c r="K7" s="309">
        <f>I7/$I$13</f>
        <v>0.97701421453959836</v>
      </c>
      <c r="M7" s="89"/>
      <c r="N7" s="89"/>
      <c r="O7" s="89"/>
      <c r="P7" s="89"/>
      <c r="Q7" s="89"/>
      <c r="R7" s="89"/>
      <c r="S7" s="89"/>
      <c r="T7" s="89"/>
      <c r="U7" s="89"/>
    </row>
    <row r="8" spans="1:21" ht="13" customHeight="1">
      <c r="A8" s="443"/>
      <c r="B8" s="443"/>
      <c r="C8" s="154" t="s">
        <v>5</v>
      </c>
      <c r="D8" s="313">
        <v>123</v>
      </c>
      <c r="E8" s="129">
        <v>112.46599999999999</v>
      </c>
      <c r="F8" s="129">
        <v>1192.125</v>
      </c>
      <c r="G8" s="307">
        <f t="shared" si="0"/>
        <v>2.7860265819882896E-3</v>
      </c>
      <c r="H8" s="307">
        <f t="shared" ref="H8:H11" si="1">(E8-I8)/I8</f>
        <v>0.22642908551612828</v>
      </c>
      <c r="I8" s="313">
        <v>91.701999999999998</v>
      </c>
      <c r="J8" s="129">
        <v>969.33100000000002</v>
      </c>
      <c r="K8" s="307">
        <f t="shared" ref="K8:K12" si="2">I8/$I$13</f>
        <v>3.5858218365780094E-3</v>
      </c>
      <c r="L8" s="93"/>
      <c r="M8" s="89"/>
      <c r="N8" s="89"/>
      <c r="O8" s="89"/>
      <c r="P8" s="89"/>
      <c r="Q8" s="89"/>
      <c r="R8" s="89"/>
      <c r="S8" s="89"/>
    </row>
    <row r="9" spans="1:21" ht="13" customHeight="1">
      <c r="A9" s="443"/>
      <c r="B9" s="443"/>
      <c r="C9" s="154" t="s">
        <v>6</v>
      </c>
      <c r="D9" s="313">
        <v>1167</v>
      </c>
      <c r="E9" s="129">
        <v>218.96</v>
      </c>
      <c r="F9" s="129">
        <v>2302.52</v>
      </c>
      <c r="G9" s="307">
        <f t="shared" si="0"/>
        <v>5.4241137800949265E-3</v>
      </c>
      <c r="H9" s="307">
        <f t="shared" si="1"/>
        <v>6.9542748005842162E-2</v>
      </c>
      <c r="I9" s="313">
        <v>204.72299999999998</v>
      </c>
      <c r="J9" s="129">
        <v>2151.5194999999999</v>
      </c>
      <c r="K9" s="307">
        <f t="shared" si="2"/>
        <v>8.0052801885428862E-3</v>
      </c>
      <c r="L9" s="93"/>
      <c r="M9" s="89"/>
      <c r="N9" s="89"/>
      <c r="O9" s="89"/>
      <c r="P9" s="89"/>
      <c r="Q9" s="89"/>
      <c r="R9" s="89"/>
      <c r="S9" s="89"/>
    </row>
    <row r="10" spans="1:21" ht="13" customHeight="1">
      <c r="A10" s="443"/>
      <c r="B10" s="443"/>
      <c r="C10" s="154" t="s">
        <v>7</v>
      </c>
      <c r="D10" s="313">
        <v>8061</v>
      </c>
      <c r="E10" s="129">
        <v>0</v>
      </c>
      <c r="F10" s="129">
        <v>0</v>
      </c>
      <c r="G10" s="307">
        <f t="shared" si="0"/>
        <v>0</v>
      </c>
      <c r="H10" s="344" t="e">
        <f t="shared" si="1"/>
        <v>#DIV/0!</v>
      </c>
      <c r="I10" s="313">
        <v>0</v>
      </c>
      <c r="J10" s="129">
        <v>0</v>
      </c>
      <c r="K10" s="307">
        <f t="shared" si="2"/>
        <v>0</v>
      </c>
      <c r="L10" s="93"/>
      <c r="M10" s="89"/>
      <c r="N10" s="89"/>
      <c r="O10" s="89"/>
      <c r="P10" s="89"/>
      <c r="Q10" s="89"/>
      <c r="R10" s="89"/>
      <c r="S10" s="89"/>
    </row>
    <row r="11" spans="1:21" ht="13" customHeight="1">
      <c r="A11" s="443"/>
      <c r="B11" s="443"/>
      <c r="C11" s="154" t="s">
        <v>93</v>
      </c>
      <c r="D11" s="313">
        <v>6</v>
      </c>
      <c r="E11" s="129">
        <v>55.618000000000002</v>
      </c>
      <c r="F11" s="129">
        <v>583.98900000000003</v>
      </c>
      <c r="G11" s="307">
        <f t="shared" si="0"/>
        <v>1.3777784080257563E-3</v>
      </c>
      <c r="H11" s="307">
        <f t="shared" si="1"/>
        <v>2.6906436629064365</v>
      </c>
      <c r="I11" s="313">
        <v>15.07</v>
      </c>
      <c r="J11" s="129">
        <v>156.24600000000001</v>
      </c>
      <c r="K11" s="307">
        <f t="shared" si="2"/>
        <v>5.8928196852010427E-4</v>
      </c>
      <c r="L11" s="93"/>
      <c r="M11" s="89"/>
      <c r="N11" s="89"/>
      <c r="O11" s="89"/>
      <c r="P11" s="89"/>
      <c r="Q11" s="89"/>
      <c r="R11" s="89"/>
      <c r="S11" s="89"/>
    </row>
    <row r="12" spans="1:21" ht="13" customHeight="1">
      <c r="A12" s="443"/>
      <c r="B12" s="443"/>
      <c r="C12" s="154" t="s">
        <v>96</v>
      </c>
      <c r="D12" s="313">
        <v>0</v>
      </c>
      <c r="E12" s="129">
        <v>445.88975999999968</v>
      </c>
      <c r="F12" s="129">
        <v>5037.0701639999952</v>
      </c>
      <c r="G12" s="307">
        <f t="shared" si="0"/>
        <v>1.1045655789273008E-2</v>
      </c>
      <c r="H12" s="307">
        <f>(E12-I12)/I12</f>
        <v>0.61360225198763596</v>
      </c>
      <c r="I12" s="313">
        <v>276.33188999999999</v>
      </c>
      <c r="J12" s="129">
        <v>3115.1927100000121</v>
      </c>
      <c r="K12" s="307">
        <f t="shared" si="2"/>
        <v>1.0805401466760511E-2</v>
      </c>
      <c r="L12" s="93"/>
      <c r="M12" s="89"/>
      <c r="N12" s="89"/>
      <c r="O12" s="89"/>
      <c r="P12" s="89"/>
      <c r="Q12" s="89"/>
      <c r="R12" s="89"/>
      <c r="S12" s="89"/>
    </row>
    <row r="13" spans="1:21" ht="13" customHeight="1">
      <c r="A13" s="444"/>
      <c r="B13" s="444"/>
      <c r="C13" s="318" t="s">
        <v>0</v>
      </c>
      <c r="D13" s="321">
        <v>9451</v>
      </c>
      <c r="E13" s="319">
        <v>40367.884760000008</v>
      </c>
      <c r="F13" s="319">
        <v>440505.94417399995</v>
      </c>
      <c r="G13" s="320">
        <f>SUM(G7:G12)</f>
        <v>1</v>
      </c>
      <c r="H13" s="320">
        <f>(E13-I13)/I13</f>
        <v>0.57850475092007447</v>
      </c>
      <c r="I13" s="321">
        <v>25573.495890000006</v>
      </c>
      <c r="J13" s="319">
        <v>279773.00288000004</v>
      </c>
      <c r="K13" s="320">
        <f>SUM(K7:K12)</f>
        <v>0.99999999999999978</v>
      </c>
      <c r="L13" s="93"/>
      <c r="M13" s="89"/>
      <c r="N13" s="89"/>
      <c r="O13" s="89"/>
      <c r="P13" s="89"/>
      <c r="Q13" s="89"/>
      <c r="R13" s="89"/>
      <c r="S13" s="89"/>
    </row>
    <row r="14" spans="1:21" ht="13" customHeight="1">
      <c r="A14" s="442" t="str">
        <f>'3.1'!E5</f>
        <v>Únor</v>
      </c>
      <c r="B14" s="442"/>
      <c r="C14" s="164" t="s">
        <v>4</v>
      </c>
      <c r="D14" s="312">
        <v>94</v>
      </c>
      <c r="E14" s="308">
        <v>11389.778</v>
      </c>
      <c r="F14" s="308">
        <v>124308.54461600003</v>
      </c>
      <c r="G14" s="309">
        <f>E14/$E$20</f>
        <v>0.95411699249214499</v>
      </c>
      <c r="H14" s="309">
        <f>(E14-I14)/I14</f>
        <v>-0.68457095995651374</v>
      </c>
      <c r="I14" s="312">
        <v>36108.844000000005</v>
      </c>
      <c r="J14" s="308">
        <v>395934.53679699998</v>
      </c>
      <c r="K14" s="309">
        <f>I14/$I$20</f>
        <v>0.98477658180295014</v>
      </c>
      <c r="L14" s="93"/>
      <c r="M14" s="89"/>
      <c r="N14" s="89"/>
      <c r="O14" s="89"/>
      <c r="P14" s="89"/>
      <c r="Q14" s="89"/>
      <c r="R14" s="89"/>
      <c r="S14" s="89"/>
    </row>
    <row r="15" spans="1:21" ht="13" customHeight="1">
      <c r="A15" s="443"/>
      <c r="B15" s="443"/>
      <c r="C15" s="154" t="s">
        <v>5</v>
      </c>
      <c r="D15" s="313">
        <v>123</v>
      </c>
      <c r="E15" s="129">
        <v>61.956000000000003</v>
      </c>
      <c r="F15" s="129">
        <v>651.48400000000004</v>
      </c>
      <c r="G15" s="307">
        <f t="shared" ref="G15:G19" si="3">E15/$E$20</f>
        <v>5.1900284963274385E-3</v>
      </c>
      <c r="H15" s="307">
        <f t="shared" ref="H15:H17" si="4">(E15-I15)/I15</f>
        <v>-0.30363826415348821</v>
      </c>
      <c r="I15" s="313">
        <v>88.971000000000004</v>
      </c>
      <c r="J15" s="129">
        <v>940.14599999999996</v>
      </c>
      <c r="K15" s="307">
        <f t="shared" ref="K15:K19" si="5">I15/$I$20</f>
        <v>2.4264569992766944E-3</v>
      </c>
      <c r="L15" s="97"/>
      <c r="M15" s="89"/>
      <c r="N15" s="89"/>
      <c r="O15" s="89"/>
      <c r="P15" s="89"/>
      <c r="Q15" s="89"/>
      <c r="R15" s="89"/>
      <c r="S15" s="89"/>
    </row>
    <row r="16" spans="1:21" ht="13" customHeight="1">
      <c r="A16" s="443"/>
      <c r="B16" s="443"/>
      <c r="C16" s="154" t="s">
        <v>6</v>
      </c>
      <c r="D16" s="313">
        <v>1170</v>
      </c>
      <c r="E16" s="129">
        <v>176.88600000000002</v>
      </c>
      <c r="F16" s="129">
        <v>1857.671</v>
      </c>
      <c r="G16" s="307">
        <f t="shared" si="3"/>
        <v>1.4817667063744841E-2</v>
      </c>
      <c r="H16" s="307">
        <f t="shared" si="4"/>
        <v>-2.1799721282102211E-2</v>
      </c>
      <c r="I16" s="313">
        <v>180.828</v>
      </c>
      <c r="J16" s="129">
        <v>1900.6585</v>
      </c>
      <c r="K16" s="307">
        <f>I16/$I$20</f>
        <v>4.9316222843983556E-3</v>
      </c>
      <c r="L16" s="93"/>
      <c r="M16" s="89"/>
      <c r="N16" s="89"/>
      <c r="O16" s="89"/>
      <c r="P16" s="89"/>
      <c r="Q16" s="89"/>
      <c r="R16" s="89"/>
      <c r="S16" s="89"/>
    </row>
    <row r="17" spans="1:20" ht="13" customHeight="1">
      <c r="A17" s="443"/>
      <c r="B17" s="443"/>
      <c r="C17" s="154" t="s">
        <v>7</v>
      </c>
      <c r="D17" s="313">
        <v>8067</v>
      </c>
      <c r="E17" s="129">
        <v>0</v>
      </c>
      <c r="F17" s="129">
        <v>0</v>
      </c>
      <c r="G17" s="307">
        <f t="shared" si="3"/>
        <v>0</v>
      </c>
      <c r="H17" s="344" t="e">
        <f t="shared" si="4"/>
        <v>#DIV/0!</v>
      </c>
      <c r="I17" s="313">
        <v>0</v>
      </c>
      <c r="J17" s="129">
        <v>0</v>
      </c>
      <c r="K17" s="307">
        <f>I17/$I$20</f>
        <v>0</v>
      </c>
      <c r="L17" s="93"/>
      <c r="M17" s="89"/>
      <c r="N17" s="89"/>
      <c r="O17" s="89"/>
      <c r="P17" s="89"/>
      <c r="Q17" s="89"/>
      <c r="R17" s="89"/>
      <c r="S17" s="89"/>
    </row>
    <row r="18" spans="1:20" ht="13" customHeight="1">
      <c r="A18" s="443"/>
      <c r="B18" s="443"/>
      <c r="C18" s="154" t="s">
        <v>93</v>
      </c>
      <c r="D18" s="313">
        <v>6</v>
      </c>
      <c r="E18" s="129">
        <v>54.158000000000001</v>
      </c>
      <c r="F18" s="129">
        <v>568.65899999999999</v>
      </c>
      <c r="G18" s="307">
        <f t="shared" si="3"/>
        <v>4.5367932614129606E-3</v>
      </c>
      <c r="H18" s="307">
        <f>(E18-I18)/I18</f>
        <v>4.437004316835659</v>
      </c>
      <c r="I18" s="313">
        <v>9.9610000000000003</v>
      </c>
      <c r="J18" s="129">
        <v>103.18600000000001</v>
      </c>
      <c r="K18" s="307">
        <f>I18/$I$20</f>
        <v>2.7166085769290163E-4</v>
      </c>
      <c r="L18" s="93"/>
      <c r="M18" s="89"/>
      <c r="N18" s="89"/>
      <c r="O18" s="89"/>
      <c r="P18" s="89"/>
      <c r="Q18" s="89"/>
      <c r="R18" s="89"/>
      <c r="S18" s="89"/>
    </row>
    <row r="19" spans="1:20" ht="13" customHeight="1">
      <c r="A19" s="443"/>
      <c r="B19" s="443"/>
      <c r="C19" s="154" t="s">
        <v>96</v>
      </c>
      <c r="D19" s="313">
        <v>0</v>
      </c>
      <c r="E19" s="129">
        <v>254.72870999999941</v>
      </c>
      <c r="F19" s="129">
        <v>3308.2313670000085</v>
      </c>
      <c r="G19" s="307">
        <f t="shared" si="3"/>
        <v>2.133851868636976E-2</v>
      </c>
      <c r="H19" s="307">
        <f t="shared" ref="H19" si="6">(E19-I19)/I19</f>
        <v>-8.5150104129214213E-2</v>
      </c>
      <c r="I19" s="313">
        <v>278.4377099999993</v>
      </c>
      <c r="J19" s="129">
        <v>3135.4554989999851</v>
      </c>
      <c r="K19" s="307">
        <f t="shared" si="5"/>
        <v>7.5936780556818814E-3</v>
      </c>
      <c r="L19" s="93"/>
      <c r="M19" s="89"/>
      <c r="N19" s="89"/>
      <c r="O19" s="89"/>
      <c r="P19" s="89"/>
      <c r="Q19" s="89"/>
      <c r="R19" s="89"/>
      <c r="S19" s="89"/>
    </row>
    <row r="20" spans="1:20" ht="13" customHeight="1">
      <c r="A20" s="444"/>
      <c r="B20" s="444"/>
      <c r="C20" s="318" t="s">
        <v>0</v>
      </c>
      <c r="D20" s="321">
        <v>9460</v>
      </c>
      <c r="E20" s="319">
        <v>11937.50671</v>
      </c>
      <c r="F20" s="319">
        <v>130694.58998300004</v>
      </c>
      <c r="G20" s="320">
        <f>SUM(G14:G19)</f>
        <v>1</v>
      </c>
      <c r="H20" s="320">
        <f>(E20-I20)/I20</f>
        <v>-0.67443496520897817</v>
      </c>
      <c r="I20" s="321">
        <v>36667.041710000005</v>
      </c>
      <c r="J20" s="319">
        <v>402013.98279599997</v>
      </c>
      <c r="K20" s="320">
        <f>SUM(K14:K19)</f>
        <v>1</v>
      </c>
      <c r="L20" s="93"/>
      <c r="M20" s="89"/>
      <c r="N20" s="89"/>
      <c r="O20" s="89"/>
      <c r="P20" s="89"/>
      <c r="Q20" s="89"/>
      <c r="R20" s="89"/>
      <c r="S20" s="89"/>
    </row>
    <row r="21" spans="1:20" ht="13" customHeight="1">
      <c r="A21" s="442" t="str">
        <f>'3.1'!F5</f>
        <v>Březen</v>
      </c>
      <c r="B21" s="442"/>
      <c r="C21" s="164" t="s">
        <v>4</v>
      </c>
      <c r="D21" s="312">
        <v>95</v>
      </c>
      <c r="E21" s="308">
        <v>18825.611999999997</v>
      </c>
      <c r="F21" s="308">
        <v>206881.03037600001</v>
      </c>
      <c r="G21" s="309">
        <f>E21/$E$27</f>
        <v>0.9690968933966867</v>
      </c>
      <c r="H21" s="309">
        <f>(E21-I21)/I21</f>
        <v>-0.39415749307720738</v>
      </c>
      <c r="I21" s="312">
        <v>31073.442000000003</v>
      </c>
      <c r="J21" s="308">
        <v>338995.23980100005</v>
      </c>
      <c r="K21" s="309">
        <f>I21/$I$27</f>
        <v>0.98105092473909328</v>
      </c>
      <c r="L21" s="88"/>
      <c r="M21" s="89"/>
      <c r="N21" s="89"/>
      <c r="O21" s="89"/>
      <c r="P21" s="89"/>
      <c r="Q21" s="89"/>
      <c r="R21" s="89"/>
      <c r="S21" s="89"/>
      <c r="T21" s="88"/>
    </row>
    <row r="22" spans="1:20" ht="13" customHeight="1">
      <c r="A22" s="443"/>
      <c r="B22" s="443"/>
      <c r="C22" s="154" t="s">
        <v>5</v>
      </c>
      <c r="D22" s="313">
        <v>126</v>
      </c>
      <c r="E22" s="129">
        <v>52.911999999999999</v>
      </c>
      <c r="F22" s="129">
        <v>557.87199999999996</v>
      </c>
      <c r="G22" s="307">
        <f t="shared" ref="G22:G26" si="7">E22/$E$27</f>
        <v>2.7237815601110597E-3</v>
      </c>
      <c r="H22" s="307">
        <f t="shared" ref="H22:H26" si="8">(E22-I22)/I22</f>
        <v>-0.20579979886825878</v>
      </c>
      <c r="I22" s="313">
        <v>66.623000000000005</v>
      </c>
      <c r="J22" s="129">
        <v>702.19600000000003</v>
      </c>
      <c r="K22" s="307">
        <f t="shared" ref="K22:K26" si="9">I22/$I$27</f>
        <v>2.1034218146445639E-3</v>
      </c>
      <c r="L22" s="88"/>
      <c r="M22" s="89"/>
      <c r="N22" s="89"/>
      <c r="O22" s="89"/>
      <c r="P22" s="89"/>
      <c r="Q22" s="89"/>
      <c r="R22" s="89"/>
      <c r="S22" s="89"/>
      <c r="T22" s="88"/>
    </row>
    <row r="23" spans="1:20" ht="13" customHeight="1">
      <c r="A23" s="443"/>
      <c r="B23" s="443"/>
      <c r="C23" s="154" t="s">
        <v>6</v>
      </c>
      <c r="D23" s="313">
        <v>1179</v>
      </c>
      <c r="E23" s="129">
        <v>263.04699999999997</v>
      </c>
      <c r="F23" s="129">
        <v>2762.7570000000001</v>
      </c>
      <c r="G23" s="307">
        <f t="shared" si="7"/>
        <v>1.354102222638596E-2</v>
      </c>
      <c r="H23" s="307">
        <f t="shared" si="8"/>
        <v>0.35096116809014383</v>
      </c>
      <c r="I23" s="313">
        <v>194.71099999999998</v>
      </c>
      <c r="J23" s="129">
        <v>2045.605</v>
      </c>
      <c r="K23" s="307">
        <f t="shared" si="9"/>
        <v>6.147417032425103E-3</v>
      </c>
      <c r="L23" s="88"/>
      <c r="M23" s="89"/>
      <c r="N23" s="89"/>
      <c r="O23" s="89"/>
      <c r="P23" s="89"/>
      <c r="Q23" s="89"/>
      <c r="R23" s="89"/>
      <c r="S23" s="89"/>
      <c r="T23" s="88"/>
    </row>
    <row r="24" spans="1:20" ht="13" customHeight="1">
      <c r="A24" s="443"/>
      <c r="B24" s="443"/>
      <c r="C24" s="154" t="s">
        <v>7</v>
      </c>
      <c r="D24" s="313">
        <v>8062</v>
      </c>
      <c r="E24" s="129">
        <v>0</v>
      </c>
      <c r="F24" s="129">
        <v>0</v>
      </c>
      <c r="G24" s="307">
        <f t="shared" si="7"/>
        <v>0</v>
      </c>
      <c r="H24" s="344" t="e">
        <f t="shared" si="8"/>
        <v>#DIV/0!</v>
      </c>
      <c r="I24" s="313">
        <v>0</v>
      </c>
      <c r="J24" s="129">
        <v>0</v>
      </c>
      <c r="K24" s="307">
        <f t="shared" si="9"/>
        <v>0</v>
      </c>
      <c r="L24" s="88"/>
      <c r="M24" s="89"/>
      <c r="N24" s="89"/>
      <c r="O24" s="89"/>
      <c r="P24" s="89"/>
      <c r="Q24" s="89"/>
      <c r="R24" s="89"/>
      <c r="S24" s="89"/>
      <c r="T24" s="88"/>
    </row>
    <row r="25" spans="1:20" ht="13" customHeight="1">
      <c r="A25" s="443"/>
      <c r="B25" s="443"/>
      <c r="C25" s="154" t="s">
        <v>93</v>
      </c>
      <c r="D25" s="313">
        <v>5</v>
      </c>
      <c r="E25" s="129">
        <v>53.295999999999999</v>
      </c>
      <c r="F25" s="129">
        <v>559.60799999999995</v>
      </c>
      <c r="G25" s="307">
        <f t="shared" si="7"/>
        <v>2.7435489497217845E-3</v>
      </c>
      <c r="H25" s="307">
        <f t="shared" si="8"/>
        <v>6.2938278363213351</v>
      </c>
      <c r="I25" s="313">
        <v>7.3070000000000004</v>
      </c>
      <c r="J25" s="129">
        <v>75.751999999999995</v>
      </c>
      <c r="K25" s="307">
        <f t="shared" si="9"/>
        <v>2.306966543026857E-4</v>
      </c>
      <c r="L25" s="88"/>
      <c r="M25" s="89"/>
      <c r="N25" s="89"/>
      <c r="O25" s="89"/>
      <c r="P25" s="89"/>
      <c r="Q25" s="89"/>
      <c r="R25" s="89"/>
      <c r="S25" s="89"/>
      <c r="T25" s="88"/>
    </row>
    <row r="26" spans="1:20" ht="13" customHeight="1">
      <c r="A26" s="443"/>
      <c r="B26" s="443"/>
      <c r="C26" s="154" t="s">
        <v>96</v>
      </c>
      <c r="D26" s="313">
        <v>0</v>
      </c>
      <c r="E26" s="129">
        <v>231.06669999999912</v>
      </c>
      <c r="F26" s="129">
        <v>2735.4936460000054</v>
      </c>
      <c r="G26" s="307">
        <f t="shared" si="7"/>
        <v>1.1894753867094645E-2</v>
      </c>
      <c r="H26" s="307">
        <f t="shared" si="8"/>
        <v>-0.30306073722248844</v>
      </c>
      <c r="I26" s="313">
        <v>331.54495999999938</v>
      </c>
      <c r="J26" s="129">
        <v>3667.9017120000181</v>
      </c>
      <c r="K26" s="307">
        <f t="shared" si="9"/>
        <v>1.0467539759534366E-2</v>
      </c>
      <c r="L26" s="88"/>
      <c r="M26" s="89"/>
      <c r="N26" s="89"/>
      <c r="O26" s="89"/>
      <c r="P26" s="89"/>
      <c r="Q26" s="89"/>
      <c r="R26" s="89"/>
      <c r="S26" s="89"/>
      <c r="T26" s="88"/>
    </row>
    <row r="27" spans="1:20" ht="13" customHeight="1">
      <c r="A27" s="444"/>
      <c r="B27" s="444"/>
      <c r="C27" s="318" t="s">
        <v>0</v>
      </c>
      <c r="D27" s="321">
        <v>9467</v>
      </c>
      <c r="E27" s="319">
        <v>19425.933699999994</v>
      </c>
      <c r="F27" s="319">
        <v>213496.76102200005</v>
      </c>
      <c r="G27" s="320">
        <f>SUM(G21:G26)</f>
        <v>1.0000000000000002</v>
      </c>
      <c r="H27" s="320">
        <f>(E27-I27)/I27</f>
        <v>-0.38668428749202266</v>
      </c>
      <c r="I27" s="321">
        <v>31673.627960000002</v>
      </c>
      <c r="J27" s="319">
        <v>345486.69451300002</v>
      </c>
      <c r="K27" s="320">
        <f>SUM(K21:K26)</f>
        <v>0.99999999999999989</v>
      </c>
      <c r="M27" s="89"/>
      <c r="N27" s="89"/>
      <c r="O27" s="89"/>
      <c r="P27" s="89"/>
      <c r="Q27" s="89"/>
      <c r="R27" s="89"/>
      <c r="S27" s="89"/>
    </row>
    <row r="28" spans="1:20" ht="13" customHeight="1">
      <c r="A28" s="511" t="str">
        <f>'3.1'!G5</f>
        <v>I. čtvrtletí</v>
      </c>
      <c r="B28" s="442"/>
      <c r="C28" s="164" t="s">
        <v>4</v>
      </c>
      <c r="D28" s="312">
        <f>D21</f>
        <v>95</v>
      </c>
      <c r="E28" s="308">
        <f>E7+E14+E21</f>
        <v>69750.341</v>
      </c>
      <c r="F28" s="308">
        <f>F7+F14+F21</f>
        <v>762579.81500199996</v>
      </c>
      <c r="G28" s="309">
        <f>E28/$E$34</f>
        <v>0.97238327654891143</v>
      </c>
      <c r="H28" s="309">
        <f>(E28-I28)/I28</f>
        <v>-0.24322568510932038</v>
      </c>
      <c r="I28" s="312">
        <f>I7+I14+I21</f>
        <v>92167.955000000016</v>
      </c>
      <c r="J28" s="308">
        <f>J7+J14+J21</f>
        <v>1008310.4902680002</v>
      </c>
      <c r="K28" s="309">
        <f>I28/$I$34</f>
        <v>0.98140631341834805</v>
      </c>
      <c r="M28" s="89"/>
      <c r="N28" s="89"/>
      <c r="O28" s="89"/>
      <c r="P28" s="89"/>
      <c r="Q28" s="89"/>
      <c r="R28" s="89"/>
      <c r="S28" s="89"/>
    </row>
    <row r="29" spans="1:20" ht="13" customHeight="1">
      <c r="A29" s="443"/>
      <c r="B29" s="443"/>
      <c r="C29" s="154" t="s">
        <v>5</v>
      </c>
      <c r="D29" s="313">
        <f t="shared" ref="D29:D32" si="10">D22</f>
        <v>126</v>
      </c>
      <c r="E29" s="129">
        <f>E8+E15+E22</f>
        <v>227.334</v>
      </c>
      <c r="F29" s="129">
        <f t="shared" ref="F29" si="11">F8+F15+F22</f>
        <v>2401.4809999999998</v>
      </c>
      <c r="G29" s="307">
        <f t="shared" ref="G29:G33" si="12">E29/$E$34</f>
        <v>3.1692429975499364E-3</v>
      </c>
      <c r="H29" s="307">
        <f t="shared" ref="H29:H31" si="13">(E29-I29)/I29</f>
        <v>-8.0721079192546535E-2</v>
      </c>
      <c r="I29" s="313">
        <f>I8+I15+I22</f>
        <v>247.29599999999999</v>
      </c>
      <c r="J29" s="129">
        <f t="shared" ref="J29" si="14">J8+J15+J22</f>
        <v>2611.6729999999998</v>
      </c>
      <c r="K29" s="307">
        <f t="shared" ref="K29:K33" si="15">I29/$I$34</f>
        <v>2.6332129825719121E-3</v>
      </c>
      <c r="M29" s="89"/>
      <c r="N29" s="89"/>
      <c r="O29" s="89"/>
      <c r="P29" s="89"/>
      <c r="Q29" s="89"/>
      <c r="R29" s="89"/>
      <c r="S29" s="89"/>
    </row>
    <row r="30" spans="1:20" ht="13" customHeight="1">
      <c r="A30" s="443"/>
      <c r="B30" s="443"/>
      <c r="C30" s="154" t="s">
        <v>6</v>
      </c>
      <c r="D30" s="313">
        <f t="shared" si="10"/>
        <v>1179</v>
      </c>
      <c r="E30" s="129">
        <f t="shared" ref="E30:F33" si="16">E9+E16+E23</f>
        <v>658.89300000000003</v>
      </c>
      <c r="F30" s="129">
        <f t="shared" si="16"/>
        <v>6922.9480000000003</v>
      </c>
      <c r="G30" s="307">
        <f t="shared" si="12"/>
        <v>9.185568486828501E-3</v>
      </c>
      <c r="H30" s="307">
        <f t="shared" si="13"/>
        <v>0.13550947675360456</v>
      </c>
      <c r="I30" s="313">
        <f t="shared" ref="I30:J32" si="17">I9+I16+I23</f>
        <v>580.26199999999994</v>
      </c>
      <c r="J30" s="129">
        <f t="shared" si="17"/>
        <v>6097.7829999999994</v>
      </c>
      <c r="K30" s="307">
        <f t="shared" si="15"/>
        <v>6.1786419177550086E-3</v>
      </c>
      <c r="M30" s="89"/>
      <c r="N30" s="89"/>
      <c r="O30" s="89"/>
      <c r="P30" s="89"/>
      <c r="Q30" s="89"/>
      <c r="R30" s="89"/>
      <c r="S30" s="89"/>
    </row>
    <row r="31" spans="1:20" ht="13" customHeight="1">
      <c r="A31" s="443"/>
      <c r="B31" s="443"/>
      <c r="C31" s="154" t="s">
        <v>7</v>
      </c>
      <c r="D31" s="313">
        <f t="shared" si="10"/>
        <v>8062</v>
      </c>
      <c r="E31" s="129">
        <f>E10+E17+E24</f>
        <v>0</v>
      </c>
      <c r="F31" s="129">
        <f t="shared" si="16"/>
        <v>0</v>
      </c>
      <c r="G31" s="307">
        <f t="shared" si="12"/>
        <v>0</v>
      </c>
      <c r="H31" s="344" t="e">
        <f t="shared" si="13"/>
        <v>#DIV/0!</v>
      </c>
      <c r="I31" s="313">
        <f>I10+I17+I24</f>
        <v>0</v>
      </c>
      <c r="J31" s="129">
        <f t="shared" si="17"/>
        <v>0</v>
      </c>
      <c r="K31" s="307">
        <f t="shared" si="15"/>
        <v>0</v>
      </c>
      <c r="M31" s="89"/>
      <c r="N31" s="89"/>
      <c r="O31" s="89"/>
      <c r="P31" s="89"/>
      <c r="Q31" s="89"/>
      <c r="R31" s="89"/>
      <c r="S31" s="89"/>
    </row>
    <row r="32" spans="1:20" ht="13" customHeight="1">
      <c r="A32" s="443"/>
      <c r="B32" s="443"/>
      <c r="C32" s="154" t="s">
        <v>93</v>
      </c>
      <c r="D32" s="313">
        <f t="shared" si="10"/>
        <v>5</v>
      </c>
      <c r="E32" s="129">
        <f>E11+E18+E25</f>
        <v>163.072</v>
      </c>
      <c r="F32" s="129">
        <f t="shared" si="16"/>
        <v>1712.2560000000001</v>
      </c>
      <c r="G32" s="307">
        <f t="shared" si="12"/>
        <v>2.2733721928812375E-3</v>
      </c>
      <c r="H32" s="307">
        <f>(E32-I32)/I32</f>
        <v>4.0427360999443378</v>
      </c>
      <c r="I32" s="313">
        <f>I11+I18+I25</f>
        <v>32.338000000000001</v>
      </c>
      <c r="J32" s="129">
        <f t="shared" si="17"/>
        <v>335.18400000000003</v>
      </c>
      <c r="K32" s="307">
        <f t="shared" si="15"/>
        <v>3.4433570065998031E-4</v>
      </c>
      <c r="M32" s="89"/>
      <c r="N32" s="89"/>
      <c r="O32" s="89"/>
      <c r="P32" s="89"/>
      <c r="Q32" s="89"/>
      <c r="R32" s="89"/>
      <c r="S32" s="89"/>
    </row>
    <row r="33" spans="1:20" ht="13" customHeight="1">
      <c r="A33" s="443"/>
      <c r="B33" s="443"/>
      <c r="C33" s="154" t="s">
        <v>96</v>
      </c>
      <c r="D33" s="313"/>
      <c r="E33" s="129">
        <f t="shared" si="16"/>
        <v>931.68516999999815</v>
      </c>
      <c r="F33" s="129">
        <f t="shared" si="16"/>
        <v>11080.795177000011</v>
      </c>
      <c r="G33" s="307">
        <f t="shared" si="12"/>
        <v>1.2988539773828888E-2</v>
      </c>
      <c r="H33" s="307">
        <f t="shared" ref="H33" si="18">(E33-I33)/I33</f>
        <v>5.1190189180689481E-2</v>
      </c>
      <c r="I33" s="313">
        <f t="shared" ref="I33:J33" si="19">I12+I19+I26</f>
        <v>886.31455999999866</v>
      </c>
      <c r="J33" s="129">
        <f t="shared" si="19"/>
        <v>9918.5499210000162</v>
      </c>
      <c r="K33" s="307">
        <f t="shared" si="15"/>
        <v>9.4374959806649058E-3</v>
      </c>
      <c r="M33" s="89"/>
      <c r="N33" s="89"/>
      <c r="O33" s="89"/>
      <c r="P33" s="89"/>
      <c r="Q33" s="89"/>
      <c r="R33" s="89"/>
      <c r="S33" s="89"/>
    </row>
    <row r="34" spans="1:20" ht="13" customHeight="1">
      <c r="A34" s="444"/>
      <c r="B34" s="444"/>
      <c r="C34" s="318" t="s">
        <v>0</v>
      </c>
      <c r="D34" s="321">
        <f>SUM(D28:D33)</f>
        <v>9467</v>
      </c>
      <c r="E34" s="319">
        <f>SUM(E28:E33)</f>
        <v>71731.325169999996</v>
      </c>
      <c r="F34" s="319">
        <f>SUM(F28:F33)</f>
        <v>784697.29517900001</v>
      </c>
      <c r="G34" s="320">
        <f>SUM(G28:G33)</f>
        <v>1</v>
      </c>
      <c r="H34" s="320">
        <f>(E34-I34)/I34</f>
        <v>-0.23620334863996445</v>
      </c>
      <c r="I34" s="321">
        <f>SUM(I28:I33)</f>
        <v>93914.165560000023</v>
      </c>
      <c r="J34" s="319">
        <f>SUM(J28:J33)</f>
        <v>1027273.6801890002</v>
      </c>
      <c r="K34" s="320">
        <f>SUM(K28:K33)</f>
        <v>0.99999999999999978</v>
      </c>
      <c r="M34" s="89"/>
      <c r="N34" s="89"/>
      <c r="O34" s="89"/>
      <c r="P34" s="89"/>
      <c r="Q34" s="89"/>
      <c r="R34" s="89"/>
      <c r="S34" s="89"/>
    </row>
    <row r="35" spans="1:20" ht="13" customHeight="1">
      <c r="A35" s="126"/>
      <c r="B35" s="303"/>
      <c r="C35" s="101"/>
      <c r="D35" s="88"/>
      <c r="E35" s="88"/>
      <c r="F35" s="88"/>
      <c r="G35" s="496" t="s">
        <v>270</v>
      </c>
      <c r="H35" s="496"/>
      <c r="I35" s="496"/>
      <c r="J35" s="496"/>
      <c r="K35" s="496"/>
    </row>
    <row r="36" spans="1:20" ht="15" customHeight="1">
      <c r="A36" s="488" t="s">
        <v>269</v>
      </c>
      <c r="B36" s="488"/>
      <c r="C36" s="488"/>
      <c r="D36" s="488"/>
      <c r="E36" s="488"/>
      <c r="F36" s="119"/>
      <c r="G36" s="496"/>
      <c r="H36" s="496"/>
      <c r="I36" s="496"/>
      <c r="J36" s="496"/>
      <c r="K36" s="496"/>
      <c r="M36" s="93"/>
      <c r="N36" s="93"/>
      <c r="O36" s="93"/>
      <c r="P36" s="93"/>
      <c r="Q36" s="93"/>
      <c r="R36" s="93"/>
      <c r="S36" s="93"/>
    </row>
    <row r="37" spans="1:20" ht="15" customHeight="1">
      <c r="A37" s="489" t="str">
        <f>A28</f>
        <v>I. čtvrtletí</v>
      </c>
      <c r="B37" s="489"/>
      <c r="C37" s="489"/>
      <c r="D37" s="489"/>
      <c r="E37" s="489"/>
      <c r="F37" s="125"/>
      <c r="G37" s="491" t="str">
        <f>A28</f>
        <v>I. čtvrtletí</v>
      </c>
      <c r="H37" s="491"/>
      <c r="I37" s="491"/>
      <c r="J37" s="491"/>
      <c r="K37" s="491"/>
      <c r="M37" s="93"/>
      <c r="N37" s="93"/>
      <c r="O37" s="93"/>
      <c r="P37" s="93"/>
      <c r="Q37" s="93"/>
      <c r="R37" s="93"/>
      <c r="S37" s="93"/>
    </row>
    <row r="38" spans="1:20" ht="15" customHeight="1">
      <c r="A38" s="94"/>
      <c r="B38" s="94"/>
      <c r="C38" s="94"/>
      <c r="D38" s="76"/>
      <c r="E38" s="76"/>
      <c r="F38" s="76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  <c r="S38" s="93"/>
      <c r="T38" s="93"/>
    </row>
    <row r="39" spans="1:20" ht="15" customHeight="1">
      <c r="A39" s="94"/>
      <c r="B39" s="94"/>
      <c r="C39" s="94"/>
      <c r="D39" s="76"/>
      <c r="E39" s="76"/>
      <c r="F39" s="76"/>
      <c r="G39" s="94"/>
      <c r="H39" s="94"/>
      <c r="I39" s="94"/>
      <c r="J39" s="94"/>
      <c r="K39" s="94"/>
    </row>
    <row r="40" spans="1:20" ht="15" customHeight="1">
      <c r="A40" s="94"/>
      <c r="B40" s="94"/>
      <c r="C40" s="94"/>
      <c r="D40" s="76"/>
      <c r="E40" s="76"/>
      <c r="F40" s="76"/>
      <c r="G40" s="94"/>
      <c r="H40" s="94"/>
      <c r="I40" s="94"/>
      <c r="J40" s="94"/>
      <c r="K40" s="94"/>
    </row>
    <row r="41" spans="1:20" ht="15" customHeight="1">
      <c r="A41" s="94"/>
      <c r="B41" s="94"/>
      <c r="C41" s="94">
        <f>D3</f>
        <v>2024</v>
      </c>
      <c r="D41" s="94">
        <f>I3</f>
        <v>2023</v>
      </c>
      <c r="E41" s="76"/>
      <c r="F41" s="76"/>
      <c r="G41" s="76"/>
      <c r="H41" s="94"/>
      <c r="I41" s="94">
        <f>D3</f>
        <v>2024</v>
      </c>
      <c r="J41" s="94">
        <f>I3</f>
        <v>2023</v>
      </c>
      <c r="K41" s="94"/>
    </row>
    <row r="42" spans="1:20" ht="15" customHeight="1">
      <c r="A42" s="94"/>
      <c r="B42" s="94" t="str">
        <f>A7</f>
        <v>Leden</v>
      </c>
      <c r="C42" s="78">
        <f>E13</f>
        <v>40367.884760000008</v>
      </c>
      <c r="D42" s="78">
        <f>I13</f>
        <v>25573.495890000006</v>
      </c>
      <c r="E42" s="76"/>
      <c r="F42" s="76"/>
      <c r="G42" s="76"/>
      <c r="H42" s="94" t="str">
        <f>A7</f>
        <v>Leden</v>
      </c>
      <c r="I42" s="95">
        <f>E13/E34</f>
        <v>0.56276507738188231</v>
      </c>
      <c r="J42" s="95">
        <f>I13/I34</f>
        <v>0.27230711935210211</v>
      </c>
      <c r="K42" s="94"/>
    </row>
    <row r="43" spans="1:20" ht="15" customHeight="1">
      <c r="A43" s="94"/>
      <c r="B43" s="94" t="str">
        <f>A14</f>
        <v>Únor</v>
      </c>
      <c r="C43" s="78">
        <f>E20</f>
        <v>11937.50671</v>
      </c>
      <c r="D43" s="78">
        <f>I20</f>
        <v>36667.041710000005</v>
      </c>
      <c r="E43" s="76"/>
      <c r="F43" s="76"/>
      <c r="G43" s="76"/>
      <c r="H43" s="94" t="str">
        <f>A14</f>
        <v>Únor</v>
      </c>
      <c r="I43" s="95">
        <f>E20/E34</f>
        <v>0.16641971525980662</v>
      </c>
      <c r="J43" s="95">
        <f>I20/I34</f>
        <v>0.39043142737156206</v>
      </c>
      <c r="K43" s="94"/>
    </row>
    <row r="44" spans="1:20" ht="15" customHeight="1">
      <c r="A44" s="94"/>
      <c r="B44" s="94" t="str">
        <f>A21</f>
        <v>Březen</v>
      </c>
      <c r="C44" s="78">
        <f>E27</f>
        <v>19425.933699999994</v>
      </c>
      <c r="D44" s="78">
        <f>I27</f>
        <v>31673.627960000002</v>
      </c>
      <c r="E44" s="76"/>
      <c r="F44" s="76"/>
      <c r="G44" s="76"/>
      <c r="H44" s="94" t="str">
        <f>A21</f>
        <v>Březen</v>
      </c>
      <c r="I44" s="95">
        <f>E27/E34</f>
        <v>0.27081520735831116</v>
      </c>
      <c r="J44" s="95">
        <f>I27/I34</f>
        <v>0.33726145327633567</v>
      </c>
      <c r="K44" s="94"/>
    </row>
    <row r="45" spans="1:20" ht="15" customHeight="1">
      <c r="A45" s="94"/>
      <c r="B45" s="94"/>
      <c r="C45" s="78">
        <f>SUM(C42:C44)</f>
        <v>71731.325169999996</v>
      </c>
      <c r="D45" s="78">
        <f>SUM(D42:D44)</f>
        <v>93914.165560000009</v>
      </c>
      <c r="E45" s="94"/>
      <c r="F45" s="94"/>
      <c r="G45" s="94"/>
      <c r="H45" s="94"/>
      <c r="I45" s="96">
        <f>SUM(I42:I44)</f>
        <v>1</v>
      </c>
      <c r="J45" s="96">
        <f>SUM(J42:J44)</f>
        <v>0.99999999999999978</v>
      </c>
      <c r="K45" s="94"/>
    </row>
    <row r="46" spans="1:20" ht="15" customHeight="1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20" ht="15" customHeight="1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</row>
    <row r="48" spans="1:20" ht="15" customHeight="1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</row>
    <row r="49" spans="1:11" ht="15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</row>
    <row r="50" spans="1:11" ht="15" customHeight="1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</row>
    <row r="51" spans="1:11" ht="1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5" customHeight="1">
      <c r="A52" s="514" t="s">
        <v>201</v>
      </c>
      <c r="B52" s="514"/>
      <c r="C52" s="514"/>
      <c r="D52" s="514"/>
      <c r="E52" s="514"/>
      <c r="F52" s="514"/>
      <c r="G52" s="514"/>
      <c r="H52" s="514"/>
      <c r="I52" s="514"/>
      <c r="J52" s="514"/>
      <c r="K52" s="514"/>
    </row>
    <row r="53" spans="1:11" ht="15" customHeight="1">
      <c r="A53" s="514"/>
      <c r="B53" s="514"/>
      <c r="C53" s="514"/>
      <c r="D53" s="514"/>
      <c r="E53" s="514"/>
      <c r="F53" s="514"/>
      <c r="G53" s="514"/>
      <c r="H53" s="514"/>
      <c r="I53" s="514"/>
      <c r="J53" s="514"/>
      <c r="K53" s="514"/>
    </row>
    <row r="54" spans="1:11" ht="15" customHeight="1">
      <c r="A54" s="514"/>
      <c r="B54" s="514"/>
      <c r="C54" s="514"/>
      <c r="D54" s="514"/>
      <c r="E54" s="514"/>
      <c r="F54" s="514"/>
      <c r="G54" s="514"/>
      <c r="H54" s="514"/>
      <c r="I54" s="514"/>
      <c r="J54" s="514"/>
      <c r="K54" s="514"/>
    </row>
    <row r="55" spans="1:11" ht="15" customHeight="1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ht="15" customHeight="1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" customHeight="1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</row>
    <row r="58" spans="1:11" ht="15" customHeight="1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1" ht="15" customHeight="1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ht="1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  <row r="61" spans="1:11" ht="15" customHeight="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</row>
    <row r="62" spans="1:11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  <mergeCell ref="A52:K54"/>
    <mergeCell ref="A7:B13"/>
    <mergeCell ref="A14:B20"/>
    <mergeCell ref="A21:B27"/>
    <mergeCell ref="A28:B34"/>
    <mergeCell ref="A36:E36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20.7265625" style="84" customWidth="1"/>
    <col min="2" max="3" width="8.7265625" style="84" customWidth="1"/>
    <col min="4" max="4" width="9.7265625" style="84" customWidth="1"/>
    <col min="5" max="9" width="6.7265625" style="84" customWidth="1"/>
    <col min="10" max="10" width="7.7265625" style="84" customWidth="1"/>
    <col min="11" max="11" width="8.7265625" style="84" customWidth="1"/>
    <col min="12" max="13" width="9.1796875" style="84"/>
    <col min="14" max="14" width="11.1796875" style="84" customWidth="1"/>
    <col min="15" max="16384" width="9.1796875" style="84"/>
  </cols>
  <sheetData>
    <row r="1" spans="1:11" ht="18">
      <c r="A1" s="515" t="str">
        <f>"5.6 Spotřeba zemního plynu a teplota ovzduší: "&amp;LOWER(A3)</f>
        <v>5.6 Spotřeba zemního plynu a teplota ovzduší: leden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2" t="str">
        <f>'3.1'!D5</f>
        <v>Leden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4" spans="1:11" ht="25" customHeight="1">
      <c r="A4" s="128"/>
      <c r="B4" s="252">
        <f>'3.1'!A4</f>
        <v>2024</v>
      </c>
      <c r="C4" s="516" t="s">
        <v>60</v>
      </c>
      <c r="D4" s="517"/>
      <c r="E4" s="517"/>
      <c r="F4" s="518"/>
      <c r="G4" s="516" t="s">
        <v>186</v>
      </c>
      <c r="H4" s="517"/>
      <c r="I4" s="517"/>
      <c r="J4" s="517"/>
      <c r="K4" s="517"/>
    </row>
    <row r="5" spans="1:11">
      <c r="A5" s="272"/>
      <c r="B5" s="500" t="s">
        <v>185</v>
      </c>
      <c r="C5" s="345"/>
      <c r="D5" s="346"/>
      <c r="E5" s="500" t="s">
        <v>277</v>
      </c>
      <c r="F5" s="520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5" customHeight="1">
      <c r="A6" s="349" t="s">
        <v>281</v>
      </c>
      <c r="B6" s="487"/>
      <c r="C6" s="221" t="s">
        <v>259</v>
      </c>
      <c r="D6" s="219" t="s">
        <v>260</v>
      </c>
      <c r="E6" s="487"/>
      <c r="F6" s="52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6" customHeight="1">
      <c r="A7" s="154" t="s">
        <v>20</v>
      </c>
      <c r="B7" s="129">
        <f>'5.2'!D13</f>
        <v>401880</v>
      </c>
      <c r="C7" s="313">
        <f>'5.2'!E13</f>
        <v>127107.811328485</v>
      </c>
      <c r="D7" s="129">
        <f>'5.2'!F13</f>
        <v>1386119.134508945</v>
      </c>
      <c r="E7" s="307">
        <f>C7/$C$11</f>
        <v>0.12084843655216918</v>
      </c>
      <c r="F7" s="332">
        <f>'5.2'!H13</f>
        <v>0.21193858566357576</v>
      </c>
      <c r="G7" s="330">
        <v>0.90322580645161288</v>
      </c>
      <c r="H7" s="324">
        <v>9.5</v>
      </c>
      <c r="I7" s="324">
        <v>-8.1</v>
      </c>
      <c r="J7" s="324">
        <v>-0.60000000000000009</v>
      </c>
      <c r="K7" s="324">
        <v>1.5032258064516131</v>
      </c>
    </row>
    <row r="8" spans="1:11" ht="16" customHeight="1">
      <c r="A8" s="154" t="s">
        <v>87</v>
      </c>
      <c r="B8" s="129">
        <f>'5.3'!D13</f>
        <v>2227110</v>
      </c>
      <c r="C8" s="313">
        <f>'5.3'!E13</f>
        <v>843340.56519851869</v>
      </c>
      <c r="D8" s="129">
        <f>'5.3'!F13</f>
        <v>9189040.019890001</v>
      </c>
      <c r="E8" s="307">
        <f t="shared" ref="E8:E10" si="0">C8/$C$11</f>
        <v>0.80181058677724326</v>
      </c>
      <c r="F8" s="332">
        <f>'5.3'!H13</f>
        <v>0.16329928625191206</v>
      </c>
      <c r="G8" s="330">
        <v>-0.34569892473118291</v>
      </c>
      <c r="H8" s="325">
        <v>7.666666666666667</v>
      </c>
      <c r="I8" s="325">
        <v>-9.5166666666666657</v>
      </c>
      <c r="J8" s="325">
        <v>-1.6333333333333331</v>
      </c>
      <c r="K8" s="324">
        <v>1.2876344086021501</v>
      </c>
    </row>
    <row r="9" spans="1:11" ht="16" customHeight="1">
      <c r="A9" s="154" t="s">
        <v>209</v>
      </c>
      <c r="B9" s="129">
        <f>'5.4'!D13</f>
        <v>111793</v>
      </c>
      <c r="C9" s="313">
        <f>'5.4'!E13</f>
        <v>40978.987000000001</v>
      </c>
      <c r="D9" s="129">
        <f>'5.4'!F13</f>
        <v>446491.16034999996</v>
      </c>
      <c r="E9" s="307">
        <f t="shared" si="0"/>
        <v>3.8960992709122844E-2</v>
      </c>
      <c r="F9" s="332">
        <f>'5.4'!H13</f>
        <v>0.12670718397974901</v>
      </c>
      <c r="G9" s="330">
        <v>-0.51290322580645176</v>
      </c>
      <c r="H9" s="325">
        <v>8.1999999999999993</v>
      </c>
      <c r="I9" s="325">
        <v>-10.4</v>
      </c>
      <c r="J9" s="325">
        <v>-2.1000000000000005</v>
      </c>
      <c r="K9" s="324">
        <v>1.5870967741935487</v>
      </c>
    </row>
    <row r="10" spans="1:11" ht="16" customHeight="1">
      <c r="A10" s="154" t="s">
        <v>32</v>
      </c>
      <c r="B10" s="129">
        <f>'5.5'!D13</f>
        <v>9451</v>
      </c>
      <c r="C10" s="313">
        <f>'5.5'!E13</f>
        <v>40367.884760000008</v>
      </c>
      <c r="D10" s="129">
        <f>'5.5'!F13</f>
        <v>440505.94417399995</v>
      </c>
      <c r="E10" s="307">
        <f t="shared" si="0"/>
        <v>3.837998396146472E-2</v>
      </c>
      <c r="F10" s="332">
        <f>'5.5'!H13</f>
        <v>0.57850475092007447</v>
      </c>
      <c r="G10" s="330">
        <v>-0.33870967741935487</v>
      </c>
      <c r="H10" s="325">
        <v>7.8</v>
      </c>
      <c r="I10" s="325">
        <v>-9.6</v>
      </c>
      <c r="J10" s="325">
        <v>-1.2258064516129035</v>
      </c>
      <c r="K10" s="324">
        <v>0.8870967741935486</v>
      </c>
    </row>
    <row r="11" spans="1:11" ht="16" customHeight="1">
      <c r="A11" s="159" t="s">
        <v>3</v>
      </c>
      <c r="B11" s="310">
        <f>SUM(B7:B10)</f>
        <v>2750234</v>
      </c>
      <c r="C11" s="314">
        <f>SUM(C7:C10)</f>
        <v>1051795.2482870037</v>
      </c>
      <c r="D11" s="310">
        <f t="shared" ref="D11:E11" si="1">SUM(D7:D10)</f>
        <v>11462156.258922946</v>
      </c>
      <c r="E11" s="311">
        <f t="shared" si="1"/>
        <v>1</v>
      </c>
      <c r="F11" s="333">
        <f>'5.1'!H14</f>
        <v>0.17943405384902478</v>
      </c>
      <c r="G11" s="331">
        <v>-0.33870967741935487</v>
      </c>
      <c r="H11" s="329">
        <v>7.8</v>
      </c>
      <c r="I11" s="329">
        <v>-9.6</v>
      </c>
      <c r="J11" s="329">
        <v>-1.2258064516129035</v>
      </c>
      <c r="K11" s="328">
        <v>0.8870967741935486</v>
      </c>
    </row>
    <row r="12" spans="1:11" ht="15" customHeight="1">
      <c r="A12" s="101"/>
      <c r="B12" s="94"/>
      <c r="C12" s="523" t="s">
        <v>239</v>
      </c>
      <c r="D12" s="523"/>
      <c r="E12" s="523"/>
      <c r="F12" s="523"/>
      <c r="G12" s="526" t="s">
        <v>240</v>
      </c>
      <c r="H12" s="526"/>
      <c r="I12" s="526"/>
      <c r="J12" s="526"/>
      <c r="K12" s="526"/>
    </row>
    <row r="13" spans="1:11" ht="15" customHeight="1">
      <c r="A13" s="94"/>
      <c r="B13" s="94"/>
      <c r="C13" s="523"/>
      <c r="D13" s="523"/>
      <c r="E13" s="523"/>
      <c r="F13" s="523"/>
      <c r="G13" s="526" t="s">
        <v>241</v>
      </c>
      <c r="H13" s="526"/>
      <c r="I13" s="526"/>
      <c r="J13" s="526"/>
      <c r="K13" s="52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7" t="s">
        <v>271</v>
      </c>
      <c r="B16" s="527"/>
      <c r="C16" s="527"/>
      <c r="D16" s="527"/>
      <c r="E16" s="527"/>
      <c r="F16" s="527" t="s">
        <v>272</v>
      </c>
      <c r="G16" s="527"/>
      <c r="H16" s="527"/>
      <c r="I16" s="527"/>
      <c r="J16" s="527"/>
      <c r="K16" s="527"/>
    </row>
    <row r="17" spans="1:11" ht="15" customHeight="1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1" ht="15" customHeight="1">
      <c r="A18" s="124"/>
      <c r="B18" s="524"/>
      <c r="C18" s="524"/>
      <c r="D18" s="124"/>
      <c r="E18" s="124"/>
      <c r="F18" s="124"/>
      <c r="G18" s="124"/>
      <c r="H18" s="524"/>
      <c r="I18" s="524"/>
      <c r="J18" s="124"/>
      <c r="K18" s="124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7" t="s">
        <v>273</v>
      </c>
      <c r="B33" s="490"/>
      <c r="C33" s="490"/>
      <c r="D33" s="490"/>
      <c r="E33" s="490"/>
      <c r="F33" s="527" t="s">
        <v>66</v>
      </c>
      <c r="G33" s="527"/>
      <c r="H33" s="527"/>
      <c r="I33" s="527"/>
      <c r="J33" s="527"/>
      <c r="K33" s="527"/>
    </row>
    <row r="34" spans="1:11" ht="15" customHeight="1">
      <c r="A34" s="490"/>
      <c r="B34" s="490"/>
      <c r="C34" s="490"/>
      <c r="D34" s="490"/>
      <c r="E34" s="490"/>
      <c r="F34" s="527"/>
      <c r="G34" s="527"/>
      <c r="H34" s="527"/>
      <c r="I34" s="527"/>
      <c r="J34" s="527"/>
      <c r="K34" s="527"/>
    </row>
    <row r="35" spans="1:11" ht="15" customHeight="1">
      <c r="A35" s="124"/>
      <c r="B35" s="524"/>
      <c r="C35" s="524"/>
      <c r="D35" s="124"/>
      <c r="E35" s="121"/>
      <c r="F35" s="127"/>
      <c r="G35" s="127"/>
      <c r="H35" s="525"/>
      <c r="I35" s="525"/>
      <c r="J35" s="127"/>
      <c r="K35" s="127"/>
    </row>
    <row r="36" spans="1:11" ht="15" customHeight="1">
      <c r="A36" s="124"/>
      <c r="B36" s="124"/>
      <c r="C36" s="124"/>
      <c r="D36" s="124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  <mergeCell ref="A1:K1"/>
    <mergeCell ref="G4:K4"/>
    <mergeCell ref="B5:B6"/>
    <mergeCell ref="C4:F4"/>
    <mergeCell ref="A2:B2"/>
    <mergeCell ref="E5:E6"/>
    <mergeCell ref="F5:F6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20.7265625" style="84" customWidth="1"/>
    <col min="2" max="3" width="8.7265625" style="84" customWidth="1"/>
    <col min="4" max="4" width="9.7265625" style="84" customWidth="1"/>
    <col min="5" max="9" width="6.7265625" style="84" customWidth="1"/>
    <col min="10" max="10" width="7.7265625" style="84" customWidth="1"/>
    <col min="11" max="11" width="8.7265625" style="84" customWidth="1"/>
    <col min="12" max="13" width="9.1796875" style="84"/>
    <col min="14" max="14" width="11.1796875" style="84" customWidth="1"/>
    <col min="15" max="16384" width="9.1796875" style="84"/>
  </cols>
  <sheetData>
    <row r="1" spans="1:11" ht="18">
      <c r="A1" s="515" t="str">
        <f>"5.7 Spotřeba zemního plynu a teplota ovzduší: "&amp;LOWER(A3)</f>
        <v>5.7 Spotřeba zemního plynu a teplota ovzduší: únor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2" t="str">
        <f>'3.1'!E5</f>
        <v>Únor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4" spans="1:11" ht="25" customHeight="1">
      <c r="A4" s="128"/>
      <c r="B4" s="252">
        <f>'3.1'!A4</f>
        <v>2024</v>
      </c>
      <c r="C4" s="516" t="s">
        <v>60</v>
      </c>
      <c r="D4" s="517"/>
      <c r="E4" s="517"/>
      <c r="F4" s="518"/>
      <c r="G4" s="516" t="s">
        <v>186</v>
      </c>
      <c r="H4" s="517"/>
      <c r="I4" s="517"/>
      <c r="J4" s="517"/>
      <c r="K4" s="517"/>
    </row>
    <row r="5" spans="1:11">
      <c r="A5" s="272"/>
      <c r="B5" s="500" t="s">
        <v>185</v>
      </c>
      <c r="C5" s="345"/>
      <c r="D5" s="346"/>
      <c r="E5" s="500" t="s">
        <v>277</v>
      </c>
      <c r="F5" s="520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5" customHeight="1">
      <c r="A6" s="349" t="s">
        <v>281</v>
      </c>
      <c r="B6" s="487"/>
      <c r="C6" s="221" t="s">
        <v>259</v>
      </c>
      <c r="D6" s="219" t="s">
        <v>260</v>
      </c>
      <c r="E6" s="487"/>
      <c r="F6" s="52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6" customHeight="1">
      <c r="A7" s="154" t="s">
        <v>20</v>
      </c>
      <c r="B7" s="129">
        <f>'5.2'!D20</f>
        <v>401522</v>
      </c>
      <c r="C7" s="313">
        <f>'5.2'!E20</f>
        <v>82173.813024621995</v>
      </c>
      <c r="D7" s="129">
        <f>'5.2'!F20</f>
        <v>897286.96135804208</v>
      </c>
      <c r="E7" s="307">
        <f>C7/$C$11</f>
        <v>0.11608320260135967</v>
      </c>
      <c r="F7" s="332">
        <f>'5.2'!H20</f>
        <v>-0.17118010771705786</v>
      </c>
      <c r="G7" s="330">
        <v>7.0214285714285696</v>
      </c>
      <c r="H7" s="324">
        <v>10.4</v>
      </c>
      <c r="I7" s="324">
        <v>2.6</v>
      </c>
      <c r="J7" s="324">
        <v>0.69999999999999962</v>
      </c>
      <c r="K7" s="324">
        <v>6.3214285714285703</v>
      </c>
    </row>
    <row r="8" spans="1:11" ht="16" customHeight="1">
      <c r="A8" s="154" t="s">
        <v>87</v>
      </c>
      <c r="B8" s="129">
        <f>'5.3'!D20</f>
        <v>2225022</v>
      </c>
      <c r="C8" s="313">
        <f>'5.3'!E20</f>
        <v>585500.47593778314</v>
      </c>
      <c r="D8" s="129">
        <f>'5.3'!F20</f>
        <v>6374501.5792199988</v>
      </c>
      <c r="E8" s="307">
        <f t="shared" ref="E8:E10" si="0">C8/$C$11</f>
        <v>0.82710985251606972</v>
      </c>
      <c r="F8" s="332">
        <f>'5.3'!H20</f>
        <v>-0.15203862913588653</v>
      </c>
      <c r="G8" s="330">
        <v>5.8827380952380972</v>
      </c>
      <c r="H8" s="325">
        <v>8.5833333333333339</v>
      </c>
      <c r="I8" s="325">
        <v>2.85</v>
      </c>
      <c r="J8" s="325">
        <v>-0.46666666666666673</v>
      </c>
      <c r="K8" s="324">
        <v>6.349404761904764</v>
      </c>
    </row>
    <row r="9" spans="1:11" ht="16" customHeight="1">
      <c r="A9" s="154" t="s">
        <v>209</v>
      </c>
      <c r="B9" s="129">
        <f>'5.4'!D20</f>
        <v>111703</v>
      </c>
      <c r="C9" s="313">
        <f>'5.4'!E20</f>
        <v>28275.402330000004</v>
      </c>
      <c r="D9" s="129">
        <f>'5.4'!F20</f>
        <v>308026.55420000001</v>
      </c>
      <c r="E9" s="307">
        <f t="shared" si="0"/>
        <v>3.994337291278989E-2</v>
      </c>
      <c r="F9" s="332">
        <f>'5.4'!H20</f>
        <v>-0.17981987268032065</v>
      </c>
      <c r="G9" s="330">
        <v>5.6821428571428578</v>
      </c>
      <c r="H9" s="325">
        <v>8.5</v>
      </c>
      <c r="I9" s="325">
        <v>2.2000000000000002</v>
      </c>
      <c r="J9" s="325">
        <v>-1</v>
      </c>
      <c r="K9" s="324">
        <v>6.6821428571428578</v>
      </c>
    </row>
    <row r="10" spans="1:11" ht="16" customHeight="1">
      <c r="A10" s="154" t="s">
        <v>32</v>
      </c>
      <c r="B10" s="129">
        <f>'5.5'!D20</f>
        <v>9460</v>
      </c>
      <c r="C10" s="313">
        <f>'5.5'!E20</f>
        <v>11937.50671</v>
      </c>
      <c r="D10" s="129">
        <f>'5.5'!F20</f>
        <v>130694.58998300004</v>
      </c>
      <c r="E10" s="307">
        <f t="shared" si="0"/>
        <v>1.6863571969780757E-2</v>
      </c>
      <c r="F10" s="332">
        <f>'5.5'!H20</f>
        <v>-0.67443496520897817</v>
      </c>
      <c r="G10" s="330">
        <v>5.8928571428571415</v>
      </c>
      <c r="H10" s="325">
        <v>8.6</v>
      </c>
      <c r="I10" s="325">
        <v>2.8</v>
      </c>
      <c r="J10" s="325">
        <v>-0.15517241379310354</v>
      </c>
      <c r="K10" s="324">
        <v>6.0480295566502447</v>
      </c>
    </row>
    <row r="11" spans="1:11" ht="16" customHeight="1">
      <c r="A11" s="159" t="s">
        <v>3</v>
      </c>
      <c r="B11" s="310">
        <f>SUM(B7:B10)</f>
        <v>2747707</v>
      </c>
      <c r="C11" s="314">
        <f t="shared" ref="C11:E11" si="1">SUM(C7:C10)</f>
        <v>707887.19800240512</v>
      </c>
      <c r="D11" s="310">
        <f t="shared" si="1"/>
        <v>7710509.6847610418</v>
      </c>
      <c r="E11" s="311">
        <f t="shared" si="1"/>
        <v>1</v>
      </c>
      <c r="F11" s="333">
        <f>'5.1'!H21</f>
        <v>-0.17760914907186512</v>
      </c>
      <c r="G11" s="331">
        <v>5.8928571428571415</v>
      </c>
      <c r="H11" s="329">
        <v>8.6</v>
      </c>
      <c r="I11" s="329">
        <v>2.8</v>
      </c>
      <c r="J11" s="329">
        <v>-0.15517241379310354</v>
      </c>
      <c r="K11" s="328">
        <v>6.0480295566502447</v>
      </c>
    </row>
    <row r="12" spans="1:11" ht="15" customHeight="1">
      <c r="A12" s="101"/>
      <c r="B12" s="94"/>
      <c r="C12" s="523" t="s">
        <v>239</v>
      </c>
      <c r="D12" s="523"/>
      <c r="E12" s="523"/>
      <c r="F12" s="523"/>
      <c r="G12" s="526" t="s">
        <v>240</v>
      </c>
      <c r="H12" s="526"/>
      <c r="I12" s="526"/>
      <c r="J12" s="526"/>
      <c r="K12" s="526"/>
    </row>
    <row r="13" spans="1:11" ht="15" customHeight="1">
      <c r="A13" s="94"/>
      <c r="B13" s="94"/>
      <c r="C13" s="523"/>
      <c r="D13" s="523"/>
      <c r="E13" s="523"/>
      <c r="F13" s="523"/>
      <c r="G13" s="526" t="s">
        <v>241</v>
      </c>
      <c r="H13" s="526"/>
      <c r="I13" s="526"/>
      <c r="J13" s="526"/>
      <c r="K13" s="52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7" t="s">
        <v>271</v>
      </c>
      <c r="B16" s="527"/>
      <c r="C16" s="527"/>
      <c r="D16" s="527"/>
      <c r="E16" s="527"/>
      <c r="F16" s="527" t="s">
        <v>272</v>
      </c>
      <c r="G16" s="527"/>
      <c r="H16" s="527"/>
      <c r="I16" s="527"/>
      <c r="J16" s="527"/>
      <c r="K16" s="527"/>
    </row>
    <row r="17" spans="1:11" ht="15" customHeight="1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1" ht="15" customHeight="1">
      <c r="A18" s="120"/>
      <c r="B18" s="524"/>
      <c r="C18" s="524"/>
      <c r="D18" s="120"/>
      <c r="E18" s="120"/>
      <c r="F18" s="120"/>
      <c r="G18" s="123"/>
      <c r="H18" s="524"/>
      <c r="I18" s="524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7" t="s">
        <v>273</v>
      </c>
      <c r="B33" s="490"/>
      <c r="C33" s="490"/>
      <c r="D33" s="490"/>
      <c r="E33" s="490"/>
      <c r="F33" s="527" t="s">
        <v>66</v>
      </c>
      <c r="G33" s="527"/>
      <c r="H33" s="527"/>
      <c r="I33" s="527"/>
      <c r="J33" s="527"/>
      <c r="K33" s="527"/>
    </row>
    <row r="34" spans="1:11" ht="15" customHeight="1">
      <c r="A34" s="490"/>
      <c r="B34" s="490"/>
      <c r="C34" s="490"/>
      <c r="D34" s="490"/>
      <c r="E34" s="490"/>
      <c r="F34" s="527"/>
      <c r="G34" s="527"/>
      <c r="H34" s="527"/>
      <c r="I34" s="527"/>
      <c r="J34" s="527"/>
      <c r="K34" s="527"/>
    </row>
    <row r="35" spans="1:11" ht="15" customHeight="1">
      <c r="A35" s="120"/>
      <c r="B35" s="524"/>
      <c r="C35" s="524"/>
      <c r="D35" s="120"/>
      <c r="E35" s="121"/>
      <c r="F35" s="127"/>
      <c r="G35" s="127"/>
      <c r="H35" s="525"/>
      <c r="I35" s="525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  <mergeCell ref="B35:C35"/>
    <mergeCell ref="H35:I35"/>
    <mergeCell ref="H18:I18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20.7265625" style="84" customWidth="1"/>
    <col min="2" max="3" width="8.7265625" style="84" customWidth="1"/>
    <col min="4" max="4" width="9.7265625" style="84" customWidth="1"/>
    <col min="5" max="9" width="6.7265625" style="84" customWidth="1"/>
    <col min="10" max="10" width="7.7265625" style="84" customWidth="1"/>
    <col min="11" max="11" width="8.7265625" style="84" customWidth="1"/>
    <col min="12" max="13" width="9.1796875" style="84"/>
    <col min="14" max="14" width="11.1796875" style="84" customWidth="1"/>
    <col min="15" max="16384" width="9.1796875" style="84"/>
  </cols>
  <sheetData>
    <row r="1" spans="1:11" ht="18">
      <c r="A1" s="515" t="str">
        <f>"5.8 Spotřeba zemního plynu a teplota ovzduší: "&amp;LOWER(A3)</f>
        <v>5.8 Spotřeba zemního plynu a teplota ovzduší: březen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2" t="str">
        <f>'3.1'!F5</f>
        <v>Březen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4" spans="1:11" ht="25" customHeight="1">
      <c r="A4" s="128"/>
      <c r="B4" s="252">
        <f>'3.1'!A4</f>
        <v>2024</v>
      </c>
      <c r="C4" s="516" t="s">
        <v>60</v>
      </c>
      <c r="D4" s="517"/>
      <c r="E4" s="517"/>
      <c r="F4" s="518"/>
      <c r="G4" s="516" t="s">
        <v>186</v>
      </c>
      <c r="H4" s="517"/>
      <c r="I4" s="517"/>
      <c r="J4" s="517"/>
      <c r="K4" s="517"/>
    </row>
    <row r="5" spans="1:11">
      <c r="A5" s="272"/>
      <c r="B5" s="500" t="s">
        <v>185</v>
      </c>
      <c r="C5" s="345"/>
      <c r="D5" s="346"/>
      <c r="E5" s="500" t="s">
        <v>277</v>
      </c>
      <c r="F5" s="520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5" customHeight="1">
      <c r="A6" s="349" t="s">
        <v>281</v>
      </c>
      <c r="B6" s="487"/>
      <c r="C6" s="221" t="s">
        <v>259</v>
      </c>
      <c r="D6" s="219" t="s">
        <v>260</v>
      </c>
      <c r="E6" s="487"/>
      <c r="F6" s="52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6" customHeight="1">
      <c r="A7" s="154" t="s">
        <v>20</v>
      </c>
      <c r="B7" s="129">
        <f>'5.2'!D27</f>
        <v>401095</v>
      </c>
      <c r="C7" s="313">
        <f>'5.2'!E27</f>
        <v>71973.185295773001</v>
      </c>
      <c r="D7" s="129">
        <f>'5.2'!F27</f>
        <v>783957.869663944</v>
      </c>
      <c r="E7" s="307">
        <f>C7/$C$11</f>
        <v>0.10989280759997727</v>
      </c>
      <c r="F7" s="332">
        <f>'5.2'!H27</f>
        <v>-0.1625751623505127</v>
      </c>
      <c r="G7" s="330">
        <v>8.5967741935483879</v>
      </c>
      <c r="H7" s="324">
        <v>15.8</v>
      </c>
      <c r="I7" s="324">
        <v>3.5</v>
      </c>
      <c r="J7" s="324">
        <v>4.599999999999997</v>
      </c>
      <c r="K7" s="324">
        <v>3.9967741935483909</v>
      </c>
    </row>
    <row r="8" spans="1:11" ht="16" customHeight="1">
      <c r="A8" s="154" t="s">
        <v>87</v>
      </c>
      <c r="B8" s="129">
        <f>'5.3'!D27</f>
        <v>2222582</v>
      </c>
      <c r="C8" s="313">
        <f>'5.3'!E27</f>
        <v>537865.09998130566</v>
      </c>
      <c r="D8" s="129">
        <f>'5.3'!F27</f>
        <v>5847263.6398100005</v>
      </c>
      <c r="E8" s="307">
        <f t="shared" ref="E8:E10" si="0">C8/$C$11</f>
        <v>0.82124343537230604</v>
      </c>
      <c r="F8" s="332">
        <f>'5.3'!H27</f>
        <v>-0.13411324824588944</v>
      </c>
      <c r="G8" s="330">
        <v>7.2564516129032253</v>
      </c>
      <c r="H8" s="325">
        <v>14.616666666666667</v>
      </c>
      <c r="I8" s="325">
        <v>2.0666666666666669</v>
      </c>
      <c r="J8" s="325">
        <v>3.383333333333336</v>
      </c>
      <c r="K8" s="324">
        <v>3.8731182795698893</v>
      </c>
    </row>
    <row r="9" spans="1:11" ht="16" customHeight="1">
      <c r="A9" s="154" t="s">
        <v>209</v>
      </c>
      <c r="B9" s="129">
        <f>'5.4'!D27</f>
        <v>111636</v>
      </c>
      <c r="C9" s="313">
        <f>'5.4'!E27</f>
        <v>25675.688989999999</v>
      </c>
      <c r="D9" s="129">
        <f>'5.4'!F27</f>
        <v>279717.80323999992</v>
      </c>
      <c r="E9" s="307">
        <f t="shared" si="0"/>
        <v>3.9203121809597556E-2</v>
      </c>
      <c r="F9" s="332">
        <f>'5.4'!H27</f>
        <v>-0.1575115488367852</v>
      </c>
      <c r="G9" s="330">
        <v>6.7645161290322573</v>
      </c>
      <c r="H9" s="325">
        <v>14</v>
      </c>
      <c r="I9" s="325">
        <v>2.4</v>
      </c>
      <c r="J9" s="325">
        <v>2.9000000000000008</v>
      </c>
      <c r="K9" s="324">
        <v>3.8645161290322565</v>
      </c>
    </row>
    <row r="10" spans="1:11" ht="16" customHeight="1">
      <c r="A10" s="154" t="s">
        <v>32</v>
      </c>
      <c r="B10" s="129">
        <f>'5.5'!D27</f>
        <v>9467</v>
      </c>
      <c r="C10" s="313">
        <f>'5.5'!E27</f>
        <v>19425.933699999994</v>
      </c>
      <c r="D10" s="129">
        <f>'5.5'!F27</f>
        <v>213496.76102200005</v>
      </c>
      <c r="E10" s="307">
        <f t="shared" si="0"/>
        <v>2.9660635218119066E-2</v>
      </c>
      <c r="F10" s="332">
        <f>'5.5'!H27</f>
        <v>-0.38668428749202266</v>
      </c>
      <c r="G10" s="330">
        <v>7.2451612903225797</v>
      </c>
      <c r="H10" s="325">
        <v>14.6</v>
      </c>
      <c r="I10" s="325">
        <v>2.2000000000000002</v>
      </c>
      <c r="J10" s="325">
        <v>3.512903225806451</v>
      </c>
      <c r="K10" s="324">
        <v>3.7322580645161287</v>
      </c>
    </row>
    <row r="11" spans="1:11" ht="16" customHeight="1">
      <c r="A11" s="159" t="s">
        <v>3</v>
      </c>
      <c r="B11" s="310">
        <f>SUM(B7:B10)</f>
        <v>2744780</v>
      </c>
      <c r="C11" s="314">
        <f t="shared" ref="C11:E11" si="1">SUM(C7:C10)</f>
        <v>654939.90796707873</v>
      </c>
      <c r="D11" s="310">
        <f t="shared" si="1"/>
        <v>7124436.073735944</v>
      </c>
      <c r="E11" s="311">
        <f t="shared" si="1"/>
        <v>0.99999999999999989</v>
      </c>
      <c r="F11" s="333">
        <f>'5.1'!H28</f>
        <v>-0.1486193897621986</v>
      </c>
      <c r="G11" s="331">
        <v>7.2451612903225797</v>
      </c>
      <c r="H11" s="329">
        <v>14.6</v>
      </c>
      <c r="I11" s="329">
        <v>2.2000000000000002</v>
      </c>
      <c r="J11" s="329">
        <v>3.512903225806451</v>
      </c>
      <c r="K11" s="328">
        <v>3.7322580645161287</v>
      </c>
    </row>
    <row r="12" spans="1:11" ht="15" customHeight="1">
      <c r="A12" s="101"/>
      <c r="B12" s="94"/>
      <c r="C12" s="523" t="s">
        <v>239</v>
      </c>
      <c r="D12" s="523"/>
      <c r="E12" s="523"/>
      <c r="F12" s="523"/>
      <c r="G12" s="526" t="s">
        <v>240</v>
      </c>
      <c r="H12" s="526"/>
      <c r="I12" s="526"/>
      <c r="J12" s="526"/>
      <c r="K12" s="526"/>
    </row>
    <row r="13" spans="1:11" ht="15" customHeight="1">
      <c r="A13" s="94"/>
      <c r="B13" s="94"/>
      <c r="C13" s="523"/>
      <c r="D13" s="523"/>
      <c r="E13" s="523"/>
      <c r="F13" s="523"/>
      <c r="G13" s="526" t="s">
        <v>241</v>
      </c>
      <c r="H13" s="526"/>
      <c r="I13" s="526"/>
      <c r="J13" s="526"/>
      <c r="K13" s="52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7" t="s">
        <v>271</v>
      </c>
      <c r="B16" s="527"/>
      <c r="C16" s="527"/>
      <c r="D16" s="527"/>
      <c r="E16" s="527"/>
      <c r="F16" s="527" t="s">
        <v>272</v>
      </c>
      <c r="G16" s="527"/>
      <c r="H16" s="527"/>
      <c r="I16" s="527"/>
      <c r="J16" s="527"/>
      <c r="K16" s="527"/>
    </row>
    <row r="17" spans="1:11" ht="15" customHeight="1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1" ht="15" customHeight="1">
      <c r="A18" s="120"/>
      <c r="B18" s="524"/>
      <c r="C18" s="524"/>
      <c r="D18" s="120"/>
      <c r="E18" s="120"/>
      <c r="F18" s="120"/>
      <c r="G18" s="120"/>
      <c r="H18" s="524"/>
      <c r="I18" s="524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7" t="s">
        <v>273</v>
      </c>
      <c r="B33" s="490"/>
      <c r="C33" s="490"/>
      <c r="D33" s="490"/>
      <c r="E33" s="490"/>
      <c r="F33" s="527" t="s">
        <v>66</v>
      </c>
      <c r="G33" s="527"/>
      <c r="H33" s="527"/>
      <c r="I33" s="527"/>
      <c r="J33" s="527"/>
      <c r="K33" s="527"/>
    </row>
    <row r="34" spans="1:11" ht="15" customHeight="1">
      <c r="A34" s="490"/>
      <c r="B34" s="490"/>
      <c r="C34" s="490"/>
      <c r="D34" s="490"/>
      <c r="E34" s="490"/>
      <c r="F34" s="527"/>
      <c r="G34" s="527"/>
      <c r="H34" s="527"/>
      <c r="I34" s="527"/>
      <c r="J34" s="527"/>
      <c r="K34" s="527"/>
    </row>
    <row r="35" spans="1:11" ht="15" customHeight="1">
      <c r="A35" s="120"/>
      <c r="B35" s="524"/>
      <c r="C35" s="524"/>
      <c r="D35" s="120"/>
      <c r="E35" s="121"/>
      <c r="F35" s="127"/>
      <c r="G35" s="127"/>
      <c r="H35" s="525"/>
      <c r="I35" s="525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A2:B2"/>
    <mergeCell ref="C4:F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20.7265625" style="84" customWidth="1"/>
    <col min="2" max="3" width="8.7265625" style="84" customWidth="1"/>
    <col min="4" max="4" width="9.7265625" style="84" customWidth="1"/>
    <col min="5" max="9" width="6.7265625" style="84" customWidth="1"/>
    <col min="10" max="10" width="7.7265625" style="84" customWidth="1"/>
    <col min="11" max="11" width="8.7265625" style="84" customWidth="1"/>
    <col min="12" max="13" width="9.1796875" style="84"/>
    <col min="14" max="14" width="11.1796875" style="84" customWidth="1"/>
    <col min="15" max="16384" width="9.1796875" style="84"/>
  </cols>
  <sheetData>
    <row r="1" spans="1:11" ht="18">
      <c r="A1" s="515" t="str">
        <f>"5.9 Spotřeba zemního plynu a teplota ovzduší: "&amp;(A3)</f>
        <v>5.9 Spotřeba zemního plynu a teplota ovzduší: I. čtvrtletí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18.75" customHeight="1">
      <c r="A3" s="522" t="str">
        <f>'3.1'!G5</f>
        <v>I. čtvrtletí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</row>
    <row r="4" spans="1:11" ht="25" customHeight="1">
      <c r="A4" s="128"/>
      <c r="B4" s="252">
        <f>'3.1'!A4</f>
        <v>2024</v>
      </c>
      <c r="C4" s="516" t="s">
        <v>60</v>
      </c>
      <c r="D4" s="517"/>
      <c r="E4" s="517"/>
      <c r="F4" s="518"/>
      <c r="G4" s="516" t="s">
        <v>186</v>
      </c>
      <c r="H4" s="517"/>
      <c r="I4" s="517"/>
      <c r="J4" s="517"/>
      <c r="K4" s="517"/>
    </row>
    <row r="5" spans="1:11" ht="22.5" customHeight="1">
      <c r="A5" s="272"/>
      <c r="B5" s="520" t="s">
        <v>185</v>
      </c>
      <c r="C5" s="345"/>
      <c r="D5" s="346"/>
      <c r="E5" s="530" t="s">
        <v>277</v>
      </c>
      <c r="F5" s="531" t="s">
        <v>280</v>
      </c>
      <c r="G5" s="347" t="s">
        <v>62</v>
      </c>
      <c r="H5" s="348" t="s">
        <v>173</v>
      </c>
      <c r="I5" s="348" t="s">
        <v>174</v>
      </c>
      <c r="J5" s="348" t="s">
        <v>278</v>
      </c>
      <c r="K5" s="348" t="s">
        <v>279</v>
      </c>
    </row>
    <row r="6" spans="1:11" ht="25" customHeight="1">
      <c r="A6" s="349" t="s">
        <v>281</v>
      </c>
      <c r="B6" s="521"/>
      <c r="C6" s="221" t="s">
        <v>259</v>
      </c>
      <c r="D6" s="219" t="s">
        <v>260</v>
      </c>
      <c r="E6" s="487"/>
      <c r="F6" s="521"/>
      <c r="G6" s="350" t="s">
        <v>228</v>
      </c>
      <c r="H6" s="351" t="s">
        <v>228</v>
      </c>
      <c r="I6" s="351" t="s">
        <v>228</v>
      </c>
      <c r="J6" s="351" t="s">
        <v>228</v>
      </c>
      <c r="K6" s="351" t="s">
        <v>228</v>
      </c>
    </row>
    <row r="7" spans="1:11" ht="16" customHeight="1">
      <c r="A7" s="154" t="s">
        <v>20</v>
      </c>
      <c r="B7" s="129">
        <f>'5.2'!D34</f>
        <v>401095</v>
      </c>
      <c r="C7" s="313">
        <f>'5.2'!E34</f>
        <v>281254.80964888004</v>
      </c>
      <c r="D7" s="129">
        <f>'5.2'!F34</f>
        <v>3067363.965530931</v>
      </c>
      <c r="E7" s="307">
        <f>C7/$C$11</f>
        <v>0.11647983344189833</v>
      </c>
      <c r="F7" s="332">
        <f>'5.2'!H34</f>
        <v>-3.0059343271497594E-2</v>
      </c>
      <c r="G7" s="330">
        <f>AVERAGE('5.6'!G7,'5.7'!G7,'5.8'!G7)</f>
        <v>5.5071428571428571</v>
      </c>
      <c r="H7" s="324">
        <f>MAX('5.6'!H7,'5.7'!H7,'5.8'!H7)</f>
        <v>15.8</v>
      </c>
      <c r="I7" s="324">
        <f>MIN('5.6'!I7,'5.7'!I7,'5.8'!I7)</f>
        <v>-8.1</v>
      </c>
      <c r="J7" s="324">
        <f>AVERAGE('5.6'!J7,'5.7'!J7,'5.8'!J7)</f>
        <v>1.5666666666666655</v>
      </c>
      <c r="K7" s="324">
        <f>G7-J7</f>
        <v>3.9404761904761916</v>
      </c>
    </row>
    <row r="8" spans="1:11" ht="16" customHeight="1">
      <c r="A8" s="154" t="s">
        <v>87</v>
      </c>
      <c r="B8" s="129">
        <f>'5.3'!D34</f>
        <v>2222582</v>
      </c>
      <c r="C8" s="313">
        <f>'5.3'!E34</f>
        <v>1966706.1411176075</v>
      </c>
      <c r="D8" s="129">
        <f>'5.3'!F34</f>
        <v>21410805.238919996</v>
      </c>
      <c r="E8" s="307">
        <f t="shared" ref="E8:E10" si="0">C8/$C$11</f>
        <v>0.81449844016009598</v>
      </c>
      <c r="F8" s="332">
        <f>'5.3'!H34</f>
        <v>-3.432292391987133E-2</v>
      </c>
      <c r="G8" s="330">
        <f>AVERAGE('5.6'!G8,'5.7'!G8,'5.8'!G8)</f>
        <v>4.2644969278033793</v>
      </c>
      <c r="H8" s="325">
        <f>MAX('5.6'!H8,'5.7'!H8,'5.8'!H8)</f>
        <v>14.616666666666667</v>
      </c>
      <c r="I8" s="325">
        <f>MIN('5.6'!I8,'5.7'!I8,'5.8'!I8)</f>
        <v>-9.5166666666666657</v>
      </c>
      <c r="J8" s="325">
        <f>AVERAGE('5.6'!J8,'5.7'!J8,'5.8'!J8)</f>
        <v>0.42777777777777876</v>
      </c>
      <c r="K8" s="324">
        <f t="shared" ref="K8:K11" si="1">G8-J8</f>
        <v>3.8367191500256004</v>
      </c>
    </row>
    <row r="9" spans="1:11" ht="16" customHeight="1">
      <c r="A9" s="154" t="s">
        <v>209</v>
      </c>
      <c r="B9" s="129">
        <f>'5.4'!D34</f>
        <v>111636</v>
      </c>
      <c r="C9" s="313">
        <f>'5.4'!E34</f>
        <v>94930.078319999986</v>
      </c>
      <c r="D9" s="129">
        <f>'5.4'!F34</f>
        <v>1034235.51779</v>
      </c>
      <c r="E9" s="307">
        <f t="shared" si="0"/>
        <v>3.9314668876753174E-2</v>
      </c>
      <c r="F9" s="332">
        <f>'5.4'!H34</f>
        <v>-6.307794344189277E-2</v>
      </c>
      <c r="G9" s="330">
        <f>AVERAGE('5.6'!G9,'5.7'!G9,'5.8'!G9)</f>
        <v>3.9779185867895546</v>
      </c>
      <c r="H9" s="325">
        <f>MAX('5.6'!H9,'5.7'!H9,'5.8'!H9)</f>
        <v>14</v>
      </c>
      <c r="I9" s="325">
        <f>MIN('5.6'!I9,'5.7'!I9,'5.8'!I9)</f>
        <v>-10.4</v>
      </c>
      <c r="J9" s="325">
        <f>AVERAGE('5.6'!J9,'5.7'!J9,'5.8'!J9)</f>
        <v>-6.6666666666666582E-2</v>
      </c>
      <c r="K9" s="324">
        <f t="shared" si="1"/>
        <v>4.044585253456221</v>
      </c>
    </row>
    <row r="10" spans="1:11" ht="16" customHeight="1">
      <c r="A10" s="154" t="s">
        <v>32</v>
      </c>
      <c r="B10" s="129">
        <f>'5.5'!D34</f>
        <v>9467</v>
      </c>
      <c r="C10" s="313">
        <f>'5.5'!E34</f>
        <v>71731.325169999996</v>
      </c>
      <c r="D10" s="129">
        <f>'5.5'!F34</f>
        <v>784697.29517900001</v>
      </c>
      <c r="E10" s="307">
        <f t="shared" si="0"/>
        <v>2.9707057521252668E-2</v>
      </c>
      <c r="F10" s="332">
        <f>'5.5'!H34</f>
        <v>-0.23620334863996445</v>
      </c>
      <c r="G10" s="330">
        <f>AVERAGE('5.6'!G10,'5.7'!G10,'5.8'!G10)</f>
        <v>4.2664362519201218</v>
      </c>
      <c r="H10" s="325">
        <f>MAX('5.6'!H10,'5.7'!H10,'5.8'!H10)</f>
        <v>14.6</v>
      </c>
      <c r="I10" s="325">
        <f>MIN('5.6'!I10,'5.7'!I10,'5.8'!I10)</f>
        <v>-9.6</v>
      </c>
      <c r="J10" s="325">
        <f>AVERAGE('5.6'!J10,'5.7'!J10,'5.8'!J10)</f>
        <v>0.71064145346681462</v>
      </c>
      <c r="K10" s="324">
        <f t="shared" si="1"/>
        <v>3.5557947984533071</v>
      </c>
    </row>
    <row r="11" spans="1:11" ht="16" customHeight="1">
      <c r="A11" s="159" t="s">
        <v>3</v>
      </c>
      <c r="B11" s="310">
        <f>'5.1'!D35</f>
        <v>2744780</v>
      </c>
      <c r="C11" s="314">
        <f>'5.1'!E35</f>
        <v>2414622.354256487</v>
      </c>
      <c r="D11" s="310">
        <f>'5.1'!F35</f>
        <v>26297102.017419931</v>
      </c>
      <c r="E11" s="311">
        <f t="shared" ref="E11" si="2">SUM(E7:E10)</f>
        <v>1</v>
      </c>
      <c r="F11" s="333">
        <f>'5.1'!H35</f>
        <v>-4.250616076603065E-2</v>
      </c>
      <c r="G11" s="331">
        <f>AVERAGE('5.6'!G11,'5.7'!G11,'5.8'!G11)</f>
        <v>4.2664362519201218</v>
      </c>
      <c r="H11" s="329">
        <f>MAX('5.6'!H11,'5.7'!H11,'5.8'!H11)</f>
        <v>14.6</v>
      </c>
      <c r="I11" s="329">
        <f>MIN('5.6'!I11,'5.7'!I11,'5.8'!I11)</f>
        <v>-9.6</v>
      </c>
      <c r="J11" s="329">
        <f>AVERAGE('5.6'!J11,'5.7'!J11,'5.8'!J11)</f>
        <v>0.71064145346681462</v>
      </c>
      <c r="K11" s="328">
        <f t="shared" si="1"/>
        <v>3.5557947984533071</v>
      </c>
    </row>
    <row r="12" spans="1:11" ht="15" customHeight="1">
      <c r="A12" s="101"/>
      <c r="B12" s="94"/>
      <c r="C12" s="523" t="s">
        <v>239</v>
      </c>
      <c r="D12" s="523"/>
      <c r="E12" s="523"/>
      <c r="F12" s="523"/>
      <c r="G12" s="526" t="s">
        <v>240</v>
      </c>
      <c r="H12" s="526"/>
      <c r="I12" s="526"/>
      <c r="J12" s="526"/>
      <c r="K12" s="526"/>
    </row>
    <row r="13" spans="1:11" ht="15" customHeight="1">
      <c r="A13" s="94"/>
      <c r="B13" s="94"/>
      <c r="C13" s="523"/>
      <c r="D13" s="523"/>
      <c r="E13" s="523"/>
      <c r="F13" s="523"/>
      <c r="G13" s="526" t="s">
        <v>241</v>
      </c>
      <c r="H13" s="526"/>
      <c r="I13" s="526"/>
      <c r="J13" s="526"/>
      <c r="K13" s="526"/>
    </row>
    <row r="14" spans="1:11" ht="15" customHeight="1">
      <c r="A14" s="94"/>
      <c r="B14" s="94"/>
      <c r="C14" s="98"/>
      <c r="D14" s="98"/>
      <c r="E14" s="98"/>
      <c r="F14" s="98"/>
      <c r="G14" s="87"/>
      <c r="H14" s="87"/>
      <c r="I14" s="87"/>
      <c r="J14" s="87"/>
      <c r="K14" s="87"/>
    </row>
    <row r="15" spans="1:11" ht="15" customHeight="1">
      <c r="A15" s="94"/>
      <c r="B15" s="94"/>
      <c r="C15" s="94"/>
      <c r="D15" s="99"/>
      <c r="E15" s="100"/>
      <c r="F15" s="100"/>
      <c r="G15" s="94"/>
      <c r="H15" s="101"/>
      <c r="I15" s="87"/>
      <c r="J15" s="94"/>
      <c r="K15" s="94"/>
    </row>
    <row r="16" spans="1:11" ht="18" customHeight="1">
      <c r="A16" s="527" t="s">
        <v>271</v>
      </c>
      <c r="B16" s="527"/>
      <c r="C16" s="527"/>
      <c r="D16" s="527"/>
      <c r="E16" s="527"/>
      <c r="F16" s="527" t="s">
        <v>272</v>
      </c>
      <c r="G16" s="527"/>
      <c r="H16" s="527"/>
      <c r="I16" s="527"/>
      <c r="J16" s="527"/>
      <c r="K16" s="527"/>
    </row>
    <row r="17" spans="1:11" ht="15" customHeight="1">
      <c r="A17" s="527"/>
      <c r="B17" s="527"/>
      <c r="C17" s="527"/>
      <c r="D17" s="527"/>
      <c r="E17" s="527"/>
      <c r="F17" s="527"/>
      <c r="G17" s="527"/>
      <c r="H17" s="527"/>
      <c r="I17" s="527"/>
      <c r="J17" s="527"/>
      <c r="K17" s="527"/>
    </row>
    <row r="18" spans="1:11" ht="15" customHeight="1">
      <c r="A18" s="120"/>
      <c r="B18" s="529"/>
      <c r="C18" s="529"/>
      <c r="D18" s="120"/>
      <c r="E18" s="120"/>
      <c r="F18" s="120"/>
      <c r="G18" s="120"/>
      <c r="H18" s="529"/>
      <c r="I18" s="529"/>
      <c r="J18" s="120"/>
      <c r="K18" s="120"/>
    </row>
    <row r="19" spans="1:11" ht="1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15" customHeigh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 ht="15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ht="15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15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</row>
    <row r="25" spans="1:11" ht="15" customHeight="1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</row>
    <row r="26" spans="1:11" ht="15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ht="15" customHeight="1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ht="1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527" t="s">
        <v>273</v>
      </c>
      <c r="B33" s="490"/>
      <c r="C33" s="490"/>
      <c r="D33" s="490"/>
      <c r="E33" s="490"/>
      <c r="F33" s="527" t="s">
        <v>66</v>
      </c>
      <c r="G33" s="527"/>
      <c r="H33" s="527"/>
      <c r="I33" s="527"/>
      <c r="J33" s="527"/>
      <c r="K33" s="527"/>
    </row>
    <row r="34" spans="1:11" ht="15" customHeight="1">
      <c r="A34" s="490"/>
      <c r="B34" s="490"/>
      <c r="C34" s="490"/>
      <c r="D34" s="490"/>
      <c r="E34" s="490"/>
      <c r="F34" s="527"/>
      <c r="G34" s="527"/>
      <c r="H34" s="527"/>
      <c r="I34" s="527"/>
      <c r="J34" s="527"/>
      <c r="K34" s="527"/>
    </row>
    <row r="35" spans="1:11" ht="15" customHeight="1">
      <c r="A35" s="120"/>
      <c r="B35" s="529"/>
      <c r="C35" s="529"/>
      <c r="D35" s="120"/>
      <c r="E35" s="121"/>
      <c r="F35" s="127"/>
      <c r="G35" s="127"/>
      <c r="H35" s="528"/>
      <c r="I35" s="528"/>
      <c r="J35" s="127"/>
      <c r="K35" s="127"/>
    </row>
    <row r="36" spans="1:11" ht="15" customHeight="1">
      <c r="A36" s="120"/>
      <c r="B36" s="120"/>
      <c r="C36" s="120"/>
      <c r="D36" s="120"/>
      <c r="E36" s="122"/>
      <c r="F36" s="122"/>
      <c r="G36" s="122"/>
      <c r="J36" s="122"/>
      <c r="K36" s="122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C4:F4"/>
    <mergeCell ref="A2:B2"/>
    <mergeCell ref="A1:K1"/>
    <mergeCell ref="G4:K4"/>
    <mergeCell ref="A3:K3"/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E1" sqref="E1"/>
    </sheetView>
  </sheetViews>
  <sheetFormatPr defaultColWidth="9.1796875" defaultRowHeight="13"/>
  <cols>
    <col min="1" max="1" width="5.81640625" style="47" customWidth="1"/>
    <col min="2" max="2" width="90.26953125" style="46" customWidth="1"/>
    <col min="3" max="3" width="3.26953125" style="47" bestFit="1" customWidth="1"/>
    <col min="4" max="4" width="9.1796875" style="47" customWidth="1"/>
    <col min="5" max="5" width="9.1796875" style="47" hidden="1" customWidth="1"/>
    <col min="6" max="16384" width="9.1796875" style="47"/>
  </cols>
  <sheetData>
    <row r="1" spans="1:5" ht="20">
      <c r="A1" s="69" t="s">
        <v>243</v>
      </c>
    </row>
    <row r="2" spans="1:5" ht="6" customHeight="1"/>
    <row r="3" spans="1:5" ht="14">
      <c r="A3" s="371" t="str">
        <f>MID(E3,1,1+IF(MID(E3,2,1)&lt;&gt;" ",IF(MID(E3,3,1)&lt;&gt;" ",IF(MID(E3,4,1)&lt;&gt;" ",3,2),1),0))</f>
        <v>1</v>
      </c>
      <c r="B3" s="372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4">
      <c r="A4" s="371" t="str">
        <f t="shared" ref="A4:A36" si="0">MID(E4,1,1+IF(MID(E4,2,1)&lt;&gt;" ",IF(MID(E4,3,1)&lt;&gt;" ",IF(MID(E4,4,1)&lt;&gt;" ",3,2),1),0))</f>
        <v>2</v>
      </c>
      <c r="B4" s="372" t="str">
        <f t="shared" ref="B4:B36" si="1">MID(E4,3+IF(MID(E4,2,1)&lt;&gt;" ",IF(MID(E4,3,1)&lt;&gt;" ",IF(MID(E4,4,1)&lt;&gt;" ",3,2),1),0),100)</f>
        <v>STRUČNÝ PŘEHLED ZA I. ČTVRTLETÍ 2024</v>
      </c>
      <c r="C4" s="48">
        <v>6</v>
      </c>
      <c r="E4" s="49" t="str">
        <f>'2'!A1</f>
        <v>2 STRUČNÝ PŘEHLED ZA I. ČTVRTLETÍ 2024</v>
      </c>
    </row>
    <row r="5" spans="1:5" ht="14">
      <c r="A5" s="371" t="str">
        <f t="shared" si="0"/>
        <v>3</v>
      </c>
      <c r="B5" s="372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4">
      <c r="A6" s="371" t="str">
        <f t="shared" si="0"/>
        <v>3.1</v>
      </c>
      <c r="B6" s="372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4">
      <c r="A7" s="371" t="str">
        <f t="shared" si="0"/>
        <v>3.2</v>
      </c>
      <c r="B7" s="372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4">
      <c r="A8" s="371" t="str">
        <f t="shared" si="0"/>
        <v>4</v>
      </c>
      <c r="B8" s="372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4">
      <c r="A9" s="371" t="str">
        <f t="shared" si="0"/>
        <v>4.1</v>
      </c>
      <c r="B9" s="372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4">
      <c r="A10" s="371" t="str">
        <f t="shared" si="0"/>
        <v>4.2</v>
      </c>
      <c r="B10" s="372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4">
      <c r="A11" s="371" t="str">
        <f t="shared" si="0"/>
        <v>4.3</v>
      </c>
      <c r="B11" s="372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4">
      <c r="A12" s="371" t="str">
        <f t="shared" si="0"/>
        <v>5</v>
      </c>
      <c r="B12" s="372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4">
      <c r="A13" s="371" t="str">
        <f t="shared" si="0"/>
        <v>5.1</v>
      </c>
      <c r="B13" s="372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4">
      <c r="A14" s="371" t="str">
        <f t="shared" si="0"/>
        <v>5.2</v>
      </c>
      <c r="B14" s="372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4">
      <c r="A15" s="371" t="str">
        <f t="shared" si="0"/>
        <v>5.3</v>
      </c>
      <c r="B15" s="372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4">
      <c r="A16" s="371" t="str">
        <f t="shared" si="0"/>
        <v>5.4</v>
      </c>
      <c r="B16" s="372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4">
      <c r="A17" s="371" t="str">
        <f t="shared" si="0"/>
        <v>5.5</v>
      </c>
      <c r="B17" s="372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4">
      <c r="A18" s="371" t="str">
        <f t="shared" si="0"/>
        <v>5.6</v>
      </c>
      <c r="B18" s="372" t="str">
        <f t="shared" si="1"/>
        <v>Spotřeba zemního plynu a teplota ovzduší: leden</v>
      </c>
      <c r="C18" s="48">
        <v>17</v>
      </c>
      <c r="E18" s="50" t="str">
        <f>'5.6'!A1</f>
        <v>5.6 Spotřeba zemního plynu a teplota ovzduší: leden</v>
      </c>
    </row>
    <row r="19" spans="1:5" ht="14">
      <c r="A19" s="371" t="str">
        <f t="shared" si="0"/>
        <v>5.7</v>
      </c>
      <c r="B19" s="372" t="str">
        <f t="shared" si="1"/>
        <v>Spotřeba zemního plynu a teplota ovzduší: únor</v>
      </c>
      <c r="C19" s="48">
        <v>18</v>
      </c>
      <c r="E19" s="50" t="str">
        <f>'5.7'!A1</f>
        <v>5.7 Spotřeba zemního plynu a teplota ovzduší: únor</v>
      </c>
    </row>
    <row r="20" spans="1:5" ht="14">
      <c r="A20" s="371" t="str">
        <f t="shared" si="0"/>
        <v>5.8</v>
      </c>
      <c r="B20" s="372" t="str">
        <f t="shared" si="1"/>
        <v>Spotřeba zemního plynu a teplota ovzduší: březen</v>
      </c>
      <c r="C20" s="48">
        <v>19</v>
      </c>
      <c r="E20" s="50" t="str">
        <f>'5.8'!A1</f>
        <v>5.8 Spotřeba zemního plynu a teplota ovzduší: březen</v>
      </c>
    </row>
    <row r="21" spans="1:5" ht="14">
      <c r="A21" s="371" t="str">
        <f t="shared" si="0"/>
        <v>5.9</v>
      </c>
      <c r="B21" s="372" t="str">
        <f t="shared" si="1"/>
        <v>Spotřeba zemního plynu a teplota ovzduší: I. čtvrtletí</v>
      </c>
      <c r="C21" s="48">
        <v>20</v>
      </c>
      <c r="E21" s="50" t="str">
        <f>'5.9'!A1</f>
        <v>5.9 Spotřeba zemního plynu a teplota ovzduší: I. čtvrtletí</v>
      </c>
    </row>
    <row r="22" spans="1:5" ht="14">
      <c r="A22" s="371" t="str">
        <f t="shared" si="0"/>
        <v>5.10</v>
      </c>
      <c r="B22" s="372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4">
      <c r="A23" s="371" t="str">
        <f t="shared" si="0"/>
        <v>6</v>
      </c>
      <c r="B23" s="372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4">
      <c r="A24" s="371" t="str">
        <f t="shared" si="0"/>
        <v>6.1</v>
      </c>
      <c r="B24" s="372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4">
      <c r="A25" s="371" t="str">
        <f t="shared" si="0"/>
        <v>6.2</v>
      </c>
      <c r="B25" s="372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4">
      <c r="A26" s="371" t="str">
        <f t="shared" si="0"/>
        <v>6.3</v>
      </c>
      <c r="B26" s="372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4">
      <c r="A27" s="371" t="str">
        <f t="shared" si="0"/>
        <v>6.4</v>
      </c>
      <c r="B27" s="372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4">
      <c r="A28" s="371" t="str">
        <f t="shared" si="0"/>
        <v>6.5</v>
      </c>
      <c r="B28" s="372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4">
      <c r="A29" s="371" t="str">
        <f t="shared" si="0"/>
        <v>6.6</v>
      </c>
      <c r="B29" s="372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4">
      <c r="A30" s="371" t="str">
        <f t="shared" si="0"/>
        <v>6.7</v>
      </c>
      <c r="B30" s="372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4">
      <c r="A31" s="371" t="str">
        <f t="shared" si="0"/>
        <v>6.8</v>
      </c>
      <c r="B31" s="372" t="str">
        <f t="shared" si="1"/>
        <v>Spotřeba zemního plynu a teplota ovzduší podle krajů: leden</v>
      </c>
      <c r="C31" s="48">
        <v>29</v>
      </c>
      <c r="E31" s="50" t="str">
        <f>'6.8'!A1</f>
        <v>6.8 Spotřeba zemního plynu a teplota ovzduší podle krajů: leden</v>
      </c>
    </row>
    <row r="32" spans="1:5" ht="14">
      <c r="A32" s="371" t="str">
        <f t="shared" si="0"/>
        <v>6.9</v>
      </c>
      <c r="B32" s="372" t="str">
        <f t="shared" si="1"/>
        <v>Spotřeba zemního plynu a teplota ovzduší podle krajů: únor</v>
      </c>
      <c r="C32" s="48">
        <v>30</v>
      </c>
      <c r="E32" s="50" t="str">
        <f>'6.9'!A1</f>
        <v>6.9 Spotřeba zemního plynu a teplota ovzduší podle krajů: únor</v>
      </c>
    </row>
    <row r="33" spans="1:5" ht="14">
      <c r="A33" s="371" t="str">
        <f t="shared" si="0"/>
        <v>6.10</v>
      </c>
      <c r="B33" s="372" t="str">
        <f t="shared" si="1"/>
        <v>Spotřeba zemního plynu a teplota ovzduší podle krajů: březen</v>
      </c>
      <c r="C33" s="48">
        <v>31</v>
      </c>
      <c r="E33" s="50" t="str">
        <f>'6.10'!A1</f>
        <v>6.10 Spotřeba zemního plynu a teplota ovzduší podle krajů: březen</v>
      </c>
    </row>
    <row r="34" spans="1:5" ht="14">
      <c r="A34" s="371" t="str">
        <f t="shared" si="0"/>
        <v>6.11</v>
      </c>
      <c r="B34" s="372" t="str">
        <f t="shared" si="1"/>
        <v>Spotřeba zemního plynu a teplota ovzduší podle krajů: I. čtvrtletí</v>
      </c>
      <c r="C34" s="48">
        <v>32</v>
      </c>
      <c r="E34" s="50" t="str">
        <f>'6.11'!A1</f>
        <v>6.11 Spotřeba zemního plynu a teplota ovzduší podle krajů: I. čtvrtletí</v>
      </c>
    </row>
    <row r="35" spans="1:5" ht="14">
      <c r="A35" s="371" t="str">
        <f t="shared" si="0"/>
        <v>6.12</v>
      </c>
      <c r="B35" s="372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4">
      <c r="A36" s="371" t="str">
        <f t="shared" si="0"/>
        <v>7</v>
      </c>
      <c r="B36" s="372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E1" sqref="E1"/>
    </sheetView>
  </sheetViews>
  <sheetFormatPr defaultRowHeight="10"/>
  <cols>
    <col min="1" max="1" width="9.7265625" style="12" customWidth="1"/>
    <col min="2" max="10" width="8.81640625" style="12" customWidth="1"/>
    <col min="11" max="11" width="9" style="12" customWidth="1"/>
    <col min="12" max="12" width="9.26953125" style="12" bestFit="1" customWidth="1"/>
    <col min="13" max="13" width="11.453125" style="12" bestFit="1" customWidth="1"/>
    <col min="14" max="252" width="9.1796875" style="12"/>
    <col min="253" max="265" width="10.7265625" style="12" customWidth="1"/>
    <col min="266" max="508" width="9.1796875" style="12"/>
    <col min="509" max="521" width="10.7265625" style="12" customWidth="1"/>
    <col min="522" max="764" width="9.1796875" style="12"/>
    <col min="765" max="777" width="10.7265625" style="12" customWidth="1"/>
    <col min="778" max="1020" width="9.1796875" style="12"/>
    <col min="1021" max="1033" width="10.7265625" style="12" customWidth="1"/>
    <col min="1034" max="1276" width="9.1796875" style="12"/>
    <col min="1277" max="1289" width="10.7265625" style="12" customWidth="1"/>
    <col min="1290" max="1532" width="9.1796875" style="12"/>
    <col min="1533" max="1545" width="10.7265625" style="12" customWidth="1"/>
    <col min="1546" max="1788" width="9.1796875" style="12"/>
    <col min="1789" max="1801" width="10.7265625" style="12" customWidth="1"/>
    <col min="1802" max="2044" width="9.1796875" style="12"/>
    <col min="2045" max="2057" width="10.7265625" style="12" customWidth="1"/>
    <col min="2058" max="2300" width="9.1796875" style="12"/>
    <col min="2301" max="2313" width="10.7265625" style="12" customWidth="1"/>
    <col min="2314" max="2556" width="9.1796875" style="12"/>
    <col min="2557" max="2569" width="10.7265625" style="12" customWidth="1"/>
    <col min="2570" max="2812" width="9.1796875" style="12"/>
    <col min="2813" max="2825" width="10.7265625" style="12" customWidth="1"/>
    <col min="2826" max="3068" width="9.1796875" style="12"/>
    <col min="3069" max="3081" width="10.7265625" style="12" customWidth="1"/>
    <col min="3082" max="3324" width="9.1796875" style="12"/>
    <col min="3325" max="3337" width="10.7265625" style="12" customWidth="1"/>
    <col min="3338" max="3580" width="9.1796875" style="12"/>
    <col min="3581" max="3593" width="10.7265625" style="12" customWidth="1"/>
    <col min="3594" max="3836" width="9.1796875" style="12"/>
    <col min="3837" max="3849" width="10.7265625" style="12" customWidth="1"/>
    <col min="3850" max="4092" width="9.1796875" style="12"/>
    <col min="4093" max="4105" width="10.7265625" style="12" customWidth="1"/>
    <col min="4106" max="4348" width="9.1796875" style="12"/>
    <col min="4349" max="4361" width="10.7265625" style="12" customWidth="1"/>
    <col min="4362" max="4604" width="9.1796875" style="12"/>
    <col min="4605" max="4617" width="10.7265625" style="12" customWidth="1"/>
    <col min="4618" max="4860" width="9.1796875" style="12"/>
    <col min="4861" max="4873" width="10.7265625" style="12" customWidth="1"/>
    <col min="4874" max="5116" width="9.1796875" style="12"/>
    <col min="5117" max="5129" width="10.7265625" style="12" customWidth="1"/>
    <col min="5130" max="5372" width="9.1796875" style="12"/>
    <col min="5373" max="5385" width="10.7265625" style="12" customWidth="1"/>
    <col min="5386" max="5628" width="9.1796875" style="12"/>
    <col min="5629" max="5641" width="10.7265625" style="12" customWidth="1"/>
    <col min="5642" max="5884" width="9.1796875" style="12"/>
    <col min="5885" max="5897" width="10.7265625" style="12" customWidth="1"/>
    <col min="5898" max="6140" width="9.1796875" style="12"/>
    <col min="6141" max="6153" width="10.7265625" style="12" customWidth="1"/>
    <col min="6154" max="6396" width="9.1796875" style="12"/>
    <col min="6397" max="6409" width="10.7265625" style="12" customWidth="1"/>
    <col min="6410" max="6652" width="9.1796875" style="12"/>
    <col min="6653" max="6665" width="10.7265625" style="12" customWidth="1"/>
    <col min="6666" max="6908" width="9.1796875" style="12"/>
    <col min="6909" max="6921" width="10.7265625" style="12" customWidth="1"/>
    <col min="6922" max="7164" width="9.1796875" style="12"/>
    <col min="7165" max="7177" width="10.7265625" style="12" customWidth="1"/>
    <col min="7178" max="7420" width="9.1796875" style="12"/>
    <col min="7421" max="7433" width="10.7265625" style="12" customWidth="1"/>
    <col min="7434" max="7676" width="9.1796875" style="12"/>
    <col min="7677" max="7689" width="10.7265625" style="12" customWidth="1"/>
    <col min="7690" max="7932" width="9.1796875" style="12"/>
    <col min="7933" max="7945" width="10.7265625" style="12" customWidth="1"/>
    <col min="7946" max="8188" width="9.1796875" style="12"/>
    <col min="8189" max="8201" width="10.7265625" style="12" customWidth="1"/>
    <col min="8202" max="8444" width="9.1796875" style="12"/>
    <col min="8445" max="8457" width="10.7265625" style="12" customWidth="1"/>
    <col min="8458" max="8700" width="9.1796875" style="12"/>
    <col min="8701" max="8713" width="10.7265625" style="12" customWidth="1"/>
    <col min="8714" max="8956" width="9.1796875" style="12"/>
    <col min="8957" max="8969" width="10.7265625" style="12" customWidth="1"/>
    <col min="8970" max="9212" width="9.1796875" style="12"/>
    <col min="9213" max="9225" width="10.7265625" style="12" customWidth="1"/>
    <col min="9226" max="9468" width="9.1796875" style="12"/>
    <col min="9469" max="9481" width="10.7265625" style="12" customWidth="1"/>
    <col min="9482" max="9724" width="9.1796875" style="12"/>
    <col min="9725" max="9737" width="10.7265625" style="12" customWidth="1"/>
    <col min="9738" max="9980" width="9.1796875" style="12"/>
    <col min="9981" max="9993" width="10.7265625" style="12" customWidth="1"/>
    <col min="9994" max="10236" width="9.1796875" style="12"/>
    <col min="10237" max="10249" width="10.7265625" style="12" customWidth="1"/>
    <col min="10250" max="10492" width="9.1796875" style="12"/>
    <col min="10493" max="10505" width="10.7265625" style="12" customWidth="1"/>
    <col min="10506" max="10748" width="9.1796875" style="12"/>
    <col min="10749" max="10761" width="10.7265625" style="12" customWidth="1"/>
    <col min="10762" max="11004" width="9.1796875" style="12"/>
    <col min="11005" max="11017" width="10.7265625" style="12" customWidth="1"/>
    <col min="11018" max="11260" width="9.1796875" style="12"/>
    <col min="11261" max="11273" width="10.7265625" style="12" customWidth="1"/>
    <col min="11274" max="11516" width="9.1796875" style="12"/>
    <col min="11517" max="11529" width="10.7265625" style="12" customWidth="1"/>
    <col min="11530" max="11772" width="9.1796875" style="12"/>
    <col min="11773" max="11785" width="10.7265625" style="12" customWidth="1"/>
    <col min="11786" max="12028" width="9.1796875" style="12"/>
    <col min="12029" max="12041" width="10.7265625" style="12" customWidth="1"/>
    <col min="12042" max="12284" width="9.1796875" style="12"/>
    <col min="12285" max="12297" width="10.7265625" style="12" customWidth="1"/>
    <col min="12298" max="12540" width="9.1796875" style="12"/>
    <col min="12541" max="12553" width="10.7265625" style="12" customWidth="1"/>
    <col min="12554" max="12796" width="9.1796875" style="12"/>
    <col min="12797" max="12809" width="10.7265625" style="12" customWidth="1"/>
    <col min="12810" max="13052" width="9.1796875" style="12"/>
    <col min="13053" max="13065" width="10.7265625" style="12" customWidth="1"/>
    <col min="13066" max="13308" width="9.1796875" style="12"/>
    <col min="13309" max="13321" width="10.7265625" style="12" customWidth="1"/>
    <col min="13322" max="13564" width="9.1796875" style="12"/>
    <col min="13565" max="13577" width="10.7265625" style="12" customWidth="1"/>
    <col min="13578" max="13820" width="9.1796875" style="12"/>
    <col min="13821" max="13833" width="10.7265625" style="12" customWidth="1"/>
    <col min="13834" max="14076" width="9.1796875" style="12"/>
    <col min="14077" max="14089" width="10.7265625" style="12" customWidth="1"/>
    <col min="14090" max="14332" width="9.1796875" style="12"/>
    <col min="14333" max="14345" width="10.7265625" style="12" customWidth="1"/>
    <col min="14346" max="14588" width="9.1796875" style="12"/>
    <col min="14589" max="14601" width="10.7265625" style="12" customWidth="1"/>
    <col min="14602" max="14844" width="9.1796875" style="12"/>
    <col min="14845" max="14857" width="10.7265625" style="12" customWidth="1"/>
    <col min="14858" max="15100" width="9.1796875" style="12"/>
    <col min="15101" max="15113" width="10.7265625" style="12" customWidth="1"/>
    <col min="15114" max="15356" width="9.1796875" style="12"/>
    <col min="15357" max="15369" width="10.7265625" style="12" customWidth="1"/>
    <col min="15370" max="15612" width="9.1796875" style="12"/>
    <col min="15613" max="15625" width="10.7265625" style="12" customWidth="1"/>
    <col min="15626" max="15868" width="9.1796875" style="12"/>
    <col min="15869" max="15881" width="10.7265625" style="12" customWidth="1"/>
    <col min="15882" max="16124" width="9.1796875" style="12"/>
    <col min="16125" max="16137" width="10.7265625" style="12" customWidth="1"/>
    <col min="16138" max="16384" width="9.1796875" style="12"/>
  </cols>
  <sheetData>
    <row r="1" spans="1:15" ht="18">
      <c r="A1" s="461" t="s">
        <v>300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</row>
    <row r="2" spans="1:15" ht="6" customHeight="1">
      <c r="A2" s="533"/>
      <c r="B2" s="534"/>
      <c r="C2" s="534"/>
      <c r="D2" s="534"/>
      <c r="E2" s="534"/>
      <c r="F2" s="534"/>
      <c r="G2" s="534"/>
      <c r="H2" s="534"/>
      <c r="I2" s="534"/>
      <c r="J2" s="208"/>
      <c r="K2" s="207"/>
    </row>
    <row r="3" spans="1:15" ht="20.149999999999999" customHeight="1">
      <c r="A3" s="336">
        <f>'3.1'!A4</f>
        <v>2024</v>
      </c>
      <c r="B3" s="467" t="s">
        <v>274</v>
      </c>
      <c r="C3" s="470"/>
      <c r="D3" s="470"/>
      <c r="E3" s="470"/>
      <c r="F3" s="469"/>
      <c r="G3" s="467" t="s">
        <v>275</v>
      </c>
      <c r="H3" s="470"/>
      <c r="I3" s="470"/>
      <c r="J3" s="470"/>
      <c r="K3" s="470"/>
    </row>
    <row r="4" spans="1:15" ht="67.5" customHeight="1">
      <c r="A4" s="337"/>
      <c r="B4" s="338" t="s">
        <v>83</v>
      </c>
      <c r="C4" s="234" t="s">
        <v>89</v>
      </c>
      <c r="D4" s="234" t="s">
        <v>210</v>
      </c>
      <c r="E4" s="234" t="s">
        <v>84</v>
      </c>
      <c r="F4" s="339" t="s">
        <v>82</v>
      </c>
      <c r="G4" s="338" t="s">
        <v>83</v>
      </c>
      <c r="H4" s="234" t="s">
        <v>89</v>
      </c>
      <c r="I4" s="234" t="s">
        <v>210</v>
      </c>
      <c r="J4" s="234" t="s">
        <v>84</v>
      </c>
      <c r="K4" s="234" t="s">
        <v>82</v>
      </c>
    </row>
    <row r="5" spans="1:15" ht="18" customHeight="1">
      <c r="A5" s="176" t="s">
        <v>160</v>
      </c>
      <c r="B5" s="240">
        <v>127107.811328485</v>
      </c>
      <c r="C5" s="235">
        <v>843340.56519851869</v>
      </c>
      <c r="D5" s="236">
        <v>40978.987000000001</v>
      </c>
      <c r="E5" s="236">
        <v>40367.884760000001</v>
      </c>
      <c r="F5" s="242">
        <v>1051795.2482870037</v>
      </c>
      <c r="G5" s="334">
        <v>1386119.134508945</v>
      </c>
      <c r="H5" s="236">
        <v>9189040.019890001</v>
      </c>
      <c r="I5" s="236">
        <v>446491.16034999996</v>
      </c>
      <c r="J5" s="236">
        <v>440505.94417399995</v>
      </c>
      <c r="K5" s="236">
        <v>11462156.258922946</v>
      </c>
      <c r="L5" s="56"/>
      <c r="M5" s="57"/>
      <c r="N5" s="57"/>
      <c r="O5" s="57"/>
    </row>
    <row r="6" spans="1:15" ht="18" customHeight="1">
      <c r="A6" s="176" t="s">
        <v>161</v>
      </c>
      <c r="B6" s="240">
        <v>82173.813024621995</v>
      </c>
      <c r="C6" s="236">
        <v>585500.47593778314</v>
      </c>
      <c r="D6" s="236">
        <v>28275.402330000004</v>
      </c>
      <c r="E6" s="236">
        <v>11937.50671</v>
      </c>
      <c r="F6" s="242">
        <v>707887.19800240512</v>
      </c>
      <c r="G6" s="334">
        <v>897286.96135804208</v>
      </c>
      <c r="H6" s="236">
        <v>6374501.5792199988</v>
      </c>
      <c r="I6" s="236">
        <v>308026.55420000001</v>
      </c>
      <c r="J6" s="236">
        <v>130694.58998300003</v>
      </c>
      <c r="K6" s="236">
        <v>7710509.6847610418</v>
      </c>
      <c r="L6" s="58"/>
      <c r="M6" s="57"/>
      <c r="N6" s="57"/>
      <c r="O6" s="57"/>
    </row>
    <row r="7" spans="1:15" ht="18" customHeight="1">
      <c r="A7" s="179" t="s">
        <v>162</v>
      </c>
      <c r="B7" s="241">
        <v>71973.185295773001</v>
      </c>
      <c r="C7" s="239">
        <v>537865.09998130566</v>
      </c>
      <c r="D7" s="239">
        <v>25675.688989999999</v>
      </c>
      <c r="E7" s="239">
        <v>19425.933699999998</v>
      </c>
      <c r="F7" s="243">
        <v>654939.90796707873</v>
      </c>
      <c r="G7" s="335">
        <v>783957.869663944</v>
      </c>
      <c r="H7" s="239">
        <v>5847263.6398100005</v>
      </c>
      <c r="I7" s="239">
        <v>279717.80323999992</v>
      </c>
      <c r="J7" s="239">
        <v>213496.76102200002</v>
      </c>
      <c r="K7" s="239">
        <v>7124436.073735944</v>
      </c>
      <c r="L7" s="59"/>
      <c r="M7" s="57"/>
      <c r="N7" s="57"/>
      <c r="O7" s="57"/>
    </row>
    <row r="8" spans="1:15" ht="18" customHeight="1">
      <c r="A8" s="176" t="s">
        <v>163</v>
      </c>
      <c r="B8" s="240"/>
      <c r="C8" s="236"/>
      <c r="D8" s="236"/>
      <c r="E8" s="236"/>
      <c r="F8" s="242"/>
      <c r="G8" s="334"/>
      <c r="H8" s="236"/>
      <c r="I8" s="236"/>
      <c r="J8" s="236"/>
      <c r="K8" s="236"/>
      <c r="L8" s="58"/>
      <c r="M8" s="57"/>
      <c r="N8" s="57"/>
      <c r="O8" s="57"/>
    </row>
    <row r="9" spans="1:15" ht="18" customHeight="1">
      <c r="A9" s="176" t="s">
        <v>164</v>
      </c>
      <c r="B9" s="240"/>
      <c r="C9" s="236"/>
      <c r="D9" s="236"/>
      <c r="E9" s="236"/>
      <c r="F9" s="242"/>
      <c r="G9" s="334"/>
      <c r="H9" s="236"/>
      <c r="I9" s="236"/>
      <c r="J9" s="236"/>
      <c r="K9" s="236"/>
      <c r="L9" s="58"/>
      <c r="M9" s="57"/>
      <c r="N9" s="57"/>
      <c r="O9" s="57"/>
    </row>
    <row r="10" spans="1:15" ht="18" customHeight="1">
      <c r="A10" s="179" t="s">
        <v>165</v>
      </c>
      <c r="B10" s="241"/>
      <c r="C10" s="239"/>
      <c r="D10" s="239"/>
      <c r="E10" s="239"/>
      <c r="F10" s="243"/>
      <c r="G10" s="335"/>
      <c r="H10" s="239"/>
      <c r="I10" s="239"/>
      <c r="J10" s="239"/>
      <c r="K10" s="239"/>
      <c r="L10" s="58"/>
      <c r="M10" s="57"/>
      <c r="N10" s="57"/>
      <c r="O10" s="57"/>
    </row>
    <row r="11" spans="1:15" ht="18" customHeight="1">
      <c r="A11" s="176" t="s">
        <v>166</v>
      </c>
      <c r="B11" s="240"/>
      <c r="C11" s="236"/>
      <c r="D11" s="236"/>
      <c r="E11" s="236"/>
      <c r="F11" s="242"/>
      <c r="G11" s="334"/>
      <c r="H11" s="236"/>
      <c r="I11" s="236"/>
      <c r="J11" s="236"/>
      <c r="K11" s="236"/>
      <c r="L11" s="58"/>
      <c r="M11" s="57"/>
      <c r="N11" s="57"/>
      <c r="O11" s="57"/>
    </row>
    <row r="12" spans="1:15" ht="18" customHeight="1">
      <c r="A12" s="176" t="s">
        <v>167</v>
      </c>
      <c r="B12" s="240"/>
      <c r="C12" s="236"/>
      <c r="D12" s="236"/>
      <c r="E12" s="236"/>
      <c r="F12" s="242"/>
      <c r="G12" s="334"/>
      <c r="H12" s="236"/>
      <c r="I12" s="236"/>
      <c r="J12" s="236"/>
      <c r="K12" s="236"/>
      <c r="L12" s="58"/>
      <c r="M12" s="57"/>
      <c r="N12" s="57"/>
      <c r="O12" s="57"/>
    </row>
    <row r="13" spans="1:15" ht="18" customHeight="1">
      <c r="A13" s="179" t="s">
        <v>168</v>
      </c>
      <c r="B13" s="241"/>
      <c r="C13" s="239"/>
      <c r="D13" s="239"/>
      <c r="E13" s="239"/>
      <c r="F13" s="243"/>
      <c r="G13" s="335"/>
      <c r="H13" s="239"/>
      <c r="I13" s="239"/>
      <c r="J13" s="239"/>
      <c r="K13" s="239"/>
      <c r="L13" s="58"/>
      <c r="M13" s="57"/>
      <c r="N13" s="57"/>
      <c r="O13" s="57"/>
    </row>
    <row r="14" spans="1:15" ht="18" customHeight="1">
      <c r="A14" s="176" t="s">
        <v>169</v>
      </c>
      <c r="B14" s="240"/>
      <c r="C14" s="236"/>
      <c r="D14" s="236"/>
      <c r="E14" s="236"/>
      <c r="F14" s="242"/>
      <c r="G14" s="334"/>
      <c r="H14" s="236"/>
      <c r="I14" s="236"/>
      <c r="J14" s="236"/>
      <c r="K14" s="236"/>
      <c r="L14" s="58"/>
      <c r="M14" s="57"/>
      <c r="N14" s="57"/>
      <c r="O14" s="57"/>
    </row>
    <row r="15" spans="1:15" ht="18" customHeight="1">
      <c r="A15" s="176" t="s">
        <v>170</v>
      </c>
      <c r="B15" s="240"/>
      <c r="C15" s="236"/>
      <c r="D15" s="236"/>
      <c r="E15" s="236"/>
      <c r="F15" s="242"/>
      <c r="G15" s="334"/>
      <c r="H15" s="236"/>
      <c r="I15" s="236"/>
      <c r="J15" s="236"/>
      <c r="K15" s="236"/>
      <c r="L15" s="58"/>
      <c r="M15" s="57"/>
      <c r="N15" s="57"/>
      <c r="O15" s="57"/>
    </row>
    <row r="16" spans="1:15" ht="18" customHeight="1">
      <c r="A16" s="179" t="s">
        <v>171</v>
      </c>
      <c r="B16" s="241"/>
      <c r="C16" s="239"/>
      <c r="D16" s="239"/>
      <c r="E16" s="239"/>
      <c r="F16" s="243"/>
      <c r="G16" s="335"/>
      <c r="H16" s="239"/>
      <c r="I16" s="239"/>
      <c r="J16" s="239"/>
      <c r="K16" s="239"/>
      <c r="L16" s="58"/>
      <c r="M16" s="57"/>
      <c r="N16" s="57"/>
      <c r="O16" s="57"/>
    </row>
    <row r="17" spans="1:11" ht="18" customHeight="1">
      <c r="A17" s="176" t="s">
        <v>48</v>
      </c>
      <c r="B17" s="240">
        <f>SUM(B5:B7)</f>
        <v>281254.80964888004</v>
      </c>
      <c r="C17" s="235">
        <f>SUM(C5:C7)</f>
        <v>1966706.1411176075</v>
      </c>
      <c r="D17" s="235">
        <f t="shared" ref="D17:J17" si="0">SUM(D5:D7)</f>
        <v>94930.078320000001</v>
      </c>
      <c r="E17" s="235">
        <f t="shared" si="0"/>
        <v>71731.325169999996</v>
      </c>
      <c r="F17" s="244">
        <f t="shared" si="0"/>
        <v>2414622.3542564875</v>
      </c>
      <c r="G17" s="240">
        <f t="shared" si="0"/>
        <v>3067363.965530931</v>
      </c>
      <c r="H17" s="235">
        <f t="shared" si="0"/>
        <v>21410805.238919999</v>
      </c>
      <c r="I17" s="235">
        <f t="shared" si="0"/>
        <v>1034235.5177899998</v>
      </c>
      <c r="J17" s="235">
        <f t="shared" si="0"/>
        <v>784697.29517900001</v>
      </c>
      <c r="K17" s="235">
        <f>SUM(K5:K7)</f>
        <v>26297102.017419934</v>
      </c>
    </row>
    <row r="18" spans="1:11" ht="18" customHeight="1">
      <c r="A18" s="176" t="s">
        <v>56</v>
      </c>
      <c r="B18" s="415">
        <f>SUM(B8:B10)</f>
        <v>0</v>
      </c>
      <c r="C18" s="416">
        <f>SUM(C8:C10)</f>
        <v>0</v>
      </c>
      <c r="D18" s="416">
        <f t="shared" ref="D18:J18" si="1">SUM(D8:D10)</f>
        <v>0</v>
      </c>
      <c r="E18" s="416">
        <f t="shared" si="1"/>
        <v>0</v>
      </c>
      <c r="F18" s="417">
        <f t="shared" si="1"/>
        <v>0</v>
      </c>
      <c r="G18" s="415">
        <f t="shared" si="1"/>
        <v>0</v>
      </c>
      <c r="H18" s="416">
        <f t="shared" si="1"/>
        <v>0</v>
      </c>
      <c r="I18" s="416">
        <f t="shared" si="1"/>
        <v>0</v>
      </c>
      <c r="J18" s="416">
        <f t="shared" si="1"/>
        <v>0</v>
      </c>
      <c r="K18" s="416">
        <f>SUM(K8:K10)</f>
        <v>0</v>
      </c>
    </row>
    <row r="19" spans="1:11" ht="18" customHeight="1">
      <c r="A19" s="176" t="s">
        <v>63</v>
      </c>
      <c r="B19" s="415">
        <f>SUM(B11:B13)</f>
        <v>0</v>
      </c>
      <c r="C19" s="416">
        <f>SUM(C11:C13)</f>
        <v>0</v>
      </c>
      <c r="D19" s="416">
        <f t="shared" ref="D19:J19" si="2">SUM(D11:D13)</f>
        <v>0</v>
      </c>
      <c r="E19" s="416">
        <f t="shared" si="2"/>
        <v>0</v>
      </c>
      <c r="F19" s="417">
        <f t="shared" si="2"/>
        <v>0</v>
      </c>
      <c r="G19" s="415">
        <f t="shared" si="2"/>
        <v>0</v>
      </c>
      <c r="H19" s="416">
        <f t="shared" si="2"/>
        <v>0</v>
      </c>
      <c r="I19" s="416">
        <f t="shared" si="2"/>
        <v>0</v>
      </c>
      <c r="J19" s="416">
        <f t="shared" si="2"/>
        <v>0</v>
      </c>
      <c r="K19" s="416">
        <f>SUM(K11:K13)</f>
        <v>0</v>
      </c>
    </row>
    <row r="20" spans="1:11" ht="18" customHeight="1">
      <c r="A20" s="179" t="s">
        <v>57</v>
      </c>
      <c r="B20" s="418">
        <f>SUM(B14:B16)</f>
        <v>0</v>
      </c>
      <c r="C20" s="419">
        <f>SUM(C14:C16)</f>
        <v>0</v>
      </c>
      <c r="D20" s="419">
        <f t="shared" ref="D20:J20" si="3">SUM(D14:D16)</f>
        <v>0</v>
      </c>
      <c r="E20" s="419">
        <f t="shared" si="3"/>
        <v>0</v>
      </c>
      <c r="F20" s="420">
        <f t="shared" si="3"/>
        <v>0</v>
      </c>
      <c r="G20" s="418">
        <f t="shared" si="3"/>
        <v>0</v>
      </c>
      <c r="H20" s="419">
        <f t="shared" si="3"/>
        <v>0</v>
      </c>
      <c r="I20" s="419">
        <f t="shared" si="3"/>
        <v>0</v>
      </c>
      <c r="J20" s="419">
        <f t="shared" si="3"/>
        <v>0</v>
      </c>
      <c r="K20" s="419">
        <f>SUM(K14:K16)</f>
        <v>0</v>
      </c>
    </row>
    <row r="21" spans="1:11" ht="18" customHeight="1">
      <c r="A21" s="176" t="s">
        <v>58</v>
      </c>
      <c r="B21" s="415">
        <f>SUM(B5:B10)</f>
        <v>281254.80964888004</v>
      </c>
      <c r="C21" s="416">
        <f>SUM(C5:C10)</f>
        <v>1966706.1411176075</v>
      </c>
      <c r="D21" s="416">
        <f t="shared" ref="D21:J21" si="4">SUM(D5:D10)</f>
        <v>94930.078320000001</v>
      </c>
      <c r="E21" s="416">
        <f t="shared" si="4"/>
        <v>71731.325169999996</v>
      </c>
      <c r="F21" s="417">
        <f t="shared" si="4"/>
        <v>2414622.3542564875</v>
      </c>
      <c r="G21" s="415">
        <f t="shared" si="4"/>
        <v>3067363.965530931</v>
      </c>
      <c r="H21" s="416">
        <f t="shared" si="4"/>
        <v>21410805.238919999</v>
      </c>
      <c r="I21" s="416">
        <f t="shared" si="4"/>
        <v>1034235.5177899998</v>
      </c>
      <c r="J21" s="416">
        <f t="shared" si="4"/>
        <v>784697.29517900001</v>
      </c>
      <c r="K21" s="416">
        <f>SUM(K5:K10)</f>
        <v>26297102.017419934</v>
      </c>
    </row>
    <row r="22" spans="1:11" ht="18" customHeight="1">
      <c r="A22" s="179" t="s">
        <v>59</v>
      </c>
      <c r="B22" s="418">
        <f>SUM(B11:B16)</f>
        <v>0</v>
      </c>
      <c r="C22" s="419">
        <f>SUM(C11:C16)</f>
        <v>0</v>
      </c>
      <c r="D22" s="419">
        <f t="shared" ref="D22:J22" si="5">SUM(D11:D16)</f>
        <v>0</v>
      </c>
      <c r="E22" s="419">
        <f t="shared" si="5"/>
        <v>0</v>
      </c>
      <c r="F22" s="420">
        <f t="shared" si="5"/>
        <v>0</v>
      </c>
      <c r="G22" s="418">
        <f t="shared" si="5"/>
        <v>0</v>
      </c>
      <c r="H22" s="419">
        <f t="shared" si="5"/>
        <v>0</v>
      </c>
      <c r="I22" s="419">
        <f t="shared" si="5"/>
        <v>0</v>
      </c>
      <c r="J22" s="419">
        <f t="shared" si="5"/>
        <v>0</v>
      </c>
      <c r="K22" s="419">
        <f>SUM(K11:K16)</f>
        <v>0</v>
      </c>
    </row>
    <row r="23" spans="1:11" ht="18" customHeight="1">
      <c r="A23" s="216" t="s">
        <v>172</v>
      </c>
      <c r="B23" s="421">
        <f>SUM(B5:B16)</f>
        <v>281254.80964888004</v>
      </c>
      <c r="C23" s="422">
        <f>SUM(C5:C16)</f>
        <v>1966706.1411176075</v>
      </c>
      <c r="D23" s="422">
        <f t="shared" ref="D23:J23" si="6">SUM(D5:D16)</f>
        <v>94930.078320000001</v>
      </c>
      <c r="E23" s="422">
        <f t="shared" si="6"/>
        <v>71731.325169999996</v>
      </c>
      <c r="F23" s="423">
        <f t="shared" si="6"/>
        <v>2414622.3542564875</v>
      </c>
      <c r="G23" s="421">
        <f t="shared" si="6"/>
        <v>3067363.965530931</v>
      </c>
      <c r="H23" s="422">
        <f t="shared" si="6"/>
        <v>21410805.238919999</v>
      </c>
      <c r="I23" s="422">
        <f t="shared" si="6"/>
        <v>1034235.5177899998</v>
      </c>
      <c r="J23" s="422">
        <f t="shared" si="6"/>
        <v>784697.29517900001</v>
      </c>
      <c r="K23" s="422">
        <f>SUM(K5:K16)</f>
        <v>26297102.017419934</v>
      </c>
    </row>
    <row r="25" spans="1:11" ht="12" customHeight="1">
      <c r="A25" s="532" t="s">
        <v>276</v>
      </c>
      <c r="B25" s="532"/>
      <c r="C25" s="532"/>
      <c r="D25" s="532"/>
      <c r="E25" s="532"/>
      <c r="F25" s="532"/>
      <c r="G25" s="532"/>
      <c r="H25" s="532"/>
      <c r="I25" s="532"/>
      <c r="J25" s="532"/>
      <c r="K25" s="532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281254.80964888004</v>
      </c>
      <c r="F31" s="12">
        <f t="shared" si="8"/>
        <v>1966706.1411176075</v>
      </c>
      <c r="G31" s="12">
        <f t="shared" si="8"/>
        <v>94930.078320000001</v>
      </c>
      <c r="H31" s="12">
        <f t="shared" si="8"/>
        <v>71731.325169999996</v>
      </c>
    </row>
    <row r="32" spans="1:11" ht="12" customHeight="1">
      <c r="D32" s="12" t="str">
        <f t="shared" ref="D32:D34" si="9">A18</f>
        <v>II. čtvrtletí</v>
      </c>
      <c r="E32" s="12">
        <f t="shared" si="8"/>
        <v>0</v>
      </c>
      <c r="F32" s="12">
        <f t="shared" si="8"/>
        <v>0</v>
      </c>
      <c r="G32" s="12">
        <f t="shared" si="8"/>
        <v>0</v>
      </c>
      <c r="H32" s="12">
        <f t="shared" si="8"/>
        <v>0</v>
      </c>
    </row>
    <row r="33" spans="4:8" ht="12" customHeight="1">
      <c r="D33" s="12" t="str">
        <f t="shared" si="9"/>
        <v>III. čtvrtletí</v>
      </c>
      <c r="E33" s="12">
        <f t="shared" si="8"/>
        <v>0</v>
      </c>
      <c r="F33" s="12">
        <f t="shared" si="8"/>
        <v>0</v>
      </c>
      <c r="G33" s="12">
        <f t="shared" si="8"/>
        <v>0</v>
      </c>
      <c r="H33" s="12">
        <f t="shared" si="8"/>
        <v>0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7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39" ht="20">
      <c r="A1" s="55" t="s">
        <v>288</v>
      </c>
    </row>
    <row r="2" spans="1:39" s="102" customFormat="1" ht="18">
      <c r="A2" s="515" t="s">
        <v>301</v>
      </c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39" ht="6" customHeight="1">
      <c r="A3" s="535"/>
      <c r="B3" s="535"/>
      <c r="C3" s="535"/>
      <c r="D3" s="300"/>
      <c r="E3" s="300"/>
      <c r="F3" s="301"/>
      <c r="G3" s="302"/>
      <c r="H3" s="302"/>
      <c r="I3" s="302"/>
      <c r="J3" s="76"/>
      <c r="K3" s="76"/>
    </row>
    <row r="4" spans="1:39" ht="13" customHeight="1">
      <c r="A4" s="507" t="s">
        <v>35</v>
      </c>
      <c r="B4" s="507"/>
      <c r="C4" s="507"/>
      <c r="D4" s="501">
        <f>'3.1'!A4</f>
        <v>2024</v>
      </c>
      <c r="E4" s="353"/>
      <c r="F4" s="342"/>
      <c r="G4" s="342"/>
      <c r="H4" s="342"/>
      <c r="I4" s="501">
        <f>D4-1</f>
        <v>2023</v>
      </c>
      <c r="J4" s="502"/>
      <c r="K4" s="502"/>
    </row>
    <row r="5" spans="1:39" ht="25" customHeight="1">
      <c r="A5" s="354"/>
      <c r="B5" s="354"/>
      <c r="C5" s="354"/>
      <c r="D5" s="503"/>
      <c r="E5" s="355"/>
      <c r="F5" s="356"/>
      <c r="G5" s="356"/>
      <c r="H5" s="357"/>
      <c r="I5" s="503"/>
      <c r="J5" s="504"/>
      <c r="K5" s="504"/>
    </row>
    <row r="6" spans="1:39" ht="25" customHeight="1">
      <c r="A6" s="304"/>
      <c r="B6" s="272"/>
      <c r="C6" s="305"/>
      <c r="D6" s="364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39" ht="25" customHeight="1">
      <c r="A7" s="304"/>
      <c r="B7" s="306"/>
      <c r="D7" s="365"/>
      <c r="E7" s="499"/>
      <c r="F7" s="499"/>
      <c r="G7" s="500"/>
      <c r="H7" s="500"/>
      <c r="I7" s="498"/>
      <c r="J7" s="499"/>
      <c r="K7" s="500"/>
    </row>
    <row r="8" spans="1:39" ht="15" customHeight="1">
      <c r="A8" s="508" t="s">
        <v>158</v>
      </c>
      <c r="B8" s="508"/>
      <c r="C8" s="323" t="s">
        <v>184</v>
      </c>
      <c r="D8" s="343"/>
      <c r="E8" s="219" t="s">
        <v>259</v>
      </c>
      <c r="F8" s="219" t="s">
        <v>260</v>
      </c>
      <c r="G8" s="487"/>
      <c r="H8" s="487"/>
      <c r="I8" s="221" t="s">
        <v>259</v>
      </c>
      <c r="J8" s="219" t="s">
        <v>260</v>
      </c>
      <c r="K8" s="487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5" customHeight="1">
      <c r="A9" s="442" t="str">
        <f>'3.1'!D5</f>
        <v>Leden</v>
      </c>
      <c r="B9" s="442"/>
      <c r="C9" s="164" t="s">
        <v>4</v>
      </c>
      <c r="D9" s="312">
        <v>67</v>
      </c>
      <c r="E9" s="308">
        <v>7792.2124700000004</v>
      </c>
      <c r="F9" s="308">
        <v>84900.83021</v>
      </c>
      <c r="G9" s="309">
        <f>E9/$E$14</f>
        <v>0.21871424907551543</v>
      </c>
      <c r="H9" s="309">
        <f>(E9-I9)/I9</f>
        <v>-9.8520833573389546E-2</v>
      </c>
      <c r="I9" s="312">
        <v>8643.8076000000001</v>
      </c>
      <c r="J9" s="308">
        <v>94538.18806</v>
      </c>
      <c r="K9" s="309">
        <f>I9/$I$14</f>
        <v>0.27634970102532924</v>
      </c>
      <c r="N9" s="77"/>
      <c r="O9" s="77"/>
      <c r="P9" s="77"/>
      <c r="Q9" s="77"/>
      <c r="R9" s="77"/>
      <c r="S9" s="77"/>
      <c r="T9" s="77"/>
      <c r="U9" s="103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3"/>
    </row>
    <row r="10" spans="1:39" ht="11.15" customHeight="1">
      <c r="A10" s="443"/>
      <c r="B10" s="443"/>
      <c r="C10" s="154" t="s">
        <v>5</v>
      </c>
      <c r="D10" s="313">
        <v>289</v>
      </c>
      <c r="E10" s="129">
        <v>5019.1529</v>
      </c>
      <c r="F10" s="129">
        <v>54686.445499999994</v>
      </c>
      <c r="G10" s="307">
        <f>E10/$E$14</f>
        <v>0.14087914847613178</v>
      </c>
      <c r="H10" s="307">
        <f>(E10-I10)/I10</f>
        <v>0.24837619347837755</v>
      </c>
      <c r="I10" s="313">
        <v>4020.5451899999998</v>
      </c>
      <c r="J10" s="129">
        <v>43966.76715</v>
      </c>
      <c r="K10" s="307">
        <f>I10/$I$14</f>
        <v>0.12854016570374907</v>
      </c>
      <c r="L10" s="93"/>
      <c r="N10" s="77"/>
      <c r="O10" s="77"/>
      <c r="P10" s="77"/>
      <c r="Q10" s="77"/>
      <c r="R10" s="77"/>
      <c r="S10" s="77"/>
      <c r="T10" s="77"/>
      <c r="U10" s="103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5" customHeight="1">
      <c r="A11" s="443"/>
      <c r="B11" s="443"/>
      <c r="C11" s="154" t="s">
        <v>6</v>
      </c>
      <c r="D11" s="313">
        <v>9577</v>
      </c>
      <c r="E11" s="129">
        <v>8688.8151399999988</v>
      </c>
      <c r="F11" s="129">
        <v>94669.311379999999</v>
      </c>
      <c r="G11" s="307">
        <f>E11/$E$14</f>
        <v>0.24388037236118498</v>
      </c>
      <c r="H11" s="307">
        <f t="shared" ref="H11:H13" si="0">(E11-I11)/I11</f>
        <v>0.2302655090089647</v>
      </c>
      <c r="I11" s="313">
        <v>7062.5528199999999</v>
      </c>
      <c r="J11" s="129">
        <v>77240.806079999995</v>
      </c>
      <c r="K11" s="307">
        <f>I11/$I$14</f>
        <v>0.22579567368928893</v>
      </c>
      <c r="L11" s="93"/>
      <c r="N11" s="77"/>
      <c r="O11" s="77"/>
      <c r="P11" s="77"/>
      <c r="Q11" s="77"/>
      <c r="R11" s="77"/>
      <c r="S11" s="77"/>
      <c r="T11" s="77"/>
      <c r="U11" s="103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5" customHeight="1">
      <c r="A12" s="443"/>
      <c r="B12" s="443"/>
      <c r="C12" s="154" t="s">
        <v>7</v>
      </c>
      <c r="D12" s="313">
        <v>92483</v>
      </c>
      <c r="E12" s="129">
        <v>13806.193889999999</v>
      </c>
      <c r="F12" s="129">
        <v>150427.82171000002</v>
      </c>
      <c r="G12" s="307">
        <f>E12/$E$14</f>
        <v>0.38751655462011786</v>
      </c>
      <c r="H12" s="307">
        <f t="shared" si="0"/>
        <v>0.23049407100337876</v>
      </c>
      <c r="I12" s="313">
        <v>11220.04097</v>
      </c>
      <c r="J12" s="129">
        <v>122709.62134</v>
      </c>
      <c r="K12" s="307">
        <f>I12/$I$14</f>
        <v>0.35871401945034559</v>
      </c>
      <c r="L12" s="93"/>
      <c r="N12" s="77"/>
      <c r="O12" s="77"/>
      <c r="P12" s="77"/>
      <c r="Q12" s="77"/>
      <c r="R12" s="77"/>
      <c r="S12" s="77"/>
      <c r="T12" s="77"/>
      <c r="U12" s="103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5" customHeight="1">
      <c r="A13" s="443"/>
      <c r="B13" s="443"/>
      <c r="C13" s="154" t="s">
        <v>93</v>
      </c>
      <c r="D13" s="313">
        <v>16</v>
      </c>
      <c r="E13" s="129">
        <v>320.99099999999999</v>
      </c>
      <c r="F13" s="129">
        <v>3497.37</v>
      </c>
      <c r="G13" s="307">
        <f>E13/$E$14</f>
        <v>9.0096754670498311E-3</v>
      </c>
      <c r="H13" s="307">
        <f t="shared" si="0"/>
        <v>-3.1894102531622628E-2</v>
      </c>
      <c r="I13" s="313">
        <v>331.56599999999997</v>
      </c>
      <c r="J13" s="129">
        <v>3626.991</v>
      </c>
      <c r="K13" s="307">
        <f>I13/$I$14</f>
        <v>1.0600440131287085E-2</v>
      </c>
      <c r="L13" s="93"/>
      <c r="N13" s="77"/>
      <c r="O13" s="77"/>
      <c r="P13" s="77"/>
      <c r="Q13" s="77"/>
      <c r="R13" s="77"/>
      <c r="S13" s="77"/>
      <c r="T13" s="77"/>
      <c r="U13" s="103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5" customHeight="1">
      <c r="A14" s="444"/>
      <c r="B14" s="444"/>
      <c r="C14" s="318" t="s">
        <v>0</v>
      </c>
      <c r="D14" s="321">
        <v>102432</v>
      </c>
      <c r="E14" s="319">
        <v>35627.365400000002</v>
      </c>
      <c r="F14" s="319">
        <v>388181.77879999997</v>
      </c>
      <c r="G14" s="320">
        <f>SUM(G9:G13)</f>
        <v>0.99999999999999989</v>
      </c>
      <c r="H14" s="320">
        <f>(E14-I14)/I14</f>
        <v>0.13903643304255869</v>
      </c>
      <c r="I14" s="321">
        <v>31278.512580000002</v>
      </c>
      <c r="J14" s="319">
        <v>342082.37362999999</v>
      </c>
      <c r="K14" s="320">
        <f>SUM(K9:K13)</f>
        <v>1</v>
      </c>
      <c r="L14" s="93"/>
      <c r="M14" s="93"/>
      <c r="N14" s="77"/>
      <c r="O14" s="77"/>
      <c r="P14" s="77"/>
      <c r="Q14" s="77"/>
      <c r="R14" s="77"/>
      <c r="S14" s="77"/>
      <c r="T14" s="77"/>
      <c r="U14" s="103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5" customHeight="1">
      <c r="A15" s="442" t="str">
        <f>'3.1'!E5</f>
        <v>Únor</v>
      </c>
      <c r="B15" s="442"/>
      <c r="C15" s="164" t="s">
        <v>4</v>
      </c>
      <c r="D15" s="312">
        <v>67</v>
      </c>
      <c r="E15" s="308">
        <v>6563.0235700000003</v>
      </c>
      <c r="F15" s="308">
        <v>71496.266210000002</v>
      </c>
      <c r="G15" s="309">
        <f>E15/$E$20</f>
        <v>0.26735846341968827</v>
      </c>
      <c r="H15" s="309">
        <f>(E15-I15)/I15</f>
        <v>-0.20552283364328891</v>
      </c>
      <c r="I15" s="312">
        <v>8260.8083000000006</v>
      </c>
      <c r="J15" s="308">
        <v>89652.900349999996</v>
      </c>
      <c r="K15" s="309">
        <f>I15/$I$20</f>
        <v>0.27816953087995272</v>
      </c>
      <c r="L15" s="93"/>
      <c r="M15" s="93"/>
      <c r="N15" s="77"/>
      <c r="O15" s="77"/>
      <c r="P15" s="77"/>
      <c r="Q15" s="77"/>
      <c r="R15" s="77"/>
      <c r="S15" s="77"/>
      <c r="T15" s="77"/>
      <c r="U15" s="103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5" customHeight="1">
      <c r="A16" s="443"/>
      <c r="B16" s="443"/>
      <c r="C16" s="154" t="s">
        <v>5</v>
      </c>
      <c r="D16" s="313">
        <v>289</v>
      </c>
      <c r="E16" s="129">
        <v>3700.0891200000001</v>
      </c>
      <c r="F16" s="129">
        <v>40307.174099999997</v>
      </c>
      <c r="G16" s="307">
        <f>E16/$E$20</f>
        <v>0.15073085310268153</v>
      </c>
      <c r="H16" s="307">
        <f>(E16-I16)/I16</f>
        <v>-2.3710704227104688E-2</v>
      </c>
      <c r="I16" s="313">
        <v>3789.95154</v>
      </c>
      <c r="J16" s="129">
        <v>41130.374900000003</v>
      </c>
      <c r="K16" s="307">
        <f>I16/$I$20</f>
        <v>0.12762056734079572</v>
      </c>
      <c r="L16" s="97"/>
      <c r="M16" s="93"/>
      <c r="N16" s="77"/>
      <c r="O16" s="77"/>
      <c r="P16" s="77"/>
      <c r="Q16" s="77"/>
      <c r="R16" s="77"/>
      <c r="S16" s="77"/>
      <c r="T16" s="77"/>
      <c r="U16" s="103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5" customHeight="1">
      <c r="A17" s="443"/>
      <c r="B17" s="443"/>
      <c r="C17" s="154" t="s">
        <v>6</v>
      </c>
      <c r="D17" s="313">
        <v>9568</v>
      </c>
      <c r="E17" s="129">
        <v>5404.4237399999993</v>
      </c>
      <c r="F17" s="129">
        <v>58873.749400000001</v>
      </c>
      <c r="G17" s="307">
        <f>E17/$E$20</f>
        <v>0.22016048112338024</v>
      </c>
      <c r="H17" s="307">
        <f t="shared" ref="H17:H20" si="1">(E17-I17)/I17</f>
        <v>-0.19297829151304113</v>
      </c>
      <c r="I17" s="313">
        <v>6696.7513799999997</v>
      </c>
      <c r="J17" s="129">
        <v>72677.451050000003</v>
      </c>
      <c r="K17" s="307">
        <f>I17/$I$20</f>
        <v>0.22550241116166267</v>
      </c>
      <c r="L17" s="93"/>
      <c r="M17" s="93"/>
      <c r="N17" s="77"/>
      <c r="O17" s="77"/>
      <c r="P17" s="77"/>
      <c r="Q17" s="77"/>
      <c r="R17" s="77"/>
      <c r="S17" s="77"/>
      <c r="T17" s="77"/>
      <c r="U17" s="103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5" customHeight="1">
      <c r="A18" s="443"/>
      <c r="B18" s="443"/>
      <c r="C18" s="154" t="s">
        <v>7</v>
      </c>
      <c r="D18" s="313">
        <v>92408</v>
      </c>
      <c r="E18" s="129">
        <v>8586.0235000000011</v>
      </c>
      <c r="F18" s="129">
        <v>93533.341</v>
      </c>
      <c r="G18" s="307">
        <f>E18/$E$20</f>
        <v>0.34976958795918728</v>
      </c>
      <c r="H18" s="307">
        <f t="shared" si="1"/>
        <v>-0.19324266832082834</v>
      </c>
      <c r="I18" s="313">
        <v>10642.634609999999</v>
      </c>
      <c r="J18" s="129">
        <v>115502.49374000001</v>
      </c>
      <c r="K18" s="307">
        <f>I18/$I$20</f>
        <v>0.35837372921369548</v>
      </c>
      <c r="L18" s="93"/>
      <c r="M18" s="93"/>
      <c r="N18" s="77"/>
      <c r="O18" s="77"/>
      <c r="P18" s="77"/>
      <c r="Q18" s="77"/>
      <c r="R18" s="77"/>
      <c r="S18" s="77"/>
      <c r="T18" s="77"/>
      <c r="U18" s="103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5" customHeight="1">
      <c r="A19" s="443"/>
      <c r="B19" s="443"/>
      <c r="C19" s="154" t="s">
        <v>93</v>
      </c>
      <c r="D19" s="313">
        <v>16</v>
      </c>
      <c r="E19" s="129">
        <v>294.096</v>
      </c>
      <c r="F19" s="129">
        <v>3204.0740000000001</v>
      </c>
      <c r="G19" s="307">
        <f>E19/$E$20</f>
        <v>1.1980614395062525E-2</v>
      </c>
      <c r="H19" s="307">
        <f t="shared" si="1"/>
        <v>-4.1664222730560939E-2</v>
      </c>
      <c r="I19" s="313">
        <v>306.88200000000001</v>
      </c>
      <c r="J19" s="129">
        <v>3329.3049999999998</v>
      </c>
      <c r="K19" s="307">
        <f>I19/$I$20</f>
        <v>1.0333761403893325E-2</v>
      </c>
      <c r="L19" s="93"/>
      <c r="M19" s="93"/>
      <c r="N19" s="77"/>
      <c r="O19" s="77"/>
      <c r="P19" s="77"/>
      <c r="Q19" s="77"/>
      <c r="R19" s="77"/>
      <c r="S19" s="77"/>
      <c r="T19" s="77"/>
      <c r="U19" s="103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5" customHeight="1">
      <c r="A20" s="444"/>
      <c r="B20" s="444"/>
      <c r="C20" s="318" t="s">
        <v>0</v>
      </c>
      <c r="D20" s="321">
        <v>102348</v>
      </c>
      <c r="E20" s="319">
        <v>24547.655930000004</v>
      </c>
      <c r="F20" s="319">
        <v>267414.60471000004</v>
      </c>
      <c r="G20" s="320">
        <f>SUM(G15:G19)</f>
        <v>0.99999999999999978</v>
      </c>
      <c r="H20" s="320">
        <f t="shared" si="1"/>
        <v>-0.17339687760935091</v>
      </c>
      <c r="I20" s="321">
        <v>29697.027830000003</v>
      </c>
      <c r="J20" s="319">
        <v>322292.52504000004</v>
      </c>
      <c r="K20" s="320">
        <f>SUM(K15:K19)</f>
        <v>0.99999999999999989</v>
      </c>
      <c r="L20" s="93"/>
      <c r="M20" s="93"/>
      <c r="N20" s="77"/>
      <c r="O20" s="77"/>
      <c r="P20" s="77"/>
      <c r="Q20" s="77"/>
      <c r="R20" s="77"/>
      <c r="S20" s="77"/>
      <c r="T20" s="77"/>
      <c r="U20" s="103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5" customHeight="1">
      <c r="A21" s="442" t="str">
        <f>'3.1'!F5</f>
        <v>Březen</v>
      </c>
      <c r="B21" s="442"/>
      <c r="C21" s="164" t="s">
        <v>4</v>
      </c>
      <c r="D21" s="312">
        <v>64</v>
      </c>
      <c r="E21" s="308">
        <v>6575.8762500000003</v>
      </c>
      <c r="F21" s="308">
        <v>71639.568610000002</v>
      </c>
      <c r="G21" s="309">
        <f>E21/$E$26</f>
        <v>0.29525649273893617</v>
      </c>
      <c r="H21" s="309">
        <f>(E21-I21)/I21</f>
        <v>-0.21696315284688558</v>
      </c>
      <c r="I21" s="312">
        <v>8397.9141899999995</v>
      </c>
      <c r="J21" s="308">
        <v>91784.163390000002</v>
      </c>
      <c r="K21" s="309">
        <f>I21/$I$26</f>
        <v>0.32011188235780463</v>
      </c>
      <c r="L21" s="88"/>
      <c r="M21" s="88"/>
      <c r="N21" s="77"/>
      <c r="O21" s="77"/>
      <c r="P21" s="77"/>
      <c r="Q21" s="77"/>
      <c r="R21" s="77"/>
      <c r="S21" s="77"/>
      <c r="T21" s="77"/>
      <c r="U21" s="103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5" customHeight="1">
      <c r="A22" s="443"/>
      <c r="B22" s="443"/>
      <c r="C22" s="154" t="s">
        <v>5</v>
      </c>
      <c r="D22" s="313">
        <v>294</v>
      </c>
      <c r="E22" s="129">
        <v>3367.6790100000003</v>
      </c>
      <c r="F22" s="129">
        <v>36687.245709999996</v>
      </c>
      <c r="G22" s="307">
        <f>E22/$E$26</f>
        <v>0.15120860785102713</v>
      </c>
      <c r="H22" s="307">
        <f t="shared" ref="H22:H26" si="2">(E22-I22)/I22</f>
        <v>2.9493621619511905E-2</v>
      </c>
      <c r="I22" s="313">
        <v>3271.19949</v>
      </c>
      <c r="J22" s="129">
        <v>35744.092380000002</v>
      </c>
      <c r="K22" s="307">
        <f>I22/$I$26</f>
        <v>0.1246916558826842</v>
      </c>
      <c r="L22" s="88"/>
      <c r="M22" s="88"/>
      <c r="N22" s="77"/>
      <c r="O22" s="77"/>
      <c r="P22" s="77"/>
      <c r="Q22" s="77"/>
      <c r="R22" s="77"/>
      <c r="S22" s="77"/>
      <c r="T22" s="77"/>
      <c r="U22" s="103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5" customHeight="1">
      <c r="A23" s="443"/>
      <c r="B23" s="443"/>
      <c r="C23" s="154" t="s">
        <v>6</v>
      </c>
      <c r="D23" s="313">
        <v>9587</v>
      </c>
      <c r="E23" s="129">
        <v>4652.5312299999996</v>
      </c>
      <c r="F23" s="129">
        <v>50682.778719999995</v>
      </c>
      <c r="G23" s="307">
        <f>E23/$E$26</f>
        <v>0.2088984039698388</v>
      </c>
      <c r="H23" s="307">
        <f t="shared" si="2"/>
        <v>-0.15386414330187989</v>
      </c>
      <c r="I23" s="313">
        <v>5498.5628999999999</v>
      </c>
      <c r="J23" s="129">
        <v>60090.43288</v>
      </c>
      <c r="K23" s="307">
        <f>I23/$I$26</f>
        <v>0.20959434454304532</v>
      </c>
      <c r="L23" s="88"/>
      <c r="M23" s="88"/>
      <c r="N23" s="77"/>
      <c r="O23" s="77"/>
      <c r="P23" s="77"/>
      <c r="Q23" s="77"/>
      <c r="R23" s="77"/>
      <c r="S23" s="77"/>
      <c r="T23" s="77"/>
      <c r="U23" s="103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5" customHeight="1">
      <c r="A24" s="443"/>
      <c r="B24" s="443"/>
      <c r="C24" s="154" t="s">
        <v>7</v>
      </c>
      <c r="D24" s="313">
        <v>92329</v>
      </c>
      <c r="E24" s="129">
        <v>7380.5319</v>
      </c>
      <c r="F24" s="129">
        <v>80403.163219999988</v>
      </c>
      <c r="G24" s="307">
        <f>E24/$E$26</f>
        <v>0.33138548848784022</v>
      </c>
      <c r="H24" s="307">
        <f t="shared" si="2"/>
        <v>-0.15516139896059591</v>
      </c>
      <c r="I24" s="313">
        <v>8736.0258999999987</v>
      </c>
      <c r="J24" s="129">
        <v>95471.397280000005</v>
      </c>
      <c r="K24" s="307">
        <f>I24/$I$26</f>
        <v>0.33300003213959184</v>
      </c>
      <c r="L24" s="88"/>
      <c r="M24" s="88"/>
      <c r="N24" s="77"/>
      <c r="O24" s="77"/>
      <c r="P24" s="77"/>
      <c r="Q24" s="77"/>
      <c r="R24" s="77"/>
      <c r="S24" s="77"/>
      <c r="T24" s="77"/>
      <c r="U24" s="103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5" customHeight="1">
      <c r="A25" s="443"/>
      <c r="B25" s="443"/>
      <c r="C25" s="154" t="s">
        <v>93</v>
      </c>
      <c r="D25" s="313">
        <v>16</v>
      </c>
      <c r="E25" s="129">
        <v>295.12299999999999</v>
      </c>
      <c r="F25" s="129">
        <v>3215.2190000000001</v>
      </c>
      <c r="G25" s="307">
        <f>E25/$E$26</f>
        <v>1.3251006952357574E-2</v>
      </c>
      <c r="H25" s="307">
        <f t="shared" si="2"/>
        <v>-0.10732985085010309</v>
      </c>
      <c r="I25" s="313">
        <v>330.60700000000003</v>
      </c>
      <c r="J25" s="129">
        <v>3613.4609999999998</v>
      </c>
      <c r="K25" s="307">
        <f>I25/$I$26</f>
        <v>1.2602085076873921E-2</v>
      </c>
      <c r="L25" s="88"/>
      <c r="M25" s="88"/>
      <c r="N25" s="77"/>
      <c r="O25" s="77"/>
      <c r="P25" s="77"/>
      <c r="Q25" s="77"/>
      <c r="R25" s="77"/>
      <c r="S25" s="77"/>
      <c r="T25" s="77"/>
      <c r="U25" s="103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5" customHeight="1">
      <c r="A26" s="444"/>
      <c r="B26" s="444"/>
      <c r="C26" s="318" t="s">
        <v>0</v>
      </c>
      <c r="D26" s="321">
        <v>102290</v>
      </c>
      <c r="E26" s="319">
        <v>22271.741390000003</v>
      </c>
      <c r="F26" s="319">
        <v>242627.97526000001</v>
      </c>
      <c r="G26" s="320">
        <f>SUM(G21:G25)</f>
        <v>0.99999999999999989</v>
      </c>
      <c r="H26" s="320">
        <f t="shared" si="2"/>
        <v>-0.15104525975882468</v>
      </c>
      <c r="I26" s="321">
        <v>26234.30948</v>
      </c>
      <c r="J26" s="319">
        <v>286703.54693000001</v>
      </c>
      <c r="K26" s="320">
        <f>SUM(K21:K25)</f>
        <v>0.99999999999999989</v>
      </c>
      <c r="N26" s="77"/>
      <c r="O26" s="77"/>
      <c r="P26" s="77"/>
      <c r="Q26" s="77"/>
      <c r="R26" s="77"/>
      <c r="S26" s="77"/>
      <c r="T26" s="77"/>
      <c r="U26" s="103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5" customHeight="1">
      <c r="A27" s="511" t="str">
        <f>'3.1'!G5</f>
        <v>I. čtvrtletí</v>
      </c>
      <c r="B27" s="442"/>
      <c r="C27" s="164" t="s">
        <v>4</v>
      </c>
      <c r="D27" s="312">
        <f>D21</f>
        <v>64</v>
      </c>
      <c r="E27" s="308">
        <f>E9+E15+E21</f>
        <v>20931.112290000001</v>
      </c>
      <c r="F27" s="308">
        <f>F9+F15+F21</f>
        <v>228036.66503000003</v>
      </c>
      <c r="G27" s="309">
        <f>E27/$E$32</f>
        <v>0.25387427716337141</v>
      </c>
      <c r="H27" s="309">
        <f>(E27-I27)/I27</f>
        <v>-0.17276603503487817</v>
      </c>
      <c r="I27" s="312">
        <f>I9+I15+I21</f>
        <v>25302.53009</v>
      </c>
      <c r="J27" s="308">
        <f>J9+J15+J21</f>
        <v>275975.25179999997</v>
      </c>
      <c r="K27" s="309">
        <f>I27/$I$32</f>
        <v>0.29013385669066888</v>
      </c>
      <c r="N27" s="77"/>
      <c r="O27" s="77"/>
      <c r="P27" s="77"/>
      <c r="Q27" s="77"/>
      <c r="R27" s="77"/>
      <c r="S27" s="77"/>
      <c r="T27" s="77"/>
      <c r="U27" s="103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5" customHeight="1">
      <c r="A28" s="443"/>
      <c r="B28" s="443"/>
      <c r="C28" s="154" t="s">
        <v>5</v>
      </c>
      <c r="D28" s="313">
        <f>D22</f>
        <v>294</v>
      </c>
      <c r="E28" s="129">
        <f t="shared" ref="E28:F28" si="3">E10+E16+E22</f>
        <v>12086.92103</v>
      </c>
      <c r="F28" s="129">
        <f t="shared" si="3"/>
        <v>131680.86530999999</v>
      </c>
      <c r="G28" s="307">
        <f>E28/$E$32</f>
        <v>0.14660273649614072</v>
      </c>
      <c r="H28" s="307">
        <f t="shared" ref="H28:H31" si="4">(E28-I28)/I28</f>
        <v>9.0710374119964798E-2</v>
      </c>
      <c r="I28" s="313">
        <f t="shared" ref="I28:J28" si="5">I10+I16+I22</f>
        <v>11081.69622</v>
      </c>
      <c r="J28" s="129">
        <f t="shared" si="5"/>
        <v>120841.23443</v>
      </c>
      <c r="K28" s="307">
        <f>I28/$I$32</f>
        <v>0.1270693188209546</v>
      </c>
      <c r="N28" s="77"/>
      <c r="O28" s="77"/>
      <c r="P28" s="77"/>
      <c r="Q28" s="77"/>
      <c r="R28" s="77"/>
      <c r="S28" s="77"/>
      <c r="T28" s="77"/>
      <c r="U28" s="103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5" customHeight="1">
      <c r="A29" s="443"/>
      <c r="B29" s="443"/>
      <c r="C29" s="154" t="s">
        <v>6</v>
      </c>
      <c r="D29" s="313">
        <f>D23</f>
        <v>9587</v>
      </c>
      <c r="E29" s="129">
        <f t="shared" ref="E29:F29" si="6">E11+E17+E23</f>
        <v>18745.770109999998</v>
      </c>
      <c r="F29" s="129">
        <f t="shared" si="6"/>
        <v>204225.8395</v>
      </c>
      <c r="G29" s="307">
        <f>E29/$E$32</f>
        <v>0.22736817664585673</v>
      </c>
      <c r="H29" s="307">
        <f t="shared" si="4"/>
        <v>-2.6591573580856304E-2</v>
      </c>
      <c r="I29" s="313">
        <f t="shared" ref="I29:J29" si="7">I11+I17+I23</f>
        <v>19257.867099999999</v>
      </c>
      <c r="J29" s="129">
        <f t="shared" si="7"/>
        <v>210008.69000999999</v>
      </c>
      <c r="K29" s="307">
        <f>I29/$I$32</f>
        <v>0.22082215626205573</v>
      </c>
      <c r="N29" s="77"/>
      <c r="O29" s="77"/>
      <c r="P29" s="77"/>
      <c r="Q29" s="77"/>
      <c r="R29" s="77"/>
      <c r="S29" s="77"/>
      <c r="T29" s="77"/>
      <c r="U29" s="103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5" customHeight="1">
      <c r="A30" s="443"/>
      <c r="B30" s="443"/>
      <c r="C30" s="154" t="s">
        <v>7</v>
      </c>
      <c r="D30" s="313">
        <f>D24</f>
        <v>92329</v>
      </c>
      <c r="E30" s="129">
        <f t="shared" ref="E30:F31" si="8">E12+E18+E24</f>
        <v>29772.74929</v>
      </c>
      <c r="F30" s="129">
        <f t="shared" si="8"/>
        <v>324364.32592999999</v>
      </c>
      <c r="G30" s="307">
        <f>E30/$E$32</f>
        <v>0.36111483711146003</v>
      </c>
      <c r="H30" s="307">
        <f t="shared" si="4"/>
        <v>-2.6993047091879288E-2</v>
      </c>
      <c r="I30" s="313">
        <f t="shared" ref="I30:J30" si="9">I12+I18+I24</f>
        <v>30598.701479999996</v>
      </c>
      <c r="J30" s="129">
        <f t="shared" si="9"/>
        <v>333683.51236000005</v>
      </c>
      <c r="K30" s="307">
        <f>I30/$I$32</f>
        <v>0.35086290732749709</v>
      </c>
      <c r="N30" s="77"/>
      <c r="O30" s="77"/>
      <c r="P30" s="77"/>
      <c r="Q30" s="77"/>
      <c r="R30" s="77"/>
      <c r="S30" s="77"/>
      <c r="T30" s="77"/>
      <c r="U30" s="103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5" customHeight="1">
      <c r="A31" s="443"/>
      <c r="B31" s="443"/>
      <c r="C31" s="154" t="s">
        <v>93</v>
      </c>
      <c r="D31" s="313">
        <f>D25</f>
        <v>16</v>
      </c>
      <c r="E31" s="129">
        <f>E13+E19+E25</f>
        <v>910.21</v>
      </c>
      <c r="F31" s="129">
        <f t="shared" si="8"/>
        <v>9916.6630000000005</v>
      </c>
      <c r="G31" s="307">
        <f>E31/$E$32</f>
        <v>1.1039972583170939E-2</v>
      </c>
      <c r="H31" s="307">
        <f t="shared" si="4"/>
        <v>-6.0724107506797881E-2</v>
      </c>
      <c r="I31" s="313">
        <f>I13+I19+I25</f>
        <v>969.05500000000006</v>
      </c>
      <c r="J31" s="129">
        <f t="shared" ref="J31" si="10">J13+J19+J25</f>
        <v>10569.757</v>
      </c>
      <c r="K31" s="307">
        <f>I31/$I$32</f>
        <v>1.1111760898823859E-2</v>
      </c>
      <c r="N31" s="77"/>
      <c r="O31" s="77"/>
      <c r="P31" s="77"/>
      <c r="Q31" s="77"/>
      <c r="R31" s="77"/>
      <c r="S31" s="77"/>
      <c r="T31" s="77"/>
      <c r="U31" s="103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5" customHeight="1">
      <c r="A32" s="444"/>
      <c r="B32" s="444"/>
      <c r="C32" s="318" t="s">
        <v>0</v>
      </c>
      <c r="D32" s="321">
        <f>SUM(D27:D31)</f>
        <v>102290</v>
      </c>
      <c r="E32" s="319">
        <f>SUM(E27:E31)</f>
        <v>82446.762720000013</v>
      </c>
      <c r="F32" s="319">
        <f>SUM(F27:F31)</f>
        <v>898224.35877000005</v>
      </c>
      <c r="G32" s="320">
        <f>SUM(G27:G31)</f>
        <v>0.99999999999999978</v>
      </c>
      <c r="H32" s="320">
        <f>(E32-I32)/I32</f>
        <v>-5.461638996062685E-2</v>
      </c>
      <c r="I32" s="321">
        <f>SUM(I27:I31)</f>
        <v>87209.849889999983</v>
      </c>
      <c r="J32" s="319">
        <f>SUM(J27:J31)</f>
        <v>951078.44559999998</v>
      </c>
      <c r="K32" s="320">
        <f>SUM(K27:K31)</f>
        <v>1</v>
      </c>
      <c r="N32" s="77"/>
      <c r="O32" s="77"/>
      <c r="P32" s="77"/>
      <c r="Q32" s="77"/>
      <c r="R32" s="77"/>
      <c r="S32" s="77"/>
      <c r="T32" s="77"/>
      <c r="U32" s="103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10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3" customHeight="1">
      <c r="A34" s="536" t="s">
        <v>36</v>
      </c>
      <c r="B34" s="536"/>
      <c r="C34" s="536"/>
      <c r="D34" s="501">
        <f>D4</f>
        <v>2024</v>
      </c>
      <c r="E34" s="353"/>
      <c r="F34" s="342"/>
      <c r="G34" s="342"/>
      <c r="H34" s="342"/>
      <c r="I34" s="501">
        <f>D34-1</f>
        <v>2023</v>
      </c>
      <c r="J34" s="502"/>
      <c r="K34" s="502"/>
    </row>
    <row r="35" spans="1:11" ht="25" customHeight="1">
      <c r="A35" s="304"/>
      <c r="B35" s="272"/>
      <c r="C35" s="150"/>
      <c r="D35" s="503"/>
      <c r="E35" s="355"/>
      <c r="F35" s="356"/>
      <c r="G35" s="356"/>
      <c r="H35" s="357"/>
      <c r="I35" s="503"/>
      <c r="J35" s="504"/>
      <c r="K35" s="504"/>
    </row>
    <row r="36" spans="1:11" ht="25" customHeight="1">
      <c r="A36" s="130"/>
      <c r="B36" s="131"/>
      <c r="C36" s="352"/>
      <c r="D36" s="364" t="s">
        <v>159</v>
      </c>
      <c r="E36" s="499" t="s">
        <v>60</v>
      </c>
      <c r="F36" s="499"/>
      <c r="G36" s="500" t="s">
        <v>33</v>
      </c>
      <c r="H36" s="500" t="s">
        <v>268</v>
      </c>
      <c r="I36" s="498" t="s">
        <v>60</v>
      </c>
      <c r="J36" s="499"/>
      <c r="K36" s="500" t="s">
        <v>33</v>
      </c>
    </row>
    <row r="37" spans="1:11" ht="25" customHeight="1">
      <c r="A37" s="130"/>
      <c r="B37" s="306"/>
      <c r="C37" s="306"/>
      <c r="D37" s="365"/>
      <c r="E37" s="499"/>
      <c r="F37" s="499"/>
      <c r="G37" s="500"/>
      <c r="H37" s="500"/>
      <c r="I37" s="498"/>
      <c r="J37" s="499"/>
      <c r="K37" s="500"/>
    </row>
    <row r="38" spans="1:11" ht="15" customHeight="1">
      <c r="A38" s="537" t="s">
        <v>158</v>
      </c>
      <c r="B38" s="537"/>
      <c r="C38" s="366" t="s">
        <v>184</v>
      </c>
      <c r="D38" s="343"/>
      <c r="E38" s="219" t="s">
        <v>259</v>
      </c>
      <c r="F38" s="219" t="s">
        <v>260</v>
      </c>
      <c r="G38" s="487"/>
      <c r="H38" s="487"/>
      <c r="I38" s="221" t="s">
        <v>259</v>
      </c>
      <c r="J38" s="219" t="s">
        <v>260</v>
      </c>
      <c r="K38" s="487"/>
    </row>
    <row r="39" spans="1:11" ht="11.15" customHeight="1">
      <c r="A39" s="442" t="str">
        <f>'3.1'!D5</f>
        <v>Leden</v>
      </c>
      <c r="B39" s="442"/>
      <c r="C39" s="164" t="s">
        <v>4</v>
      </c>
      <c r="D39" s="312">
        <v>191</v>
      </c>
      <c r="E39" s="308">
        <v>44026.559000000001</v>
      </c>
      <c r="F39" s="308">
        <v>479713.23459000001</v>
      </c>
      <c r="G39" s="309">
        <f>E39/$E$44</f>
        <v>0.30804541348690867</v>
      </c>
      <c r="H39" s="309">
        <f>(E39-I39)/I39</f>
        <v>8.6838117115503169E-2</v>
      </c>
      <c r="I39" s="312">
        <v>40508.847000000002</v>
      </c>
      <c r="J39" s="308">
        <v>441071.87876000011</v>
      </c>
      <c r="K39" s="309">
        <f>I39/$I$44</f>
        <v>0.33282158743408696</v>
      </c>
    </row>
    <row r="40" spans="1:11" ht="11.15" customHeight="1">
      <c r="A40" s="443"/>
      <c r="B40" s="443"/>
      <c r="C40" s="154" t="s">
        <v>5</v>
      </c>
      <c r="D40" s="313">
        <v>798</v>
      </c>
      <c r="E40" s="129">
        <v>15112.028</v>
      </c>
      <c r="F40" s="129">
        <v>164661.10167000003</v>
      </c>
      <c r="G40" s="307">
        <f t="shared" ref="G40:G41" si="11">E40/$E$44</f>
        <v>0.10573596982416321</v>
      </c>
      <c r="H40" s="307">
        <f>(E40-I40)/I40</f>
        <v>0.21749807027074547</v>
      </c>
      <c r="I40" s="313">
        <v>12412.362999999999</v>
      </c>
      <c r="J40" s="129">
        <v>135149.50757999992</v>
      </c>
      <c r="K40" s="307">
        <f t="shared" ref="K40:K43" si="12">I40/$I$44</f>
        <v>0.10198025032576528</v>
      </c>
    </row>
    <row r="41" spans="1:11" ht="11.15" customHeight="1">
      <c r="A41" s="443"/>
      <c r="B41" s="443"/>
      <c r="C41" s="154" t="s">
        <v>6</v>
      </c>
      <c r="D41" s="313">
        <v>23735</v>
      </c>
      <c r="E41" s="129">
        <v>23660.866000000002</v>
      </c>
      <c r="F41" s="129">
        <v>257808.74953999999</v>
      </c>
      <c r="G41" s="307">
        <f t="shared" si="11"/>
        <v>0.16555055439214178</v>
      </c>
      <c r="H41" s="307">
        <f t="shared" ref="H41:H43" si="13">(E41-I41)/I41</f>
        <v>0.20199888247660031</v>
      </c>
      <c r="I41" s="313">
        <v>19684.598999999998</v>
      </c>
      <c r="J41" s="129">
        <v>214331.72248</v>
      </c>
      <c r="K41" s="307">
        <f t="shared" si="12"/>
        <v>0.16172910295826096</v>
      </c>
    </row>
    <row r="42" spans="1:11" ht="11.15" customHeight="1">
      <c r="A42" s="443"/>
      <c r="B42" s="443"/>
      <c r="C42" s="154" t="s">
        <v>7</v>
      </c>
      <c r="D42" s="313">
        <v>348786</v>
      </c>
      <c r="E42" s="129">
        <v>59000.2</v>
      </c>
      <c r="F42" s="129">
        <v>642865.9</v>
      </c>
      <c r="G42" s="307">
        <f>E42/$E$44</f>
        <v>0.41281311593782077</v>
      </c>
      <c r="H42" s="307">
        <f t="shared" si="13"/>
        <v>0.2281780560713422</v>
      </c>
      <c r="I42" s="313">
        <v>48038.8</v>
      </c>
      <c r="J42" s="129">
        <v>523059.8</v>
      </c>
      <c r="K42" s="307">
        <f t="shared" si="12"/>
        <v>0.39468784866744339</v>
      </c>
    </row>
    <row r="43" spans="1:11" ht="11.15" customHeight="1">
      <c r="A43" s="443"/>
      <c r="B43" s="443"/>
      <c r="C43" s="154" t="s">
        <v>93</v>
      </c>
      <c r="D43" s="313">
        <v>29</v>
      </c>
      <c r="E43" s="129">
        <v>1122.6469999999999</v>
      </c>
      <c r="F43" s="129">
        <v>12232.368650000002</v>
      </c>
      <c r="G43" s="307">
        <f>E43/$E$44</f>
        <v>7.8549463589656764E-3</v>
      </c>
      <c r="H43" s="307">
        <f t="shared" si="13"/>
        <v>5.0389645870895242E-2</v>
      </c>
      <c r="I43" s="313">
        <v>1068.7909999999999</v>
      </c>
      <c r="J43" s="129">
        <v>11637.302240000003</v>
      </c>
      <c r="K43" s="307">
        <f t="shared" si="12"/>
        <v>8.7812106144434382E-3</v>
      </c>
    </row>
    <row r="44" spans="1:11" ht="11.15" customHeight="1">
      <c r="A44" s="444"/>
      <c r="B44" s="444"/>
      <c r="C44" s="318" t="s">
        <v>0</v>
      </c>
      <c r="D44" s="321">
        <v>373539</v>
      </c>
      <c r="E44" s="319">
        <v>142922.29999999999</v>
      </c>
      <c r="F44" s="319">
        <v>1557281.35445</v>
      </c>
      <c r="G44" s="320">
        <f>SUM(G39:G43)</f>
        <v>1.0000000000000002</v>
      </c>
      <c r="H44" s="320">
        <f>(E44-I44)/I44</f>
        <v>0.17425279385835901</v>
      </c>
      <c r="I44" s="321">
        <v>121713.4</v>
      </c>
      <c r="J44" s="319">
        <v>1325250.2110600001</v>
      </c>
      <c r="K44" s="320">
        <f>SUM(K39:K43)</f>
        <v>1</v>
      </c>
    </row>
    <row r="45" spans="1:11" ht="11.15" customHeight="1">
      <c r="A45" s="442" t="str">
        <f>'3.1'!E5</f>
        <v>Únor</v>
      </c>
      <c r="B45" s="442"/>
      <c r="C45" s="164" t="s">
        <v>4</v>
      </c>
      <c r="D45" s="312">
        <v>191</v>
      </c>
      <c r="E45" s="308">
        <v>31119.805</v>
      </c>
      <c r="F45" s="308">
        <v>338809.48249999998</v>
      </c>
      <c r="G45" s="309">
        <f>E45/$E$50</f>
        <v>0.33723641049037212</v>
      </c>
      <c r="H45" s="309">
        <f>(E45-I45)/I45</f>
        <v>-0.14012252667626304</v>
      </c>
      <c r="I45" s="312">
        <v>36190.975999999995</v>
      </c>
      <c r="J45" s="308">
        <v>392326.83130999992</v>
      </c>
      <c r="K45" s="309">
        <f>I45/$I$50</f>
        <v>0.31572296340626138</v>
      </c>
    </row>
    <row r="46" spans="1:11" ht="11.15" customHeight="1">
      <c r="A46" s="443"/>
      <c r="B46" s="443"/>
      <c r="C46" s="154" t="s">
        <v>5</v>
      </c>
      <c r="D46" s="313">
        <v>797</v>
      </c>
      <c r="E46" s="129">
        <v>9690.0059999999994</v>
      </c>
      <c r="F46" s="129">
        <v>105497.97834</v>
      </c>
      <c r="G46" s="307">
        <f t="shared" ref="G46:G48" si="14">E46/$E$50</f>
        <v>0.10500781868877933</v>
      </c>
      <c r="H46" s="307">
        <f>(E46-I46)/I46</f>
        <v>-0.18168879061278562</v>
      </c>
      <c r="I46" s="313">
        <v>11841.468000000001</v>
      </c>
      <c r="J46" s="129">
        <v>128367.39092999992</v>
      </c>
      <c r="K46" s="307">
        <f t="shared" ref="K46:K49" si="15">I46/$I$50</f>
        <v>0.1033026400846558</v>
      </c>
    </row>
    <row r="47" spans="1:11" ht="11.15" customHeight="1">
      <c r="A47" s="443"/>
      <c r="B47" s="443"/>
      <c r="C47" s="154" t="s">
        <v>6</v>
      </c>
      <c r="D47" s="313">
        <v>23712</v>
      </c>
      <c r="E47" s="129">
        <v>14530.44</v>
      </c>
      <c r="F47" s="129">
        <v>158197.05197</v>
      </c>
      <c r="G47" s="307">
        <f t="shared" si="14"/>
        <v>0.15746221508925659</v>
      </c>
      <c r="H47" s="307">
        <f t="shared" ref="H47:H49" si="16">(E47-I47)/I47</f>
        <v>-0.21699229388552557</v>
      </c>
      <c r="I47" s="313">
        <v>18557.212000000003</v>
      </c>
      <c r="J47" s="129">
        <v>201169.42353</v>
      </c>
      <c r="K47" s="307">
        <f t="shared" si="15"/>
        <v>0.16188947115430755</v>
      </c>
    </row>
    <row r="48" spans="1:11" ht="11.15" customHeight="1">
      <c r="A48" s="443"/>
      <c r="B48" s="443"/>
      <c r="C48" s="154" t="s">
        <v>7</v>
      </c>
      <c r="D48" s="313">
        <v>348455</v>
      </c>
      <c r="E48" s="129">
        <v>35902.800000000003</v>
      </c>
      <c r="F48" s="129">
        <v>390883.2</v>
      </c>
      <c r="G48" s="307">
        <f t="shared" si="14"/>
        <v>0.38906835690499125</v>
      </c>
      <c r="H48" s="307">
        <f t="shared" si="16"/>
        <v>-0.23703107102707999</v>
      </c>
      <c r="I48" s="313">
        <v>47056.7</v>
      </c>
      <c r="J48" s="129">
        <v>510116.5</v>
      </c>
      <c r="K48" s="307">
        <f t="shared" si="15"/>
        <v>0.41051340456028101</v>
      </c>
    </row>
    <row r="49" spans="1:11" ht="11.15" customHeight="1">
      <c r="A49" s="443"/>
      <c r="B49" s="443"/>
      <c r="C49" s="154" t="s">
        <v>93</v>
      </c>
      <c r="D49" s="313">
        <v>29</v>
      </c>
      <c r="E49" s="129">
        <v>1035.8489999999999</v>
      </c>
      <c r="F49" s="129">
        <v>11277.567779999999</v>
      </c>
      <c r="G49" s="307">
        <f>E49/$E$50</f>
        <v>1.1225198826600662E-2</v>
      </c>
      <c r="H49" s="307">
        <f t="shared" si="16"/>
        <v>5.4252023319057416E-2</v>
      </c>
      <c r="I49" s="313">
        <v>982.54399999999998</v>
      </c>
      <c r="J49" s="129">
        <v>10651.238529999999</v>
      </c>
      <c r="K49" s="307">
        <f t="shared" si="15"/>
        <v>8.5715207944942334E-3</v>
      </c>
    </row>
    <row r="50" spans="1:11" ht="11.15" customHeight="1">
      <c r="A50" s="444"/>
      <c r="B50" s="444"/>
      <c r="C50" s="318" t="s">
        <v>0</v>
      </c>
      <c r="D50" s="321">
        <v>373184</v>
      </c>
      <c r="E50" s="319">
        <v>92278.900000000009</v>
      </c>
      <c r="F50" s="319">
        <v>1004665.28059</v>
      </c>
      <c r="G50" s="320">
        <f>SUM(G45:G49)</f>
        <v>0.99999999999999989</v>
      </c>
      <c r="H50" s="320">
        <f t="shared" ref="H50" si="17">(E50-I50)/I50</f>
        <v>-0.19497700841585314</v>
      </c>
      <c r="I50" s="321">
        <v>114628.9</v>
      </c>
      <c r="J50" s="319">
        <v>1242631.3842999998</v>
      </c>
      <c r="K50" s="320">
        <f>SUM(K45:K49)</f>
        <v>0.99999999999999989</v>
      </c>
    </row>
    <row r="51" spans="1:11" ht="11.15" customHeight="1">
      <c r="A51" s="442" t="str">
        <f>'3.1'!F5</f>
        <v>Březen</v>
      </c>
      <c r="B51" s="442"/>
      <c r="C51" s="164" t="s">
        <v>4</v>
      </c>
      <c r="D51" s="312">
        <v>191</v>
      </c>
      <c r="E51" s="308">
        <v>29369.754000000001</v>
      </c>
      <c r="F51" s="308">
        <v>319285.42473999993</v>
      </c>
      <c r="G51" s="309">
        <f>E51/$E$56</f>
        <v>0.35771012448708911</v>
      </c>
      <c r="H51" s="309">
        <f>(E51-I51)/I51</f>
        <v>-0.12388438255495696</v>
      </c>
      <c r="I51" s="312">
        <v>33522.691999999995</v>
      </c>
      <c r="J51" s="308">
        <v>363057.58778000012</v>
      </c>
      <c r="K51" s="309">
        <f>I51/$I$56</f>
        <v>0.34114857699955831</v>
      </c>
    </row>
    <row r="52" spans="1:11" ht="11.15" customHeight="1">
      <c r="A52" s="443"/>
      <c r="B52" s="443"/>
      <c r="C52" s="154" t="s">
        <v>5</v>
      </c>
      <c r="D52" s="313">
        <v>786</v>
      </c>
      <c r="E52" s="129">
        <v>8672.4459999999999</v>
      </c>
      <c r="F52" s="129">
        <v>94279.841519999929</v>
      </c>
      <c r="G52" s="307">
        <f t="shared" ref="G52:G55" si="18">E52/$E$56</f>
        <v>0.10562641206554055</v>
      </c>
      <c r="H52" s="307">
        <f t="shared" ref="H52:H55" si="19">(E52-I52)/I52</f>
        <v>-0.13707820672341897</v>
      </c>
      <c r="I52" s="313">
        <v>10050.094999999999</v>
      </c>
      <c r="J52" s="129">
        <v>108844.56277999992</v>
      </c>
      <c r="K52" s="307">
        <f t="shared" ref="K52:K55" si="20">I52/$I$56</f>
        <v>0.10227626134441638</v>
      </c>
    </row>
    <row r="53" spans="1:11" ht="11.15" customHeight="1">
      <c r="A53" s="443"/>
      <c r="B53" s="443"/>
      <c r="C53" s="154" t="s">
        <v>6</v>
      </c>
      <c r="D53" s="313">
        <v>23694</v>
      </c>
      <c r="E53" s="129">
        <v>12816.248</v>
      </c>
      <c r="F53" s="129">
        <v>139328.77295000001</v>
      </c>
      <c r="G53" s="307">
        <f t="shared" si="18"/>
        <v>0.156096018629826</v>
      </c>
      <c r="H53" s="307">
        <f t="shared" si="19"/>
        <v>-0.17222229147506868</v>
      </c>
      <c r="I53" s="313">
        <v>15482.717000000001</v>
      </c>
      <c r="J53" s="129">
        <v>167680.72223000001</v>
      </c>
      <c r="K53" s="307">
        <f t="shared" si="20"/>
        <v>0.15756213351352782</v>
      </c>
    </row>
    <row r="54" spans="1:11" ht="11.15" customHeight="1">
      <c r="A54" s="443"/>
      <c r="B54" s="443"/>
      <c r="C54" s="154" t="s">
        <v>7</v>
      </c>
      <c r="D54" s="313">
        <v>348073</v>
      </c>
      <c r="E54" s="129">
        <v>30139.1</v>
      </c>
      <c r="F54" s="129">
        <v>327649.2</v>
      </c>
      <c r="G54" s="307">
        <f t="shared" si="18"/>
        <v>0.3670804056761533</v>
      </c>
      <c r="H54" s="307">
        <f t="shared" si="19"/>
        <v>-0.210234761713847</v>
      </c>
      <c r="I54" s="313">
        <v>38162.1</v>
      </c>
      <c r="J54" s="129">
        <v>413302.7</v>
      </c>
      <c r="K54" s="307">
        <f t="shared" si="20"/>
        <v>0.3883621909098125</v>
      </c>
    </row>
    <row r="55" spans="1:11" ht="11.15" customHeight="1">
      <c r="A55" s="443"/>
      <c r="B55" s="443"/>
      <c r="C55" s="154" t="s">
        <v>93</v>
      </c>
      <c r="D55" s="313">
        <v>29</v>
      </c>
      <c r="E55" s="129">
        <v>1107.3520000000001</v>
      </c>
      <c r="F55" s="129">
        <v>12038.294729999998</v>
      </c>
      <c r="G55" s="307">
        <f t="shared" si="18"/>
        <v>1.3487039141391077E-2</v>
      </c>
      <c r="H55" s="307">
        <f t="shared" si="19"/>
        <v>5.8051053128427864E-2</v>
      </c>
      <c r="I55" s="313">
        <v>1046.596</v>
      </c>
      <c r="J55" s="129">
        <v>11334.840809999998</v>
      </c>
      <c r="K55" s="307">
        <f t="shared" si="20"/>
        <v>1.0650837232684946E-2</v>
      </c>
    </row>
    <row r="56" spans="1:11" ht="11.15" customHeight="1">
      <c r="A56" s="444"/>
      <c r="B56" s="444"/>
      <c r="C56" s="318" t="s">
        <v>0</v>
      </c>
      <c r="D56" s="321">
        <v>372773</v>
      </c>
      <c r="E56" s="319">
        <v>82104.899999999994</v>
      </c>
      <c r="F56" s="319">
        <v>892581.53393999976</v>
      </c>
      <c r="G56" s="320">
        <f>SUM(G51:G55)</f>
        <v>1</v>
      </c>
      <c r="H56" s="320">
        <f t="shared" ref="H56" si="21">(E56-I56)/I56</f>
        <v>-0.16444747934649653</v>
      </c>
      <c r="I56" s="321">
        <v>98264.2</v>
      </c>
      <c r="J56" s="319">
        <v>1064220.4136000001</v>
      </c>
      <c r="K56" s="320">
        <f>SUM(K51:K55)</f>
        <v>0.99999999999999989</v>
      </c>
    </row>
    <row r="57" spans="1:11" ht="11.15" customHeight="1">
      <c r="A57" s="511" t="str">
        <f>'3.1'!G5</f>
        <v>I. čtvrtletí</v>
      </c>
      <c r="B57" s="442"/>
      <c r="C57" s="164" t="s">
        <v>4</v>
      </c>
      <c r="D57" s="312">
        <f>D51</f>
        <v>191</v>
      </c>
      <c r="E57" s="308">
        <f>E39+E45+E51</f>
        <v>104516.118</v>
      </c>
      <c r="F57" s="308">
        <f>F39+F45+F51</f>
        <v>1137808.1418299999</v>
      </c>
      <c r="G57" s="309">
        <f>E57/$E$62</f>
        <v>0.32938578237228977</v>
      </c>
      <c r="H57" s="309">
        <f>(E57-I57)/I57</f>
        <v>-5.1771609457468802E-2</v>
      </c>
      <c r="I57" s="312">
        <f>I39+I45+I51</f>
        <v>110222.515</v>
      </c>
      <c r="J57" s="308">
        <f>J39+J45+J51</f>
        <v>1196456.2978500002</v>
      </c>
      <c r="K57" s="309">
        <f>I57/$I$62</f>
        <v>0.32940936592684245</v>
      </c>
    </row>
    <row r="58" spans="1:11" ht="11.15" customHeight="1">
      <c r="A58" s="443"/>
      <c r="B58" s="443"/>
      <c r="C58" s="154" t="s">
        <v>5</v>
      </c>
      <c r="D58" s="313">
        <f>D52</f>
        <v>786</v>
      </c>
      <c r="E58" s="129">
        <f t="shared" ref="E58:F58" si="22">E40+E46+E52</f>
        <v>33474.479999999996</v>
      </c>
      <c r="F58" s="129">
        <f t="shared" si="22"/>
        <v>364438.92152999993</v>
      </c>
      <c r="G58" s="307">
        <f t="shared" ref="G58:G61" si="23">E58/$E$62</f>
        <v>0.10549586030649899</v>
      </c>
      <c r="H58" s="307">
        <f t="shared" ref="H58:H61" si="24">(E58-I58)/I58</f>
        <v>-2.417933154356745E-2</v>
      </c>
      <c r="I58" s="313">
        <f t="shared" ref="I58:J59" si="25">I40+I46+I52</f>
        <v>34303.925999999999</v>
      </c>
      <c r="J58" s="129">
        <f t="shared" si="25"/>
        <v>372361.46128999977</v>
      </c>
      <c r="K58" s="307">
        <f t="shared" ref="K58:K61" si="26">I58/$I$62</f>
        <v>0.1025202020881244</v>
      </c>
    </row>
    <row r="59" spans="1:11" ht="11.15" customHeight="1">
      <c r="A59" s="443"/>
      <c r="B59" s="443"/>
      <c r="C59" s="154" t="s">
        <v>6</v>
      </c>
      <c r="D59" s="313">
        <f>D53</f>
        <v>23694</v>
      </c>
      <c r="E59" s="129">
        <f>E41+E47+E53</f>
        <v>51007.554000000004</v>
      </c>
      <c r="F59" s="129">
        <f t="shared" ref="F59" si="27">F41+F47+F53</f>
        <v>555334.57446000003</v>
      </c>
      <c r="G59" s="307">
        <f t="shared" si="23"/>
        <v>0.16075188595491863</v>
      </c>
      <c r="H59" s="307">
        <f t="shared" si="24"/>
        <v>-5.0572319593017209E-2</v>
      </c>
      <c r="I59" s="313">
        <f>I41+I47+I53</f>
        <v>53724.528000000006</v>
      </c>
      <c r="J59" s="129">
        <f t="shared" si="25"/>
        <v>583181.86823999998</v>
      </c>
      <c r="K59" s="307">
        <f t="shared" si="26"/>
        <v>0.16056032384308136</v>
      </c>
    </row>
    <row r="60" spans="1:11" ht="11.15" customHeight="1">
      <c r="A60" s="443"/>
      <c r="B60" s="443"/>
      <c r="C60" s="154" t="s">
        <v>7</v>
      </c>
      <c r="D60" s="313">
        <f>D54</f>
        <v>348073</v>
      </c>
      <c r="E60" s="129">
        <f t="shared" ref="E60:F60" si="28">E42+E48+E54</f>
        <v>125042.1</v>
      </c>
      <c r="F60" s="129">
        <f t="shared" si="28"/>
        <v>1361398.3</v>
      </c>
      <c r="G60" s="307">
        <f t="shared" si="23"/>
        <v>0.3940740502625068</v>
      </c>
      <c r="H60" s="307">
        <f t="shared" si="24"/>
        <v>-6.1651267920178658E-2</v>
      </c>
      <c r="I60" s="313">
        <f t="shared" ref="I60:J61" si="29">I42+I48+I54</f>
        <v>133257.60000000001</v>
      </c>
      <c r="J60" s="129">
        <f t="shared" si="29"/>
        <v>1446479</v>
      </c>
      <c r="K60" s="307">
        <f t="shared" si="26"/>
        <v>0.39825167771696007</v>
      </c>
    </row>
    <row r="61" spans="1:11" ht="11.15" customHeight="1">
      <c r="A61" s="443"/>
      <c r="B61" s="443"/>
      <c r="C61" s="154" t="s">
        <v>93</v>
      </c>
      <c r="D61" s="313">
        <f>D55</f>
        <v>29</v>
      </c>
      <c r="E61" s="129">
        <f>E43+E49+E55</f>
        <v>3265.848</v>
      </c>
      <c r="F61" s="129">
        <f t="shared" ref="F61" si="30">F43+F49+F55</f>
        <v>35548.231159999996</v>
      </c>
      <c r="G61" s="307">
        <f t="shared" si="23"/>
        <v>1.0292421103785903E-2</v>
      </c>
      <c r="H61" s="307">
        <f t="shared" si="24"/>
        <v>5.4202950291662375E-2</v>
      </c>
      <c r="I61" s="313">
        <f>I43+I49+I55</f>
        <v>3097.931</v>
      </c>
      <c r="J61" s="129">
        <f t="shared" si="29"/>
        <v>33623.381580000001</v>
      </c>
      <c r="K61" s="307">
        <f t="shared" si="26"/>
        <v>9.2584304249917447E-3</v>
      </c>
    </row>
    <row r="62" spans="1:11" ht="11.15" customHeight="1">
      <c r="A62" s="444"/>
      <c r="B62" s="444"/>
      <c r="C62" s="318" t="s">
        <v>0</v>
      </c>
      <c r="D62" s="321">
        <f>SUM(D57:D61)</f>
        <v>372773</v>
      </c>
      <c r="E62" s="319">
        <f>SUM(E57:E61)</f>
        <v>317306.09999999998</v>
      </c>
      <c r="F62" s="319">
        <f>SUM(F57:F61)</f>
        <v>3454528.1689799996</v>
      </c>
      <c r="G62" s="320">
        <f>SUM(G57:G61)</f>
        <v>1</v>
      </c>
      <c r="H62" s="320">
        <f>(E62-I62)/I62</f>
        <v>-5.1703717650434237E-2</v>
      </c>
      <c r="I62" s="321">
        <f>SUM(I57:I61)</f>
        <v>334606.5</v>
      </c>
      <c r="J62" s="319">
        <f>SUM(J57:J61)</f>
        <v>3632102.0089599998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D34:D35"/>
    <mergeCell ref="I34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A9:B14"/>
    <mergeCell ref="A15:B20"/>
    <mergeCell ref="A21:B26"/>
    <mergeCell ref="A27:B32"/>
    <mergeCell ref="A34:C34"/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22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16" s="102" customFormat="1" ht="18">
      <c r="A1" s="515" t="s">
        <v>302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5"/>
      <c r="B3" s="535"/>
      <c r="C3" s="535"/>
      <c r="D3" s="300"/>
      <c r="E3" s="300"/>
      <c r="F3" s="301"/>
      <c r="G3" s="302"/>
      <c r="H3" s="302"/>
      <c r="I3" s="302"/>
      <c r="J3" s="76"/>
      <c r="K3" s="76"/>
    </row>
    <row r="4" spans="1:16" ht="13" customHeight="1">
      <c r="A4" s="507" t="s">
        <v>37</v>
      </c>
      <c r="B4" s="507"/>
      <c r="C4" s="507"/>
      <c r="D4" s="501">
        <f>'3.1'!A4</f>
        <v>2024</v>
      </c>
      <c r="E4" s="353"/>
      <c r="F4" s="342"/>
      <c r="G4" s="342"/>
      <c r="H4" s="342"/>
      <c r="I4" s="501">
        <f>D4-1</f>
        <v>2023</v>
      </c>
      <c r="J4" s="502"/>
      <c r="K4" s="502"/>
    </row>
    <row r="5" spans="1:16" ht="25" customHeight="1">
      <c r="A5" s="354"/>
      <c r="B5" s="354"/>
      <c r="C5" s="354"/>
      <c r="D5" s="503"/>
      <c r="E5" s="355"/>
      <c r="F5" s="356"/>
      <c r="G5" s="356"/>
      <c r="H5" s="357"/>
      <c r="I5" s="503"/>
      <c r="J5" s="504"/>
      <c r="K5" s="504"/>
    </row>
    <row r="6" spans="1:16" ht="25" customHeight="1">
      <c r="A6" s="304"/>
      <c r="B6" s="272"/>
      <c r="C6" s="305"/>
      <c r="D6" s="364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16" ht="25" customHeight="1">
      <c r="A7" s="304"/>
      <c r="B7" s="306"/>
      <c r="D7" s="365"/>
      <c r="E7" s="499"/>
      <c r="F7" s="499"/>
      <c r="G7" s="500"/>
      <c r="H7" s="500"/>
      <c r="I7" s="498"/>
      <c r="J7" s="499"/>
      <c r="K7" s="500"/>
    </row>
    <row r="8" spans="1:16" ht="15" customHeight="1">
      <c r="A8" s="508" t="s">
        <v>158</v>
      </c>
      <c r="B8" s="508"/>
      <c r="C8" s="323" t="s">
        <v>184</v>
      </c>
      <c r="D8" s="343"/>
      <c r="E8" s="219" t="s">
        <v>259</v>
      </c>
      <c r="F8" s="219" t="s">
        <v>260</v>
      </c>
      <c r="G8" s="487"/>
      <c r="H8" s="487"/>
      <c r="I8" s="221" t="s">
        <v>259</v>
      </c>
      <c r="J8" s="219" t="s">
        <v>260</v>
      </c>
      <c r="K8" s="487"/>
    </row>
    <row r="9" spans="1:16" ht="11.15" customHeight="1">
      <c r="A9" s="442" t="str">
        <f>'3.1'!D5</f>
        <v>Leden</v>
      </c>
      <c r="B9" s="442"/>
      <c r="C9" s="164" t="s">
        <v>4</v>
      </c>
      <c r="D9" s="312">
        <v>55</v>
      </c>
      <c r="E9" s="308">
        <v>10524.878000000001</v>
      </c>
      <c r="F9" s="308">
        <v>114678.55895000001</v>
      </c>
      <c r="G9" s="309">
        <f>E9/$E$14</f>
        <v>0.38676203845249296</v>
      </c>
      <c r="H9" s="309">
        <f>(E9-I9)/I9</f>
        <v>0.13356159920523758</v>
      </c>
      <c r="I9" s="312">
        <v>9284.7870000000003</v>
      </c>
      <c r="J9" s="308">
        <v>101095.55930999995</v>
      </c>
      <c r="K9" s="309">
        <f>I9/$I$14</f>
        <v>0.40585506904284202</v>
      </c>
    </row>
    <row r="10" spans="1:16" ht="11.15" customHeight="1">
      <c r="A10" s="443"/>
      <c r="B10" s="443"/>
      <c r="C10" s="154" t="s">
        <v>5</v>
      </c>
      <c r="D10" s="313">
        <v>158</v>
      </c>
      <c r="E10" s="129">
        <v>2640.25</v>
      </c>
      <c r="F10" s="129">
        <v>28767.949860000008</v>
      </c>
      <c r="G10" s="307">
        <f>E10/$E$14</f>
        <v>9.7022357126058334E-2</v>
      </c>
      <c r="H10" s="307">
        <f>(E10-I10)/I10</f>
        <v>0.21654417134692336</v>
      </c>
      <c r="I10" s="313">
        <v>2170.2869999999998</v>
      </c>
      <c r="J10" s="129">
        <v>23630.972159999998</v>
      </c>
      <c r="K10" s="307">
        <f>I10/$I$14</f>
        <v>9.4867225303906524E-2</v>
      </c>
      <c r="L10" s="93"/>
      <c r="N10" s="93"/>
      <c r="O10" s="93"/>
      <c r="P10" s="93"/>
    </row>
    <row r="11" spans="1:16" ht="11.15" customHeight="1">
      <c r="A11" s="443"/>
      <c r="B11" s="443"/>
      <c r="C11" s="154" t="s">
        <v>6</v>
      </c>
      <c r="D11" s="313">
        <v>5798</v>
      </c>
      <c r="E11" s="129">
        <v>5890.6689999999999</v>
      </c>
      <c r="F11" s="129">
        <v>64184.520530000002</v>
      </c>
      <c r="G11" s="307">
        <f>E11/$E$14</f>
        <v>0.21646684648400752</v>
      </c>
      <c r="H11" s="307">
        <f t="shared" ref="H11:H13" si="0">(E11-I11)/I11</f>
        <v>0.20124576858762586</v>
      </c>
      <c r="I11" s="313">
        <v>4903.8</v>
      </c>
      <c r="J11" s="129">
        <v>53394</v>
      </c>
      <c r="K11" s="307">
        <f>I11/$I$14</f>
        <v>0.21435409208334974</v>
      </c>
      <c r="L11" s="93"/>
      <c r="N11" s="93"/>
      <c r="O11" s="93"/>
      <c r="P11" s="93"/>
    </row>
    <row r="12" spans="1:16" ht="11.15" customHeight="1">
      <c r="A12" s="443"/>
      <c r="B12" s="443"/>
      <c r="C12" s="154" t="s">
        <v>7</v>
      </c>
      <c r="D12" s="313">
        <v>76099</v>
      </c>
      <c r="E12" s="129">
        <v>7806.3</v>
      </c>
      <c r="F12" s="129">
        <v>85057.7</v>
      </c>
      <c r="G12" s="307">
        <f>E12/$E$14</f>
        <v>0.28686132996237068</v>
      </c>
      <c r="H12" s="307">
        <f t="shared" si="0"/>
        <v>0.22817809943360606</v>
      </c>
      <c r="I12" s="313">
        <v>6356</v>
      </c>
      <c r="J12" s="129">
        <v>69206.100000000006</v>
      </c>
      <c r="K12" s="307">
        <f>I12/$I$14</f>
        <v>0.27783241757040883</v>
      </c>
      <c r="L12" s="93"/>
      <c r="N12" s="93"/>
      <c r="O12" s="93"/>
      <c r="P12" s="93"/>
    </row>
    <row r="13" spans="1:16" ht="11.15" customHeight="1">
      <c r="A13" s="443"/>
      <c r="B13" s="443"/>
      <c r="C13" s="154" t="s">
        <v>93</v>
      </c>
      <c r="D13" s="313">
        <v>10</v>
      </c>
      <c r="E13" s="129">
        <v>350.70299999999997</v>
      </c>
      <c r="F13" s="129">
        <v>3821.2656699999998</v>
      </c>
      <c r="G13" s="307">
        <f>E13/$E$14</f>
        <v>1.2887427975070554E-2</v>
      </c>
      <c r="H13" s="307">
        <f t="shared" si="0"/>
        <v>1.1618174645247985</v>
      </c>
      <c r="I13" s="313">
        <v>162.226</v>
      </c>
      <c r="J13" s="129">
        <v>1766.3683599999999</v>
      </c>
      <c r="K13" s="307">
        <f>I13/$I$14</f>
        <v>7.0911959994929431E-3</v>
      </c>
      <c r="L13" s="93"/>
      <c r="N13" s="93"/>
      <c r="O13" s="93"/>
      <c r="P13" s="93"/>
    </row>
    <row r="14" spans="1:16" ht="11.15" customHeight="1">
      <c r="A14" s="444"/>
      <c r="B14" s="444"/>
      <c r="C14" s="318" t="s">
        <v>0</v>
      </c>
      <c r="D14" s="321">
        <v>82120</v>
      </c>
      <c r="E14" s="319">
        <v>27212.799999999999</v>
      </c>
      <c r="F14" s="319">
        <v>296509.99501000001</v>
      </c>
      <c r="G14" s="320">
        <f>SUM(G9:G13)</f>
        <v>1</v>
      </c>
      <c r="H14" s="320">
        <f>(E14-I14)/I14</f>
        <v>0.18952139912838606</v>
      </c>
      <c r="I14" s="321">
        <v>22877.1</v>
      </c>
      <c r="J14" s="319">
        <v>249092.99982999996</v>
      </c>
      <c r="K14" s="320">
        <f>SUM(K9:K13)</f>
        <v>1.0000000000000002</v>
      </c>
      <c r="L14" s="93"/>
    </row>
    <row r="15" spans="1:16" ht="11.15" customHeight="1">
      <c r="A15" s="442" t="str">
        <f>'3.1'!E5</f>
        <v>Únor</v>
      </c>
      <c r="B15" s="442"/>
      <c r="C15" s="164" t="s">
        <v>4</v>
      </c>
      <c r="D15" s="312">
        <v>55</v>
      </c>
      <c r="E15" s="308">
        <v>11633.01</v>
      </c>
      <c r="F15" s="308">
        <v>126651.25431</v>
      </c>
      <c r="G15" s="309">
        <f>E15/$E$20</f>
        <v>0.52502166338707057</v>
      </c>
      <c r="H15" s="309">
        <f>(E15-I15)/I15</f>
        <v>0.34719172781214891</v>
      </c>
      <c r="I15" s="312">
        <v>8635.0069999999996</v>
      </c>
      <c r="J15" s="308">
        <v>93607.968300000022</v>
      </c>
      <c r="K15" s="309">
        <f>I15/$I$20</f>
        <v>0.39709579957140362</v>
      </c>
      <c r="L15" s="93"/>
      <c r="M15" s="93"/>
    </row>
    <row r="16" spans="1:16" ht="11.15" customHeight="1">
      <c r="A16" s="443"/>
      <c r="B16" s="443"/>
      <c r="C16" s="154" t="s">
        <v>5</v>
      </c>
      <c r="D16" s="313">
        <v>158</v>
      </c>
      <c r="E16" s="129">
        <v>1850.1969999999999</v>
      </c>
      <c r="F16" s="129">
        <v>20143.49394</v>
      </c>
      <c r="G16" s="307">
        <f>E16/$E$20</f>
        <v>8.3503195349592899E-2</v>
      </c>
      <c r="H16" s="307">
        <f>(E16-I16)/I16</f>
        <v>-0.12267284112775281</v>
      </c>
      <c r="I16" s="313">
        <v>2108.902</v>
      </c>
      <c r="J16" s="129">
        <v>22861.498970000008</v>
      </c>
      <c r="K16" s="307">
        <f>I16/$I$20</f>
        <v>9.6981522528902672E-2</v>
      </c>
      <c r="L16" s="97"/>
      <c r="M16" s="93"/>
    </row>
    <row r="17" spans="1:20" ht="11.15" customHeight="1">
      <c r="A17" s="443"/>
      <c r="B17" s="443"/>
      <c r="C17" s="154" t="s">
        <v>6</v>
      </c>
      <c r="D17" s="313">
        <v>5793</v>
      </c>
      <c r="E17" s="129">
        <v>3618.2579999999998</v>
      </c>
      <c r="F17" s="129">
        <v>39392.922250000003</v>
      </c>
      <c r="G17" s="307">
        <f>E17/$E$20</f>
        <v>0.16329942411496037</v>
      </c>
      <c r="H17" s="307">
        <f t="shared" ref="H17:H20" si="1">(E17-I17)/I17</f>
        <v>-0.21665958362082269</v>
      </c>
      <c r="I17" s="313">
        <v>4619.0109999999995</v>
      </c>
      <c r="J17" s="129">
        <v>50071.788779999995</v>
      </c>
      <c r="K17" s="307">
        <f>I17/$I$20</f>
        <v>0.21241324601984787</v>
      </c>
      <c r="L17" s="93"/>
      <c r="M17" s="93"/>
      <c r="N17" s="93"/>
      <c r="O17" s="93"/>
    </row>
    <row r="18" spans="1:20" ht="11.15" customHeight="1">
      <c r="A18" s="443"/>
      <c r="B18" s="443"/>
      <c r="C18" s="154" t="s">
        <v>7</v>
      </c>
      <c r="D18" s="313">
        <v>76027</v>
      </c>
      <c r="E18" s="129">
        <v>4750.3</v>
      </c>
      <c r="F18" s="129">
        <v>51717.8</v>
      </c>
      <c r="G18" s="307">
        <f>E18/$E$20</f>
        <v>0.21439080750275305</v>
      </c>
      <c r="H18" s="307">
        <f t="shared" si="1"/>
        <v>-0.23703441962062929</v>
      </c>
      <c r="I18" s="313">
        <v>6226.1</v>
      </c>
      <c r="J18" s="129">
        <v>67493.600000000006</v>
      </c>
      <c r="K18" s="307">
        <f>I18/$I$20</f>
        <v>0.28631802588133587</v>
      </c>
      <c r="L18" s="93"/>
      <c r="M18" s="93"/>
      <c r="N18" s="93"/>
      <c r="O18" s="93"/>
    </row>
    <row r="19" spans="1:20" ht="11.15" customHeight="1">
      <c r="A19" s="443"/>
      <c r="B19" s="443"/>
      <c r="C19" s="154" t="s">
        <v>93</v>
      </c>
      <c r="D19" s="313">
        <v>10</v>
      </c>
      <c r="E19" s="129">
        <v>305.435</v>
      </c>
      <c r="F19" s="129">
        <v>3325.3518199999999</v>
      </c>
      <c r="G19" s="307">
        <f>E19/$E$20</f>
        <v>1.3784909645623093E-2</v>
      </c>
      <c r="H19" s="307">
        <f t="shared" si="1"/>
        <v>0.95315897173551611</v>
      </c>
      <c r="I19" s="313">
        <v>156.38</v>
      </c>
      <c r="J19" s="129">
        <v>1695.23371</v>
      </c>
      <c r="K19" s="307">
        <f>I19/$I$20</f>
        <v>7.1914059985100304E-3</v>
      </c>
      <c r="L19" s="93"/>
      <c r="M19" s="93"/>
      <c r="N19" s="93"/>
      <c r="O19" s="93"/>
    </row>
    <row r="20" spans="1:20" ht="11.15" customHeight="1">
      <c r="A20" s="444"/>
      <c r="B20" s="444"/>
      <c r="C20" s="318" t="s">
        <v>0</v>
      </c>
      <c r="D20" s="321">
        <v>82043</v>
      </c>
      <c r="E20" s="319">
        <v>22157.200000000001</v>
      </c>
      <c r="F20" s="319">
        <v>241230.82232000001</v>
      </c>
      <c r="G20" s="320">
        <f>SUM(G15:G19)</f>
        <v>1</v>
      </c>
      <c r="H20" s="320">
        <f t="shared" si="1"/>
        <v>1.8937338471584932E-2</v>
      </c>
      <c r="I20" s="321">
        <v>21745.399999999998</v>
      </c>
      <c r="J20" s="319">
        <v>235730.08976000003</v>
      </c>
      <c r="K20" s="320">
        <f>SUM(K15:K19)</f>
        <v>1.0000000000000002</v>
      </c>
      <c r="L20" s="93"/>
      <c r="M20" s="93"/>
      <c r="N20" s="93"/>
      <c r="O20" s="93"/>
    </row>
    <row r="21" spans="1:20" ht="11.15" customHeight="1">
      <c r="A21" s="442" t="str">
        <f>'3.1'!F5</f>
        <v>Březen</v>
      </c>
      <c r="B21" s="442"/>
      <c r="C21" s="164" t="s">
        <v>4</v>
      </c>
      <c r="D21" s="312">
        <v>53</v>
      </c>
      <c r="E21" s="308">
        <v>11882.388000000001</v>
      </c>
      <c r="F21" s="308">
        <v>129176.23268</v>
      </c>
      <c r="G21" s="309">
        <f>E21/$E$26</f>
        <v>0.56505575713191958</v>
      </c>
      <c r="H21" s="309">
        <f>(E21-I21)/I21</f>
        <v>0.37517850291906318</v>
      </c>
      <c r="I21" s="312">
        <v>8640.6149999999998</v>
      </c>
      <c r="J21" s="308">
        <v>93579.975330000001</v>
      </c>
      <c r="K21" s="309">
        <f>I21/$I$26</f>
        <v>0.43937490147820824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5" customHeight="1">
      <c r="A22" s="443"/>
      <c r="B22" s="443"/>
      <c r="C22" s="154" t="s">
        <v>5</v>
      </c>
      <c r="D22" s="313">
        <v>152</v>
      </c>
      <c r="E22" s="129">
        <v>1661.9109999999998</v>
      </c>
      <c r="F22" s="129">
        <v>18067.535930000005</v>
      </c>
      <c r="G22" s="307">
        <f>E22/$E$26</f>
        <v>7.903061054653876E-2</v>
      </c>
      <c r="H22" s="307">
        <f t="shared" ref="H22:H26" si="2">(E22-I22)/I22</f>
        <v>-0.14577147083722483</v>
      </c>
      <c r="I22" s="313">
        <v>1945.511</v>
      </c>
      <c r="J22" s="129">
        <v>21069.726480000008</v>
      </c>
      <c r="K22" s="307">
        <f>I22/$I$26</f>
        <v>9.8929150754867606E-2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5" customHeight="1">
      <c r="A23" s="443"/>
      <c r="B23" s="443"/>
      <c r="C23" s="154" t="s">
        <v>6</v>
      </c>
      <c r="D23" s="313">
        <v>5787</v>
      </c>
      <c r="E23" s="129">
        <v>3190.0860000000002</v>
      </c>
      <c r="F23" s="129">
        <v>34680.213500000005</v>
      </c>
      <c r="G23" s="307">
        <f>E23/$E$26</f>
        <v>0.15170153171617834</v>
      </c>
      <c r="H23" s="307">
        <f t="shared" si="2"/>
        <v>-0.17216311320558858</v>
      </c>
      <c r="I23" s="313">
        <v>3853.52</v>
      </c>
      <c r="J23" s="129">
        <v>41734.065999999999</v>
      </c>
      <c r="K23" s="307">
        <f>I23/$I$26</f>
        <v>0.19595132642112917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5" customHeight="1">
      <c r="A24" s="443"/>
      <c r="B24" s="443"/>
      <c r="C24" s="154" t="s">
        <v>7</v>
      </c>
      <c r="D24" s="313">
        <v>75944</v>
      </c>
      <c r="E24" s="129">
        <v>3987.7</v>
      </c>
      <c r="F24" s="129">
        <v>43351.3</v>
      </c>
      <c r="G24" s="307">
        <f>E24/$E$26</f>
        <v>0.18963131339550229</v>
      </c>
      <c r="H24" s="307">
        <f t="shared" si="2"/>
        <v>-0.21023132377406323</v>
      </c>
      <c r="I24" s="313">
        <v>5049.2</v>
      </c>
      <c r="J24" s="129">
        <v>54684.1</v>
      </c>
      <c r="K24" s="307">
        <f>I24/$I$26</f>
        <v>0.25675160304489542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5" customHeight="1">
      <c r="A25" s="443"/>
      <c r="B25" s="443"/>
      <c r="C25" s="154" t="s">
        <v>93</v>
      </c>
      <c r="D25" s="313">
        <v>10</v>
      </c>
      <c r="E25" s="129">
        <v>306.61500000000001</v>
      </c>
      <c r="F25" s="129">
        <v>3333.2766799999999</v>
      </c>
      <c r="G25" s="307">
        <f>E25/$E$26</f>
        <v>1.4580787209860807E-2</v>
      </c>
      <c r="H25" s="307">
        <f t="shared" si="2"/>
        <v>0.7337182082395648</v>
      </c>
      <c r="I25" s="313">
        <v>176.85400000000001</v>
      </c>
      <c r="J25" s="129">
        <v>1915.3612499999999</v>
      </c>
      <c r="K25" s="307">
        <f>I25/$I$26</f>
        <v>8.9930183008995364E-3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5" customHeight="1">
      <c r="A26" s="444"/>
      <c r="B26" s="444"/>
      <c r="C26" s="318" t="s">
        <v>0</v>
      </c>
      <c r="D26" s="321">
        <v>81946</v>
      </c>
      <c r="E26" s="319">
        <v>21028.700000000004</v>
      </c>
      <c r="F26" s="319">
        <v>228608.55879000004</v>
      </c>
      <c r="G26" s="320">
        <f>SUM(G21:G25)</f>
        <v>0.99999999999999967</v>
      </c>
      <c r="H26" s="320">
        <f t="shared" si="2"/>
        <v>6.9308491434324923E-2</v>
      </c>
      <c r="I26" s="321">
        <v>19665.7</v>
      </c>
      <c r="J26" s="319">
        <v>212983.22906000001</v>
      </c>
      <c r="K26" s="320">
        <f>SUM(K21:K25)</f>
        <v>0.99999999999999989</v>
      </c>
    </row>
    <row r="27" spans="1:20" ht="11.15" customHeight="1">
      <c r="A27" s="511" t="str">
        <f>'3.1'!G5</f>
        <v>I. čtvrtletí</v>
      </c>
      <c r="B27" s="442"/>
      <c r="C27" s="164" t="s">
        <v>4</v>
      </c>
      <c r="D27" s="312">
        <f>D21</f>
        <v>53</v>
      </c>
      <c r="E27" s="308">
        <f>E9+E15+E21</f>
        <v>34040.275999999998</v>
      </c>
      <c r="F27" s="308">
        <f>F9+F15+F21</f>
        <v>370506.04594000004</v>
      </c>
      <c r="G27" s="309">
        <f>E27/$E$32</f>
        <v>0.48353557665127339</v>
      </c>
      <c r="H27" s="309">
        <f>(E27-I27)/I27</f>
        <v>0.2816171618441568</v>
      </c>
      <c r="I27" s="312">
        <f>I9+I15+I21</f>
        <v>26560.409</v>
      </c>
      <c r="J27" s="308">
        <f>J9+J15+J21</f>
        <v>288283.50293999998</v>
      </c>
      <c r="K27" s="309">
        <f>I27/$I$32</f>
        <v>0.41314594280132283</v>
      </c>
    </row>
    <row r="28" spans="1:20" ht="11.15" customHeight="1">
      <c r="A28" s="443"/>
      <c r="B28" s="443"/>
      <c r="C28" s="154" t="s">
        <v>5</v>
      </c>
      <c r="D28" s="313">
        <f>D22</f>
        <v>152</v>
      </c>
      <c r="E28" s="129">
        <f t="shared" ref="E28:F31" si="3">E10+E16+E22</f>
        <v>6152.3580000000002</v>
      </c>
      <c r="F28" s="129">
        <f t="shared" si="3"/>
        <v>66978.979730000021</v>
      </c>
      <c r="G28" s="307">
        <f>E28/$E$32</f>
        <v>8.739306265598655E-2</v>
      </c>
      <c r="H28" s="307">
        <f t="shared" ref="H28:H31" si="4">(E28-I28)/I28</f>
        <v>-1.1621764904332827E-2</v>
      </c>
      <c r="I28" s="313">
        <f t="shared" ref="I28:J28" si="5">I10+I16+I22</f>
        <v>6224.7000000000007</v>
      </c>
      <c r="J28" s="129">
        <f t="shared" si="5"/>
        <v>67562.197610000017</v>
      </c>
      <c r="K28" s="307">
        <f>I28/$I$32</f>
        <v>9.6824922769652932E-2</v>
      </c>
    </row>
    <row r="29" spans="1:20" ht="11.15" customHeight="1">
      <c r="A29" s="443"/>
      <c r="B29" s="443"/>
      <c r="C29" s="154" t="s">
        <v>6</v>
      </c>
      <c r="D29" s="313">
        <f>D23</f>
        <v>5787</v>
      </c>
      <c r="E29" s="129">
        <f t="shared" si="3"/>
        <v>12699.012999999999</v>
      </c>
      <c r="F29" s="129">
        <f t="shared" si="3"/>
        <v>138257.65628000002</v>
      </c>
      <c r="G29" s="307">
        <f>E29/$E$32</f>
        <v>0.18038703839701584</v>
      </c>
      <c r="H29" s="307">
        <f t="shared" si="4"/>
        <v>-5.0635559182858225E-2</v>
      </c>
      <c r="I29" s="313">
        <f t="shared" ref="I29:J29" si="6">I11+I17+I23</f>
        <v>13376.331</v>
      </c>
      <c r="J29" s="129">
        <f t="shared" si="6"/>
        <v>145199.85477999999</v>
      </c>
      <c r="K29" s="307">
        <f>I29/$I$32</f>
        <v>0.20806821469569847</v>
      </c>
    </row>
    <row r="30" spans="1:20" ht="11.15" customHeight="1">
      <c r="A30" s="443"/>
      <c r="B30" s="443"/>
      <c r="C30" s="154" t="s">
        <v>7</v>
      </c>
      <c r="D30" s="313">
        <f>D24</f>
        <v>75944</v>
      </c>
      <c r="E30" s="129">
        <f t="shared" si="3"/>
        <v>16544.3</v>
      </c>
      <c r="F30" s="129">
        <f t="shared" si="3"/>
        <v>180126.8</v>
      </c>
      <c r="G30" s="307">
        <f>E30/$E$32</f>
        <v>0.23500860101109822</v>
      </c>
      <c r="H30" s="307">
        <f t="shared" si="4"/>
        <v>-6.1651721654103785E-2</v>
      </c>
      <c r="I30" s="313">
        <f t="shared" ref="I30:J30" si="7">I12+I18+I24</f>
        <v>17631.3</v>
      </c>
      <c r="J30" s="129">
        <f t="shared" si="7"/>
        <v>191383.80000000002</v>
      </c>
      <c r="K30" s="307">
        <f>I30/$I$32</f>
        <v>0.27425406217626253</v>
      </c>
    </row>
    <row r="31" spans="1:20" ht="11.15" customHeight="1">
      <c r="A31" s="443"/>
      <c r="B31" s="443"/>
      <c r="C31" s="154" t="s">
        <v>93</v>
      </c>
      <c r="D31" s="313">
        <f>D25</f>
        <v>10</v>
      </c>
      <c r="E31" s="129">
        <f>E13+E19+E25</f>
        <v>962.75299999999993</v>
      </c>
      <c r="F31" s="129">
        <f t="shared" si="3"/>
        <v>10479.89417</v>
      </c>
      <c r="G31" s="307">
        <f>E31/$E$32</f>
        <v>1.3675721284625995E-2</v>
      </c>
      <c r="H31" s="307">
        <f t="shared" si="4"/>
        <v>0.94314980018568573</v>
      </c>
      <c r="I31" s="313">
        <f>I13+I19+I25</f>
        <v>495.46000000000004</v>
      </c>
      <c r="J31" s="129">
        <f t="shared" ref="J31" si="8">J13+J19+J25</f>
        <v>5376.9633199999998</v>
      </c>
      <c r="K31" s="307">
        <f>I31/$I$32</f>
        <v>7.7068575570633513E-3</v>
      </c>
    </row>
    <row r="32" spans="1:20" ht="11.15" customHeight="1">
      <c r="A32" s="444"/>
      <c r="B32" s="444"/>
      <c r="C32" s="318" t="s">
        <v>0</v>
      </c>
      <c r="D32" s="321">
        <f>SUM(D27:D31)</f>
        <v>81946</v>
      </c>
      <c r="E32" s="319">
        <f>SUM(E27:E31)</f>
        <v>70398.7</v>
      </c>
      <c r="F32" s="319">
        <f>SUM(F27:F31)</f>
        <v>766349.37612000015</v>
      </c>
      <c r="G32" s="320">
        <f>SUM(G27:G31)</f>
        <v>1</v>
      </c>
      <c r="H32" s="320">
        <f>(E32-I32)/I32</f>
        <v>9.5048547011737899E-2</v>
      </c>
      <c r="I32" s="321">
        <f>SUM(I27:I31)</f>
        <v>64288.19999999999</v>
      </c>
      <c r="J32" s="319">
        <f>SUM(J27:J31)</f>
        <v>697806.31865000003</v>
      </c>
      <c r="K32" s="320">
        <f>SUM(K27:K31)</f>
        <v>1.0000000000000002</v>
      </c>
    </row>
    <row r="33" spans="1:11" ht="10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3" customHeight="1">
      <c r="A34" s="536" t="s">
        <v>38</v>
      </c>
      <c r="B34" s="536"/>
      <c r="C34" s="536"/>
      <c r="D34" s="501">
        <f>D4</f>
        <v>2024</v>
      </c>
      <c r="E34" s="353"/>
      <c r="F34" s="342"/>
      <c r="G34" s="342"/>
      <c r="H34" s="342"/>
      <c r="I34" s="501">
        <f>D34-1</f>
        <v>2023</v>
      </c>
      <c r="J34" s="502"/>
      <c r="K34" s="502"/>
    </row>
    <row r="35" spans="1:11" ht="25" customHeight="1">
      <c r="A35" s="304"/>
      <c r="B35" s="272"/>
      <c r="C35" s="150"/>
      <c r="D35" s="503"/>
      <c r="E35" s="355"/>
      <c r="F35" s="356"/>
      <c r="G35" s="356"/>
      <c r="H35" s="357"/>
      <c r="I35" s="503"/>
      <c r="J35" s="504"/>
      <c r="K35" s="504"/>
    </row>
    <row r="36" spans="1:11" ht="25" customHeight="1">
      <c r="A36" s="130"/>
      <c r="B36" s="131"/>
      <c r="C36" s="352"/>
      <c r="D36" s="364" t="s">
        <v>159</v>
      </c>
      <c r="E36" s="499" t="s">
        <v>60</v>
      </c>
      <c r="F36" s="499"/>
      <c r="G36" s="500" t="s">
        <v>33</v>
      </c>
      <c r="H36" s="500" t="s">
        <v>268</v>
      </c>
      <c r="I36" s="498" t="s">
        <v>60</v>
      </c>
      <c r="J36" s="499"/>
      <c r="K36" s="500" t="s">
        <v>33</v>
      </c>
    </row>
    <row r="37" spans="1:11" ht="25" customHeight="1">
      <c r="A37" s="130"/>
      <c r="B37" s="306"/>
      <c r="C37" s="306"/>
      <c r="D37" s="365"/>
      <c r="E37" s="499"/>
      <c r="F37" s="499"/>
      <c r="G37" s="500"/>
      <c r="H37" s="500"/>
      <c r="I37" s="498"/>
      <c r="J37" s="499"/>
      <c r="K37" s="500"/>
    </row>
    <row r="38" spans="1:11" ht="15" customHeight="1">
      <c r="A38" s="537" t="s">
        <v>158</v>
      </c>
      <c r="B38" s="537"/>
      <c r="C38" s="366" t="s">
        <v>184</v>
      </c>
      <c r="D38" s="343"/>
      <c r="E38" s="219" t="s">
        <v>259</v>
      </c>
      <c r="F38" s="219" t="s">
        <v>260</v>
      </c>
      <c r="G38" s="487"/>
      <c r="H38" s="487"/>
      <c r="I38" s="221" t="s">
        <v>259</v>
      </c>
      <c r="J38" s="219" t="s">
        <v>260</v>
      </c>
      <c r="K38" s="487"/>
    </row>
    <row r="39" spans="1:11" ht="11.15" customHeight="1">
      <c r="A39" s="442" t="str">
        <f>'3.1'!D5</f>
        <v>Leden</v>
      </c>
      <c r="B39" s="442"/>
      <c r="C39" s="164" t="s">
        <v>4</v>
      </c>
      <c r="D39" s="312">
        <v>76</v>
      </c>
      <c r="E39" s="308">
        <v>15105.232</v>
      </c>
      <c r="F39" s="308">
        <v>164587.03187000001</v>
      </c>
      <c r="G39" s="309">
        <f>E39/$E$44</f>
        <v>0.33446329485016363</v>
      </c>
      <c r="H39" s="309">
        <f>(E39-I39)/I39</f>
        <v>0.18669855868422958</v>
      </c>
      <c r="I39" s="312">
        <v>12728.786</v>
      </c>
      <c r="J39" s="308">
        <v>138594.78707999998</v>
      </c>
      <c r="K39" s="309">
        <f>I39/$I$44</f>
        <v>0.34133576107972136</v>
      </c>
    </row>
    <row r="40" spans="1:11" ht="11.15" customHeight="1">
      <c r="A40" s="443"/>
      <c r="B40" s="443"/>
      <c r="C40" s="154" t="s">
        <v>5</v>
      </c>
      <c r="D40" s="313">
        <v>242</v>
      </c>
      <c r="E40" s="129">
        <v>4255.1450000000004</v>
      </c>
      <c r="F40" s="129">
        <v>46364.353919999972</v>
      </c>
      <c r="G40" s="307">
        <f t="shared" ref="G40" si="9">E40/$E$44</f>
        <v>9.421833552541263E-2</v>
      </c>
      <c r="H40" s="307">
        <f>(E40-I40)/I40</f>
        <v>0.26399518777337982</v>
      </c>
      <c r="I40" s="313">
        <v>3366.4250000000002</v>
      </c>
      <c r="J40" s="129">
        <v>36654.775950000017</v>
      </c>
      <c r="K40" s="307">
        <f t="shared" ref="K40:K43" si="10">I40/$I$44</f>
        <v>9.0274220926709045E-2</v>
      </c>
    </row>
    <row r="41" spans="1:11" ht="11.15" customHeight="1">
      <c r="A41" s="443"/>
      <c r="B41" s="443"/>
      <c r="C41" s="154" t="s">
        <v>6</v>
      </c>
      <c r="D41" s="313">
        <v>9783</v>
      </c>
      <c r="E41" s="129">
        <v>9355.4079999999994</v>
      </c>
      <c r="F41" s="129">
        <v>101936.94968999999</v>
      </c>
      <c r="G41" s="307">
        <f>E41/$E$44</f>
        <v>0.20714945552293268</v>
      </c>
      <c r="H41" s="307">
        <f t="shared" ref="H41:H43" si="11">(E41-I41)/I41</f>
        <v>0.2054541619469599</v>
      </c>
      <c r="I41" s="313">
        <v>7760.8990000000003</v>
      </c>
      <c r="J41" s="129">
        <v>84502.812829999995</v>
      </c>
      <c r="K41" s="307">
        <f t="shared" si="10"/>
        <v>0.20811665518045858</v>
      </c>
    </row>
    <row r="42" spans="1:11" ht="11.15" customHeight="1">
      <c r="A42" s="443"/>
      <c r="B42" s="443"/>
      <c r="C42" s="154" t="s">
        <v>7</v>
      </c>
      <c r="D42" s="313">
        <v>105063</v>
      </c>
      <c r="E42" s="129">
        <v>16332.7</v>
      </c>
      <c r="F42" s="129">
        <v>177961.60000000001</v>
      </c>
      <c r="G42" s="307">
        <f>E42/$E$44</f>
        <v>0.36164215523464111</v>
      </c>
      <c r="H42" s="307">
        <f t="shared" si="11"/>
        <v>0.22817954174593758</v>
      </c>
      <c r="I42" s="313">
        <v>13298.3</v>
      </c>
      <c r="J42" s="129">
        <v>144796.20000000001</v>
      </c>
      <c r="K42" s="307">
        <f t="shared" si="10"/>
        <v>0.35660787694650997</v>
      </c>
    </row>
    <row r="43" spans="1:11" ht="11.15" customHeight="1">
      <c r="A43" s="443"/>
      <c r="B43" s="443"/>
      <c r="C43" s="154" t="s">
        <v>93</v>
      </c>
      <c r="D43" s="313">
        <v>15</v>
      </c>
      <c r="E43" s="129">
        <v>114.11499999999999</v>
      </c>
      <c r="F43" s="129">
        <v>1243.3952199999999</v>
      </c>
      <c r="G43" s="307">
        <f>E43/$E$44</f>
        <v>2.5267588668500041E-3</v>
      </c>
      <c r="H43" s="307">
        <f t="shared" si="11"/>
        <v>-0.16515472968029851</v>
      </c>
      <c r="I43" s="313">
        <v>136.69</v>
      </c>
      <c r="J43" s="129">
        <v>1488.3285100000003</v>
      </c>
      <c r="K43" s="307">
        <f t="shared" si="10"/>
        <v>3.6654858666008774E-3</v>
      </c>
    </row>
    <row r="44" spans="1:11" ht="11.15" customHeight="1">
      <c r="A44" s="444"/>
      <c r="B44" s="444"/>
      <c r="C44" s="318" t="s">
        <v>0</v>
      </c>
      <c r="D44" s="321">
        <v>115179</v>
      </c>
      <c r="E44" s="319">
        <v>45162.6</v>
      </c>
      <c r="F44" s="319">
        <v>492093.33069999999</v>
      </c>
      <c r="G44" s="320">
        <f>SUM(G39:G43)</f>
        <v>1.0000000000000002</v>
      </c>
      <c r="H44" s="320">
        <f>(E44-I44)/I44</f>
        <v>0.2110825371201169</v>
      </c>
      <c r="I44" s="321">
        <v>37291.100000000006</v>
      </c>
      <c r="J44" s="319">
        <v>406036.90437</v>
      </c>
      <c r="K44" s="320">
        <f>SUM(K39:K43)</f>
        <v>0.99999999999999989</v>
      </c>
    </row>
    <row r="45" spans="1:11" ht="11.15" customHeight="1">
      <c r="A45" s="442" t="str">
        <f>'3.1'!E5</f>
        <v>Únor</v>
      </c>
      <c r="B45" s="442"/>
      <c r="C45" s="164" t="s">
        <v>4</v>
      </c>
      <c r="D45" s="312">
        <v>76</v>
      </c>
      <c r="E45" s="308">
        <v>11163.08</v>
      </c>
      <c r="F45" s="308">
        <v>121535.17862000001</v>
      </c>
      <c r="G45" s="309">
        <f>E45/$E$50</f>
        <v>0.37299163005162306</v>
      </c>
      <c r="H45" s="309">
        <f>(E45-I45)/I45</f>
        <v>-0.12526008692170942</v>
      </c>
      <c r="I45" s="312">
        <v>12761.599</v>
      </c>
      <c r="J45" s="308">
        <v>138341.26357000001</v>
      </c>
      <c r="K45" s="309">
        <f>I45/$I$50</f>
        <v>0.3495696394624534</v>
      </c>
    </row>
    <row r="46" spans="1:11" ht="11.15" customHeight="1">
      <c r="A46" s="443"/>
      <c r="B46" s="443"/>
      <c r="C46" s="154" t="s">
        <v>5</v>
      </c>
      <c r="D46" s="313">
        <v>242</v>
      </c>
      <c r="E46" s="129">
        <v>2967.4659999999999</v>
      </c>
      <c r="F46" s="129">
        <v>32307.920460000001</v>
      </c>
      <c r="G46" s="307">
        <f t="shared" ref="G46:G49" si="12">E46/$E$50</f>
        <v>9.9151845231134197E-2</v>
      </c>
      <c r="H46" s="307">
        <f>(E46-I46)/I46</f>
        <v>-9.1631619724324348E-2</v>
      </c>
      <c r="I46" s="313">
        <v>3266.8090000000002</v>
      </c>
      <c r="J46" s="129">
        <v>35413.845189999971</v>
      </c>
      <c r="K46" s="307">
        <f t="shared" ref="K46:K49" si="13">I46/$I$50</f>
        <v>8.9485435510291297E-2</v>
      </c>
    </row>
    <row r="47" spans="1:11" ht="11.15" customHeight="1">
      <c r="A47" s="443"/>
      <c r="B47" s="443"/>
      <c r="C47" s="154" t="s">
        <v>6</v>
      </c>
      <c r="D47" s="313">
        <v>9774</v>
      </c>
      <c r="E47" s="129">
        <v>5737.308</v>
      </c>
      <c r="F47" s="129">
        <v>62463.184959999999</v>
      </c>
      <c r="G47" s="307">
        <f t="shared" si="12"/>
        <v>0.19170048615867818</v>
      </c>
      <c r="H47" s="307">
        <f t="shared" ref="H47:H49" si="14">(E47-I47)/I47</f>
        <v>-0.21709926080780315</v>
      </c>
      <c r="I47" s="313">
        <v>7328.2699999999995</v>
      </c>
      <c r="J47" s="129">
        <v>79442.395860000004</v>
      </c>
      <c r="K47" s="307">
        <f t="shared" si="13"/>
        <v>0.20073822267754324</v>
      </c>
    </row>
    <row r="48" spans="1:11" ht="11.15" customHeight="1">
      <c r="A48" s="443"/>
      <c r="B48" s="443"/>
      <c r="C48" s="154" t="s">
        <v>7</v>
      </c>
      <c r="D48" s="313">
        <v>104963</v>
      </c>
      <c r="E48" s="129">
        <v>9938.7999999999993</v>
      </c>
      <c r="F48" s="129">
        <v>108206.39999999999</v>
      </c>
      <c r="G48" s="307">
        <f t="shared" si="12"/>
        <v>0.33208480211169955</v>
      </c>
      <c r="H48" s="307">
        <f t="shared" si="14"/>
        <v>-0.23703220358499985</v>
      </c>
      <c r="I48" s="313">
        <v>13026.5</v>
      </c>
      <c r="J48" s="129">
        <v>141213.20000000001</v>
      </c>
      <c r="K48" s="307">
        <f t="shared" si="13"/>
        <v>0.35682588901732837</v>
      </c>
    </row>
    <row r="49" spans="1:11" ht="11.15" customHeight="1">
      <c r="A49" s="443"/>
      <c r="B49" s="443"/>
      <c r="C49" s="154" t="s">
        <v>93</v>
      </c>
      <c r="D49" s="313">
        <v>15</v>
      </c>
      <c r="E49" s="129">
        <v>121.846</v>
      </c>
      <c r="F49" s="129">
        <v>1326.55998</v>
      </c>
      <c r="G49" s="307">
        <f t="shared" si="12"/>
        <v>4.0712364468650283E-3</v>
      </c>
      <c r="H49" s="307">
        <f t="shared" si="14"/>
        <v>-1.2769198360097822E-2</v>
      </c>
      <c r="I49" s="313">
        <v>123.422</v>
      </c>
      <c r="J49" s="129">
        <v>1337.9546799999998</v>
      </c>
      <c r="K49" s="307">
        <f t="shared" si="13"/>
        <v>3.3808133323837333E-3</v>
      </c>
    </row>
    <row r="50" spans="1:11" ht="11.15" customHeight="1">
      <c r="A50" s="444"/>
      <c r="B50" s="444"/>
      <c r="C50" s="318" t="s">
        <v>0</v>
      </c>
      <c r="D50" s="321">
        <v>115070</v>
      </c>
      <c r="E50" s="319">
        <v>29928.5</v>
      </c>
      <c r="F50" s="319">
        <v>325839.24401999998</v>
      </c>
      <c r="G50" s="320">
        <f>SUM(G45:G49)</f>
        <v>1</v>
      </c>
      <c r="H50" s="320">
        <f t="shared" ref="H50" si="15">(E50-I50)/I50</f>
        <v>-0.18018933562698247</v>
      </c>
      <c r="I50" s="321">
        <v>36506.6</v>
      </c>
      <c r="J50" s="319">
        <v>395748.6593</v>
      </c>
      <c r="K50" s="320">
        <f>SUM(K45:K49)</f>
        <v>1</v>
      </c>
    </row>
    <row r="51" spans="1:11" ht="11.15" customHeight="1">
      <c r="A51" s="442" t="str">
        <f>'3.1'!F5</f>
        <v>Březen</v>
      </c>
      <c r="B51" s="442"/>
      <c r="C51" s="164" t="s">
        <v>4</v>
      </c>
      <c r="D51" s="312">
        <v>76</v>
      </c>
      <c r="E51" s="308">
        <v>10322.744000000001</v>
      </c>
      <c r="F51" s="308">
        <v>112221.58359999998</v>
      </c>
      <c r="G51" s="309">
        <f>E51/$E$56</f>
        <v>0.38896946723087417</v>
      </c>
      <c r="H51" s="309">
        <f>(E51-I51)/I51</f>
        <v>-0.14815378404704901</v>
      </c>
      <c r="I51" s="312">
        <v>12118.084000000001</v>
      </c>
      <c r="J51" s="308">
        <v>131241.01544999998</v>
      </c>
      <c r="K51" s="309">
        <f>I51/$I$56</f>
        <v>0.37788593649140423</v>
      </c>
    </row>
    <row r="52" spans="1:11" ht="11.15" customHeight="1">
      <c r="A52" s="443"/>
      <c r="B52" s="443"/>
      <c r="C52" s="154" t="s">
        <v>5</v>
      </c>
      <c r="D52" s="313">
        <v>242</v>
      </c>
      <c r="E52" s="129">
        <v>2690.71</v>
      </c>
      <c r="F52" s="129">
        <v>29250.833190000005</v>
      </c>
      <c r="G52" s="307">
        <f t="shared" ref="G52:G55" si="16">E52/$E$56</f>
        <v>0.1013881614397088</v>
      </c>
      <c r="H52" s="307">
        <f t="shared" ref="H52:H55" si="17">(E52-I52)/I52</f>
        <v>-0.14242532702741381</v>
      </c>
      <c r="I52" s="313">
        <v>3137.5810000000001</v>
      </c>
      <c r="J52" s="129">
        <v>33981.05333000001</v>
      </c>
      <c r="K52" s="307">
        <f t="shared" ref="K52:K55" si="18">I52/$I$56</f>
        <v>9.7841187971847404E-2</v>
      </c>
    </row>
    <row r="53" spans="1:11" ht="11.15" customHeight="1">
      <c r="A53" s="443"/>
      <c r="B53" s="443"/>
      <c r="C53" s="154" t="s">
        <v>6</v>
      </c>
      <c r="D53" s="313">
        <v>9763</v>
      </c>
      <c r="E53" s="129">
        <v>5056.3650000000007</v>
      </c>
      <c r="F53" s="129">
        <v>54968.658909999998</v>
      </c>
      <c r="G53" s="307">
        <f t="shared" si="16"/>
        <v>0.1905279836615961</v>
      </c>
      <c r="H53" s="307">
        <f t="shared" si="17"/>
        <v>-0.1745109134317753</v>
      </c>
      <c r="I53" s="313">
        <v>6125.2960000000003</v>
      </c>
      <c r="J53" s="129">
        <v>66338.497929999998</v>
      </c>
      <c r="K53" s="307">
        <f t="shared" si="18"/>
        <v>0.19100900895282227</v>
      </c>
    </row>
    <row r="54" spans="1:11" ht="11.15" customHeight="1">
      <c r="A54" s="443"/>
      <c r="B54" s="443"/>
      <c r="C54" s="154" t="s">
        <v>7</v>
      </c>
      <c r="D54" s="313">
        <v>104849</v>
      </c>
      <c r="E54" s="129">
        <v>8343.2999999999993</v>
      </c>
      <c r="F54" s="129">
        <v>90701.6</v>
      </c>
      <c r="G54" s="307">
        <f t="shared" si="16"/>
        <v>0.31438239250603833</v>
      </c>
      <c r="H54" s="307">
        <f t="shared" si="17"/>
        <v>-0.21022888623842803</v>
      </c>
      <c r="I54" s="313">
        <v>10564.2</v>
      </c>
      <c r="J54" s="129">
        <v>114412.7</v>
      </c>
      <c r="K54" s="307">
        <f t="shared" si="18"/>
        <v>0.32943018139521829</v>
      </c>
    </row>
    <row r="55" spans="1:11" ht="11.15" customHeight="1">
      <c r="A55" s="443"/>
      <c r="B55" s="443"/>
      <c r="C55" s="154" t="s">
        <v>93</v>
      </c>
      <c r="D55" s="313">
        <v>15</v>
      </c>
      <c r="E55" s="129">
        <v>125.581</v>
      </c>
      <c r="F55" s="129">
        <v>1365.2239999999999</v>
      </c>
      <c r="G55" s="307">
        <f t="shared" si="16"/>
        <v>4.7319951617826039E-3</v>
      </c>
      <c r="H55" s="307">
        <f t="shared" si="17"/>
        <v>2.1490332603974413E-2</v>
      </c>
      <c r="I55" s="313">
        <v>122.93899999999999</v>
      </c>
      <c r="J55" s="129">
        <v>1331.4534799999999</v>
      </c>
      <c r="K55" s="307">
        <f t="shared" si="18"/>
        <v>3.8336851887077806E-3</v>
      </c>
    </row>
    <row r="56" spans="1:11" ht="11.15" customHeight="1">
      <c r="A56" s="444"/>
      <c r="B56" s="444"/>
      <c r="C56" s="318" t="s">
        <v>0</v>
      </c>
      <c r="D56" s="321">
        <v>114945</v>
      </c>
      <c r="E56" s="319">
        <v>26538.7</v>
      </c>
      <c r="F56" s="319">
        <v>288507.89970000001</v>
      </c>
      <c r="G56" s="320">
        <f>SUM(G51:G55)</f>
        <v>1</v>
      </c>
      <c r="H56" s="320">
        <f t="shared" ref="H56" si="19">(E56-I56)/I56</f>
        <v>-0.17242680420729639</v>
      </c>
      <c r="I56" s="321">
        <v>32068.100000000002</v>
      </c>
      <c r="J56" s="319">
        <v>347304.72019000002</v>
      </c>
      <c r="K56" s="320">
        <f>SUM(K51:K55)</f>
        <v>0.99999999999999989</v>
      </c>
    </row>
    <row r="57" spans="1:11" ht="11.15" customHeight="1">
      <c r="A57" s="511" t="str">
        <f>'3.1'!G5</f>
        <v>I. čtvrtletí</v>
      </c>
      <c r="B57" s="442"/>
      <c r="C57" s="164" t="s">
        <v>4</v>
      </c>
      <c r="D57" s="312">
        <f>D51</f>
        <v>76</v>
      </c>
      <c r="E57" s="308">
        <f>E39+E45+E51</f>
        <v>36591.055999999997</v>
      </c>
      <c r="F57" s="308">
        <f>F39+F45+F51</f>
        <v>398343.79408999998</v>
      </c>
      <c r="G57" s="309">
        <f>E57/$E$62</f>
        <v>0.36004258593444044</v>
      </c>
      <c r="H57" s="309">
        <f>(E57-I57)/I57</f>
        <v>-2.7052763035900439E-2</v>
      </c>
      <c r="I57" s="312">
        <f>I39+I45+I51</f>
        <v>37608.469000000005</v>
      </c>
      <c r="J57" s="308">
        <f>J39+J45+J51</f>
        <v>408177.06609999994</v>
      </c>
      <c r="K57" s="309">
        <f>I57/$I$62</f>
        <v>0.35524663300140363</v>
      </c>
    </row>
    <row r="58" spans="1:11" ht="11.15" customHeight="1">
      <c r="A58" s="443"/>
      <c r="B58" s="443"/>
      <c r="C58" s="154" t="s">
        <v>5</v>
      </c>
      <c r="D58" s="313">
        <f>D52</f>
        <v>242</v>
      </c>
      <c r="E58" s="129">
        <f t="shared" ref="E58:F59" si="20">E40+E46+E52</f>
        <v>9913.3209999999999</v>
      </c>
      <c r="F58" s="129">
        <f t="shared" si="20"/>
        <v>107923.10756999998</v>
      </c>
      <c r="G58" s="307">
        <f t="shared" ref="G58:G61" si="21">E58/$E$62</f>
        <v>9.7543446902384923E-2</v>
      </c>
      <c r="H58" s="307">
        <f t="shared" ref="H58:H61" si="22">(E58-I58)/I58</f>
        <v>1.4584863186950054E-2</v>
      </c>
      <c r="I58" s="313">
        <f t="shared" ref="I58:J58" si="23">I40+I46+I52</f>
        <v>9770.8150000000005</v>
      </c>
      <c r="J58" s="129">
        <f t="shared" si="23"/>
        <v>106049.67447</v>
      </c>
      <c r="K58" s="307">
        <f t="shared" ref="K58:K61" si="24">I58/$I$62</f>
        <v>9.2294348127535036E-2</v>
      </c>
    </row>
    <row r="59" spans="1:11" ht="11.15" customHeight="1">
      <c r="A59" s="443"/>
      <c r="B59" s="443"/>
      <c r="C59" s="154" t="s">
        <v>6</v>
      </c>
      <c r="D59" s="313">
        <f>D53</f>
        <v>9763</v>
      </c>
      <c r="E59" s="129">
        <f>E41+E47+E53</f>
        <v>20149.081000000002</v>
      </c>
      <c r="F59" s="129">
        <f t="shared" si="20"/>
        <v>219368.79355999999</v>
      </c>
      <c r="G59" s="307">
        <f t="shared" si="21"/>
        <v>0.19825957543948725</v>
      </c>
      <c r="H59" s="307">
        <f t="shared" si="22"/>
        <v>-5.0219696796501734E-2</v>
      </c>
      <c r="I59" s="313">
        <f>I41+I47+I53</f>
        <v>21214.465</v>
      </c>
      <c r="J59" s="129">
        <f t="shared" ref="J59" si="25">J41+J47+J53</f>
        <v>230283.70662000001</v>
      </c>
      <c r="K59" s="307">
        <f t="shared" si="24"/>
        <v>0.20039016377338098</v>
      </c>
    </row>
    <row r="60" spans="1:11" ht="11.15" customHeight="1">
      <c r="A60" s="443"/>
      <c r="B60" s="443"/>
      <c r="C60" s="154" t="s">
        <v>7</v>
      </c>
      <c r="D60" s="313">
        <f>D54</f>
        <v>104849</v>
      </c>
      <c r="E60" s="129">
        <f t="shared" ref="E60:F61" si="26">E42+E48+E54</f>
        <v>34614.800000000003</v>
      </c>
      <c r="F60" s="129">
        <f t="shared" si="26"/>
        <v>376869.6</v>
      </c>
      <c r="G60" s="307">
        <f t="shared" si="21"/>
        <v>0.34059695089432435</v>
      </c>
      <c r="H60" s="307">
        <f t="shared" si="22"/>
        <v>-6.1649814307788153E-2</v>
      </c>
      <c r="I60" s="313">
        <f t="shared" ref="I60:J60" si="27">I42+I48+I54</f>
        <v>36889</v>
      </c>
      <c r="J60" s="129">
        <f t="shared" si="27"/>
        <v>400422.10000000003</v>
      </c>
      <c r="K60" s="307">
        <f t="shared" si="24"/>
        <v>0.34845058555265246</v>
      </c>
    </row>
    <row r="61" spans="1:11" ht="11.15" customHeight="1">
      <c r="A61" s="443"/>
      <c r="B61" s="443"/>
      <c r="C61" s="154" t="s">
        <v>93</v>
      </c>
      <c r="D61" s="313">
        <f>D55</f>
        <v>15</v>
      </c>
      <c r="E61" s="129">
        <f>E43+E49+E55</f>
        <v>361.54200000000003</v>
      </c>
      <c r="F61" s="129">
        <f t="shared" si="26"/>
        <v>3935.1791999999996</v>
      </c>
      <c r="G61" s="307">
        <f t="shared" si="21"/>
        <v>3.5574408293630412E-3</v>
      </c>
      <c r="H61" s="307">
        <f t="shared" si="22"/>
        <v>-5.6151791797958768E-2</v>
      </c>
      <c r="I61" s="313">
        <f>I43+I49+I55</f>
        <v>383.05099999999993</v>
      </c>
      <c r="J61" s="129">
        <f t="shared" ref="J61" si="28">J43+J49+J55</f>
        <v>4157.7366700000002</v>
      </c>
      <c r="K61" s="307">
        <f t="shared" si="24"/>
        <v>3.6182695450277602E-3</v>
      </c>
    </row>
    <row r="62" spans="1:11" ht="11.15" customHeight="1">
      <c r="A62" s="444"/>
      <c r="B62" s="444"/>
      <c r="C62" s="318" t="s">
        <v>0</v>
      </c>
      <c r="D62" s="321">
        <f>SUM(D57:D61)</f>
        <v>114945</v>
      </c>
      <c r="E62" s="319">
        <f>SUM(E57:E61)</f>
        <v>101629.8</v>
      </c>
      <c r="F62" s="319">
        <f>SUM(F57:F61)</f>
        <v>1106440.4744199999</v>
      </c>
      <c r="G62" s="320">
        <f>SUM(G57:G61)</f>
        <v>1</v>
      </c>
      <c r="H62" s="320">
        <f>(E62-I62)/I62</f>
        <v>-4.0012922020142616E-2</v>
      </c>
      <c r="I62" s="321">
        <f>SUM(I57:I61)</f>
        <v>105865.80000000002</v>
      </c>
      <c r="J62" s="319">
        <f>SUM(J57:J61)</f>
        <v>1149090.2838600001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16" s="102" customFormat="1" ht="18">
      <c r="A1" s="515" t="s">
        <v>303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5"/>
      <c r="B3" s="535"/>
      <c r="C3" s="535"/>
      <c r="D3" s="300"/>
      <c r="E3" s="300"/>
      <c r="F3" s="301"/>
      <c r="G3" s="302"/>
      <c r="H3" s="302"/>
      <c r="I3" s="302"/>
      <c r="J3" s="76"/>
      <c r="K3" s="76"/>
    </row>
    <row r="4" spans="1:16" ht="13" customHeight="1">
      <c r="A4" s="507" t="s">
        <v>39</v>
      </c>
      <c r="B4" s="507"/>
      <c r="C4" s="507"/>
      <c r="D4" s="501">
        <f>'3.1'!A4</f>
        <v>2024</v>
      </c>
      <c r="E4" s="353"/>
      <c r="F4" s="342"/>
      <c r="G4" s="342"/>
      <c r="H4" s="342"/>
      <c r="I4" s="501">
        <f>D4-1</f>
        <v>2023</v>
      </c>
      <c r="J4" s="502"/>
      <c r="K4" s="502"/>
    </row>
    <row r="5" spans="1:16" ht="25" customHeight="1">
      <c r="A5" s="354"/>
      <c r="B5" s="354"/>
      <c r="C5" s="354"/>
      <c r="D5" s="503"/>
      <c r="E5" s="355"/>
      <c r="F5" s="356"/>
      <c r="G5" s="356"/>
      <c r="H5" s="357"/>
      <c r="I5" s="503"/>
      <c r="J5" s="504"/>
      <c r="K5" s="504"/>
    </row>
    <row r="6" spans="1:16" ht="25" customHeight="1">
      <c r="A6" s="304"/>
      <c r="B6" s="272"/>
      <c r="C6" s="305"/>
      <c r="D6" s="364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16" ht="25" customHeight="1">
      <c r="A7" s="304"/>
      <c r="B7" s="306"/>
      <c r="D7" s="365"/>
      <c r="E7" s="499"/>
      <c r="F7" s="499"/>
      <c r="G7" s="500"/>
      <c r="H7" s="500"/>
      <c r="I7" s="498"/>
      <c r="J7" s="499"/>
      <c r="K7" s="500"/>
    </row>
    <row r="8" spans="1:16" ht="15" customHeight="1">
      <c r="A8" s="508" t="s">
        <v>158</v>
      </c>
      <c r="B8" s="508"/>
      <c r="C8" s="323" t="s">
        <v>184</v>
      </c>
      <c r="D8" s="343"/>
      <c r="E8" s="219" t="s">
        <v>259</v>
      </c>
      <c r="F8" s="219" t="s">
        <v>260</v>
      </c>
      <c r="G8" s="487"/>
      <c r="H8" s="487"/>
      <c r="I8" s="221" t="s">
        <v>259</v>
      </c>
      <c r="J8" s="219" t="s">
        <v>260</v>
      </c>
      <c r="K8" s="487"/>
    </row>
    <row r="9" spans="1:16" ht="11.15" customHeight="1">
      <c r="A9" s="442" t="str">
        <f>'3.1'!D5</f>
        <v>Leden</v>
      </c>
      <c r="B9" s="442"/>
      <c r="C9" s="164" t="s">
        <v>4</v>
      </c>
      <c r="D9" s="312">
        <v>88</v>
      </c>
      <c r="E9" s="308">
        <v>15502.07</v>
      </c>
      <c r="F9" s="308">
        <v>168910.85068</v>
      </c>
      <c r="G9" s="309">
        <f>E9/$E$14</f>
        <v>0.35604904662567766</v>
      </c>
      <c r="H9" s="309">
        <f>(E9-I9)/I9</f>
        <v>0.24018574061642753</v>
      </c>
      <c r="I9" s="312">
        <v>12499.797</v>
      </c>
      <c r="J9" s="308">
        <v>136101.63478000008</v>
      </c>
      <c r="K9" s="309">
        <f>I9/$I$14</f>
        <v>0.34984724022021141</v>
      </c>
    </row>
    <row r="10" spans="1:16" ht="11.15" customHeight="1">
      <c r="A10" s="443"/>
      <c r="B10" s="443"/>
      <c r="C10" s="154" t="s">
        <v>5</v>
      </c>
      <c r="D10" s="313">
        <v>278</v>
      </c>
      <c r="E10" s="129">
        <v>4892.8019999999997</v>
      </c>
      <c r="F10" s="129">
        <v>53312.381000000001</v>
      </c>
      <c r="G10" s="307">
        <f>E10/$E$14</f>
        <v>0.1123770881842366</v>
      </c>
      <c r="H10" s="307">
        <f>(E10-I10)/I10</f>
        <v>0.17157897307773526</v>
      </c>
      <c r="I10" s="313">
        <v>4176.2460000000001</v>
      </c>
      <c r="J10" s="129">
        <v>45472.409240000001</v>
      </c>
      <c r="K10" s="307">
        <f>I10/$I$14</f>
        <v>0.11688574923102327</v>
      </c>
      <c r="L10" s="93"/>
      <c r="N10" s="93"/>
      <c r="O10" s="93"/>
      <c r="P10" s="93"/>
    </row>
    <row r="11" spans="1:16" ht="11.15" customHeight="1">
      <c r="A11" s="443"/>
      <c r="B11" s="443"/>
      <c r="C11" s="154" t="s">
        <v>6</v>
      </c>
      <c r="D11" s="313">
        <v>8722</v>
      </c>
      <c r="E11" s="129">
        <v>10170.281000000001</v>
      </c>
      <c r="F11" s="129">
        <v>110810.81288</v>
      </c>
      <c r="G11" s="307">
        <f>E11/$E$14</f>
        <v>0.2335893757391912</v>
      </c>
      <c r="H11" s="307">
        <f t="shared" ref="H11:H13" si="0">(E11-I11)/I11</f>
        <v>0.20344981782497784</v>
      </c>
      <c r="I11" s="313">
        <v>8450.9390000000003</v>
      </c>
      <c r="J11" s="129">
        <v>92016.314160000009</v>
      </c>
      <c r="K11" s="307">
        <f>I11/$I$14</f>
        <v>0.23652685610969149</v>
      </c>
      <c r="L11" s="93"/>
      <c r="N11" s="93"/>
      <c r="O11" s="93"/>
      <c r="P11" s="93"/>
    </row>
    <row r="12" spans="1:16" ht="11.15" customHeight="1">
      <c r="A12" s="443"/>
      <c r="B12" s="443"/>
      <c r="C12" s="154" t="s">
        <v>7</v>
      </c>
      <c r="D12" s="313">
        <v>81857</v>
      </c>
      <c r="E12" s="129">
        <v>12767.1</v>
      </c>
      <c r="F12" s="129">
        <v>139110.39999999999</v>
      </c>
      <c r="G12" s="307">
        <f>E12/$E$14</f>
        <v>0.29323269622538728</v>
      </c>
      <c r="H12" s="307">
        <f t="shared" si="0"/>
        <v>0.22817261813144524</v>
      </c>
      <c r="I12" s="313">
        <v>10395.200000000001</v>
      </c>
      <c r="J12" s="129">
        <v>113185.5</v>
      </c>
      <c r="K12" s="307">
        <f>I12/$I$14</f>
        <v>0.29094328744195941</v>
      </c>
      <c r="L12" s="93"/>
      <c r="N12" s="93"/>
      <c r="O12" s="93"/>
      <c r="P12" s="93"/>
    </row>
    <row r="13" spans="1:16" ht="11.15" customHeight="1">
      <c r="A13" s="443"/>
      <c r="B13" s="443"/>
      <c r="C13" s="154" t="s">
        <v>93</v>
      </c>
      <c r="D13" s="313">
        <v>9</v>
      </c>
      <c r="E13" s="129">
        <v>206.88900000000001</v>
      </c>
      <c r="F13" s="129">
        <v>2254.2634800000001</v>
      </c>
      <c r="G13" s="307">
        <f>E13/$E$14</f>
        <v>4.7517932255072923E-3</v>
      </c>
      <c r="H13" s="307">
        <f t="shared" si="0"/>
        <v>-1.1056499193695622E-3</v>
      </c>
      <c r="I13" s="313">
        <v>207.11799999999999</v>
      </c>
      <c r="J13" s="129">
        <v>2255.1601600000004</v>
      </c>
      <c r="K13" s="307">
        <f>I13/$I$14</f>
        <v>5.7968669971144122E-3</v>
      </c>
      <c r="L13" s="93"/>
      <c r="N13" s="93"/>
      <c r="O13" s="93"/>
      <c r="P13" s="93"/>
    </row>
    <row r="14" spans="1:16" ht="11.15" customHeight="1">
      <c r="A14" s="444"/>
      <c r="B14" s="444"/>
      <c r="C14" s="318" t="s">
        <v>0</v>
      </c>
      <c r="D14" s="321">
        <v>90954</v>
      </c>
      <c r="E14" s="319">
        <v>43539.142</v>
      </c>
      <c r="F14" s="319">
        <v>474398.70804</v>
      </c>
      <c r="G14" s="320">
        <f>SUM(G9:G13)</f>
        <v>1</v>
      </c>
      <c r="H14" s="320">
        <f>(E14-I14)/I14</f>
        <v>0.21858368341949033</v>
      </c>
      <c r="I14" s="321">
        <v>35729.300000000003</v>
      </c>
      <c r="J14" s="319">
        <v>389031.01834000013</v>
      </c>
      <c r="K14" s="320">
        <f>SUM(K9:K13)</f>
        <v>1</v>
      </c>
      <c r="L14" s="93"/>
    </row>
    <row r="15" spans="1:16" ht="11.15" customHeight="1">
      <c r="A15" s="442" t="str">
        <f>'3.1'!E5</f>
        <v>Únor</v>
      </c>
      <c r="B15" s="442"/>
      <c r="C15" s="164" t="s">
        <v>4</v>
      </c>
      <c r="D15" s="312">
        <v>87</v>
      </c>
      <c r="E15" s="308">
        <v>11983.784</v>
      </c>
      <c r="F15" s="308">
        <v>130470.95899</v>
      </c>
      <c r="G15" s="309">
        <f>E15/$E$20</f>
        <v>0.40339468943401269</v>
      </c>
      <c r="H15" s="309">
        <f>(E15-I15)/I15</f>
        <v>-6.3932253103667772E-3</v>
      </c>
      <c r="I15" s="312">
        <v>12060.892</v>
      </c>
      <c r="J15" s="308">
        <v>130746.09427999999</v>
      </c>
      <c r="K15" s="309">
        <f>I15/$I$20</f>
        <v>0.34960221920119189</v>
      </c>
      <c r="L15" s="93"/>
      <c r="M15" s="93"/>
    </row>
    <row r="16" spans="1:16" ht="11.15" customHeight="1">
      <c r="A16" s="443"/>
      <c r="B16" s="443"/>
      <c r="C16" s="154" t="s">
        <v>5</v>
      </c>
      <c r="D16" s="313">
        <v>277</v>
      </c>
      <c r="E16" s="129">
        <v>3513.502</v>
      </c>
      <c r="F16" s="129">
        <v>38252.51857</v>
      </c>
      <c r="G16" s="307">
        <f>E16/$E$20</f>
        <v>0.11827049353658096</v>
      </c>
      <c r="H16" s="307">
        <f>(E16-I16)/I16</f>
        <v>-0.14127617994109312</v>
      </c>
      <c r="I16" s="313">
        <v>4091.5390000000002</v>
      </c>
      <c r="J16" s="129">
        <v>44353.709709999988</v>
      </c>
      <c r="K16" s="307">
        <f>I16/$I$20</f>
        <v>0.11859911475438348</v>
      </c>
      <c r="L16" s="97"/>
      <c r="M16" s="93"/>
    </row>
    <row r="17" spans="1:20" ht="11.15" customHeight="1">
      <c r="A17" s="443"/>
      <c r="B17" s="443"/>
      <c r="C17" s="154" t="s">
        <v>6</v>
      </c>
      <c r="D17" s="313">
        <v>8716</v>
      </c>
      <c r="E17" s="129">
        <v>6249.9519999999993</v>
      </c>
      <c r="F17" s="129">
        <v>68040.235329999996</v>
      </c>
      <c r="G17" s="307">
        <f>E17/$E$20</f>
        <v>0.2103840861966042</v>
      </c>
      <c r="H17" s="307">
        <f t="shared" ref="H17:H20" si="1">(E17-I17)/I17</f>
        <v>-0.21555477710100215</v>
      </c>
      <c r="I17" s="313">
        <v>7967.3530000000001</v>
      </c>
      <c r="J17" s="129">
        <v>86370.08643000001</v>
      </c>
      <c r="K17" s="307">
        <f>I17/$I$20</f>
        <v>0.23094513158390556</v>
      </c>
      <c r="L17" s="93"/>
      <c r="M17" s="93"/>
      <c r="N17" s="93"/>
      <c r="O17" s="93"/>
    </row>
    <row r="18" spans="1:20" ht="11.15" customHeight="1">
      <c r="A18" s="443"/>
      <c r="B18" s="443"/>
      <c r="C18" s="154" t="s">
        <v>7</v>
      </c>
      <c r="D18" s="313">
        <v>81780</v>
      </c>
      <c r="E18" s="129">
        <v>7769</v>
      </c>
      <c r="F18" s="129">
        <v>84583.6</v>
      </c>
      <c r="G18" s="307">
        <f>E18/$E$20</f>
        <v>0.26151784296286085</v>
      </c>
      <c r="H18" s="307">
        <f t="shared" si="1"/>
        <v>-0.23703179934397897</v>
      </c>
      <c r="I18" s="313">
        <v>10182.6</v>
      </c>
      <c r="J18" s="129">
        <v>110384.7</v>
      </c>
      <c r="K18" s="307">
        <f>I18/$I$20</f>
        <v>0.2951572368974083</v>
      </c>
      <c r="L18" s="93"/>
      <c r="M18" s="93"/>
      <c r="N18" s="93"/>
      <c r="O18" s="93"/>
    </row>
    <row r="19" spans="1:20" ht="11.15" customHeight="1">
      <c r="A19" s="443"/>
      <c r="B19" s="443"/>
      <c r="C19" s="154" t="s">
        <v>93</v>
      </c>
      <c r="D19" s="313">
        <v>9</v>
      </c>
      <c r="E19" s="129">
        <v>191.10400000000001</v>
      </c>
      <c r="F19" s="129">
        <v>2080.6091999999999</v>
      </c>
      <c r="G19" s="307">
        <f>E19/$E$20</f>
        <v>6.4328878699413776E-3</v>
      </c>
      <c r="H19" s="307">
        <f t="shared" si="1"/>
        <v>-2.7539742311058529E-2</v>
      </c>
      <c r="I19" s="313">
        <v>196.51599999999999</v>
      </c>
      <c r="J19" s="129">
        <v>2130.32656</v>
      </c>
      <c r="K19" s="307">
        <f>I19/$I$20</f>
        <v>5.6962975631107077E-3</v>
      </c>
      <c r="L19" s="93"/>
      <c r="M19" s="93"/>
      <c r="N19" s="93"/>
      <c r="O19" s="93"/>
    </row>
    <row r="20" spans="1:20" ht="11.15" customHeight="1">
      <c r="A20" s="444"/>
      <c r="B20" s="444"/>
      <c r="C20" s="318" t="s">
        <v>0</v>
      </c>
      <c r="D20" s="321">
        <v>90869</v>
      </c>
      <c r="E20" s="319">
        <v>29707.341999999997</v>
      </c>
      <c r="F20" s="319">
        <v>323427.92209000001</v>
      </c>
      <c r="G20" s="320">
        <f>SUM(G15:G19)</f>
        <v>1</v>
      </c>
      <c r="H20" s="320">
        <f t="shared" si="1"/>
        <v>-0.13889016751258748</v>
      </c>
      <c r="I20" s="321">
        <v>34498.9</v>
      </c>
      <c r="J20" s="319">
        <v>373984.91698000004</v>
      </c>
      <c r="K20" s="320">
        <f>SUM(K15:K19)</f>
        <v>1</v>
      </c>
      <c r="L20" s="93"/>
      <c r="M20" s="93"/>
      <c r="N20" s="93"/>
      <c r="O20" s="93"/>
    </row>
    <row r="21" spans="1:20" ht="11.15" customHeight="1">
      <c r="A21" s="442" t="str">
        <f>'3.1'!F5</f>
        <v>Březen</v>
      </c>
      <c r="B21" s="442"/>
      <c r="C21" s="164" t="s">
        <v>4</v>
      </c>
      <c r="D21" s="312">
        <v>87</v>
      </c>
      <c r="E21" s="308">
        <v>10613.364</v>
      </c>
      <c r="F21" s="308">
        <v>115380.55831000004</v>
      </c>
      <c r="G21" s="309">
        <f>E21/$E$26</f>
        <v>0.4087250898727266</v>
      </c>
      <c r="H21" s="309">
        <f>(E21-I21)/I21</f>
        <v>-9.4783254380124887E-2</v>
      </c>
      <c r="I21" s="312">
        <v>11724.666000000001</v>
      </c>
      <c r="J21" s="308">
        <v>126980.84986999996</v>
      </c>
      <c r="K21" s="309">
        <f>I21/$I$26</f>
        <v>0.38164739658607089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5" customHeight="1">
      <c r="A22" s="443"/>
      <c r="B22" s="443"/>
      <c r="C22" s="154" t="s">
        <v>5</v>
      </c>
      <c r="D22" s="313">
        <v>277</v>
      </c>
      <c r="E22" s="129">
        <v>3124.5769999999998</v>
      </c>
      <c r="F22" s="129">
        <v>33968.359229999987</v>
      </c>
      <c r="G22" s="307">
        <f>E22/$E$26</f>
        <v>0.120328768064419</v>
      </c>
      <c r="H22" s="307">
        <f t="shared" ref="H22:H26" si="2">(E22-I22)/I22</f>
        <v>-0.19077147400535591</v>
      </c>
      <c r="I22" s="313">
        <v>3861.18</v>
      </c>
      <c r="J22" s="129">
        <v>41816.817440000043</v>
      </c>
      <c r="K22" s="307">
        <f>I22/$I$26</f>
        <v>0.12568454357251668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5" customHeight="1">
      <c r="A23" s="443"/>
      <c r="B23" s="443"/>
      <c r="C23" s="154" t="s">
        <v>6</v>
      </c>
      <c r="D23" s="313">
        <v>8708</v>
      </c>
      <c r="E23" s="129">
        <v>5510.8559999999998</v>
      </c>
      <c r="F23" s="129">
        <v>59906.417519999995</v>
      </c>
      <c r="G23" s="307">
        <f>E23/$E$26</f>
        <v>0.21222537113356843</v>
      </c>
      <c r="H23" s="307">
        <f t="shared" si="2"/>
        <v>-0.17097646811402828</v>
      </c>
      <c r="I23" s="313">
        <v>6647.4059999999999</v>
      </c>
      <c r="J23" s="129">
        <v>71992.966969999994</v>
      </c>
      <c r="K23" s="307">
        <f>I23/$I$26</f>
        <v>0.21637846177883677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5" customHeight="1">
      <c r="A24" s="443"/>
      <c r="B24" s="443"/>
      <c r="C24" s="154" t="s">
        <v>7</v>
      </c>
      <c r="D24" s="313">
        <v>81690</v>
      </c>
      <c r="E24" s="129">
        <v>6521.8</v>
      </c>
      <c r="F24" s="129">
        <v>70900.399999999994</v>
      </c>
      <c r="G24" s="307">
        <f>E24/$E$26</f>
        <v>0.25115724770505832</v>
      </c>
      <c r="H24" s="307">
        <f t="shared" si="2"/>
        <v>-0.21023504765133988</v>
      </c>
      <c r="I24" s="313">
        <v>8257.9</v>
      </c>
      <c r="J24" s="129">
        <v>89435</v>
      </c>
      <c r="K24" s="307">
        <f>I24/$I$26</f>
        <v>0.26880134890564167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5" customHeight="1">
      <c r="A25" s="443"/>
      <c r="B25" s="443"/>
      <c r="C25" s="154" t="s">
        <v>93</v>
      </c>
      <c r="D25" s="313">
        <v>9</v>
      </c>
      <c r="E25" s="129">
        <v>196.40199999999999</v>
      </c>
      <c r="F25" s="129">
        <v>2135.1230800000003</v>
      </c>
      <c r="G25" s="307">
        <f>E25/$E$26</f>
        <v>7.5635232242277986E-3</v>
      </c>
      <c r="H25" s="307">
        <f t="shared" si="2"/>
        <v>-0.1462564334399778</v>
      </c>
      <c r="I25" s="313">
        <v>230.048</v>
      </c>
      <c r="J25" s="129">
        <v>2491.4724000000001</v>
      </c>
      <c r="K25" s="307">
        <f>I25/$I$26</f>
        <v>7.4882491569339734E-3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5" customHeight="1">
      <c r="A26" s="444"/>
      <c r="B26" s="444"/>
      <c r="C26" s="318" t="s">
        <v>0</v>
      </c>
      <c r="D26" s="321">
        <v>90771</v>
      </c>
      <c r="E26" s="319">
        <v>25966.998999999996</v>
      </c>
      <c r="F26" s="319">
        <v>282290.85813999997</v>
      </c>
      <c r="G26" s="320">
        <f>SUM(G21:G25)</f>
        <v>1</v>
      </c>
      <c r="H26" s="320">
        <f t="shared" si="2"/>
        <v>-0.15475310209236634</v>
      </c>
      <c r="I26" s="321">
        <v>30721.200000000001</v>
      </c>
      <c r="J26" s="319">
        <v>332717.10668000003</v>
      </c>
      <c r="K26" s="320">
        <f>SUM(K21:K25)</f>
        <v>1</v>
      </c>
    </row>
    <row r="27" spans="1:20" ht="11.15" customHeight="1">
      <c r="A27" s="511" t="str">
        <f>'3.1'!G5</f>
        <v>I. čtvrtletí</v>
      </c>
      <c r="B27" s="442"/>
      <c r="C27" s="164" t="s">
        <v>4</v>
      </c>
      <c r="D27" s="312">
        <f>D21</f>
        <v>87</v>
      </c>
      <c r="E27" s="308">
        <f>E9+E15+E21</f>
        <v>38099.218000000001</v>
      </c>
      <c r="F27" s="308">
        <f>F9+F15+F21</f>
        <v>414762.36798000004</v>
      </c>
      <c r="G27" s="309">
        <f>E27/$E$32</f>
        <v>0.3840125036231215</v>
      </c>
      <c r="H27" s="309">
        <f>(E27-I27)/I27</f>
        <v>4.99888453619926E-2</v>
      </c>
      <c r="I27" s="312">
        <f>I9+I15+I21</f>
        <v>36285.354999999996</v>
      </c>
      <c r="J27" s="308">
        <f>J9+J15+J21</f>
        <v>393828.57893000002</v>
      </c>
      <c r="K27" s="309">
        <f>I27/$I$32</f>
        <v>0.35944101698474679</v>
      </c>
    </row>
    <row r="28" spans="1:20" ht="11.15" customHeight="1">
      <c r="A28" s="443"/>
      <c r="B28" s="443"/>
      <c r="C28" s="154" t="s">
        <v>5</v>
      </c>
      <c r="D28" s="313">
        <f>D22</f>
        <v>277</v>
      </c>
      <c r="E28" s="129">
        <f t="shared" ref="E28:F31" si="3">E10+E16+E22</f>
        <v>11530.880999999999</v>
      </c>
      <c r="F28" s="129">
        <f t="shared" si="3"/>
        <v>125533.2588</v>
      </c>
      <c r="G28" s="307">
        <f>E28/$E$32</f>
        <v>0.11622292304766682</v>
      </c>
      <c r="H28" s="307">
        <f t="shared" ref="H28:H31" si="4">(E28-I28)/I28</f>
        <v>-4.9310390457883317E-2</v>
      </c>
      <c r="I28" s="313">
        <f t="shared" ref="I28:J28" si="5">I10+I16+I22</f>
        <v>12128.965</v>
      </c>
      <c r="J28" s="129">
        <f t="shared" si="5"/>
        <v>131642.93639000005</v>
      </c>
      <c r="K28" s="307">
        <f>I28/$I$32</f>
        <v>0.12014895581350658</v>
      </c>
    </row>
    <row r="29" spans="1:20" ht="11.15" customHeight="1">
      <c r="A29" s="443"/>
      <c r="B29" s="443"/>
      <c r="C29" s="154" t="s">
        <v>6</v>
      </c>
      <c r="D29" s="313">
        <f>D23</f>
        <v>8708</v>
      </c>
      <c r="E29" s="129">
        <f t="shared" si="3"/>
        <v>21931.089</v>
      </c>
      <c r="F29" s="129">
        <f t="shared" si="3"/>
        <v>238757.46572999997</v>
      </c>
      <c r="G29" s="307">
        <f>E29/$E$32</f>
        <v>0.2210494817523945</v>
      </c>
      <c r="H29" s="307">
        <f t="shared" si="4"/>
        <v>-4.9190317154070101E-2</v>
      </c>
      <c r="I29" s="313">
        <f t="shared" ref="I29:J29" si="6">I11+I17+I23</f>
        <v>23065.698</v>
      </c>
      <c r="J29" s="129">
        <f t="shared" si="6"/>
        <v>250379.36756000004</v>
      </c>
      <c r="K29" s="307">
        <f>I29/$I$32</f>
        <v>0.22848771760901998</v>
      </c>
    </row>
    <row r="30" spans="1:20" ht="11.15" customHeight="1">
      <c r="A30" s="443"/>
      <c r="B30" s="443"/>
      <c r="C30" s="154" t="s">
        <v>7</v>
      </c>
      <c r="D30" s="313">
        <f>D24</f>
        <v>81690</v>
      </c>
      <c r="E30" s="129">
        <f t="shared" si="3"/>
        <v>27057.899999999998</v>
      </c>
      <c r="F30" s="129">
        <f t="shared" si="3"/>
        <v>294594.40000000002</v>
      </c>
      <c r="G30" s="307">
        <f>E30/$E$32</f>
        <v>0.27272402078656988</v>
      </c>
      <c r="H30" s="307">
        <f t="shared" si="4"/>
        <v>-6.1652742954046762E-2</v>
      </c>
      <c r="I30" s="313">
        <f t="shared" ref="I30:J30" si="7">I12+I18+I24</f>
        <v>28835.700000000004</v>
      </c>
      <c r="J30" s="129">
        <f t="shared" si="7"/>
        <v>313005.2</v>
      </c>
      <c r="K30" s="307">
        <f>I30/$I$32</f>
        <v>0.28564508555771512</v>
      </c>
    </row>
    <row r="31" spans="1:20" ht="11.15" customHeight="1">
      <c r="A31" s="443"/>
      <c r="B31" s="443"/>
      <c r="C31" s="154" t="s">
        <v>93</v>
      </c>
      <c r="D31" s="313">
        <f>D25</f>
        <v>9</v>
      </c>
      <c r="E31" s="129">
        <f>E13+E19+E25</f>
        <v>594.39499999999998</v>
      </c>
      <c r="F31" s="129">
        <f t="shared" si="3"/>
        <v>6469.9957600000007</v>
      </c>
      <c r="G31" s="307">
        <f>E31/$E$32</f>
        <v>5.9910707902473296E-3</v>
      </c>
      <c r="H31" s="307">
        <f t="shared" si="4"/>
        <v>-6.1997973747084552E-2</v>
      </c>
      <c r="I31" s="313">
        <f>I13+I19+I25</f>
        <v>633.68200000000002</v>
      </c>
      <c r="J31" s="129">
        <f t="shared" ref="J31" si="8">J13+J19+J25</f>
        <v>6876.9591200000013</v>
      </c>
      <c r="K31" s="307">
        <f>I31/$I$32</f>
        <v>6.2772240350116E-3</v>
      </c>
    </row>
    <row r="32" spans="1:20" ht="11.15" customHeight="1">
      <c r="A32" s="444"/>
      <c r="B32" s="444"/>
      <c r="C32" s="318" t="s">
        <v>0</v>
      </c>
      <c r="D32" s="321">
        <f>SUM(D27:D31)</f>
        <v>90771</v>
      </c>
      <c r="E32" s="319">
        <f>SUM(E27:E31)</f>
        <v>99213.482999999993</v>
      </c>
      <c r="F32" s="319">
        <f>SUM(F27:F31)</f>
        <v>1080117.4882700001</v>
      </c>
      <c r="G32" s="320">
        <f>SUM(G27:G31)</f>
        <v>1</v>
      </c>
      <c r="H32" s="320">
        <f>(E32-I32)/I32</f>
        <v>-1.7195912011364122E-2</v>
      </c>
      <c r="I32" s="321">
        <f>SUM(I27:I31)</f>
        <v>100949.4</v>
      </c>
      <c r="J32" s="319">
        <f>SUM(J27:J31)</f>
        <v>1095733.0420000001</v>
      </c>
      <c r="K32" s="320">
        <f>SUM(K27:K31)</f>
        <v>1</v>
      </c>
    </row>
    <row r="33" spans="1:11" ht="10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3" customHeight="1">
      <c r="A34" s="536" t="s">
        <v>40</v>
      </c>
      <c r="B34" s="536"/>
      <c r="C34" s="536"/>
      <c r="D34" s="501">
        <f>D4</f>
        <v>2024</v>
      </c>
      <c r="E34" s="353"/>
      <c r="F34" s="342"/>
      <c r="G34" s="342"/>
      <c r="H34" s="342"/>
      <c r="I34" s="501">
        <f>D34-1</f>
        <v>2023</v>
      </c>
      <c r="J34" s="502"/>
      <c r="K34" s="502"/>
    </row>
    <row r="35" spans="1:11" ht="25" customHeight="1">
      <c r="A35" s="304"/>
      <c r="B35" s="272"/>
      <c r="C35" s="150"/>
      <c r="D35" s="503"/>
      <c r="E35" s="355"/>
      <c r="F35" s="356"/>
      <c r="G35" s="356"/>
      <c r="H35" s="357"/>
      <c r="I35" s="503"/>
      <c r="J35" s="504"/>
      <c r="K35" s="504"/>
    </row>
    <row r="36" spans="1:11" ht="25" customHeight="1">
      <c r="A36" s="130"/>
      <c r="B36" s="131"/>
      <c r="C36" s="352"/>
      <c r="D36" s="364" t="s">
        <v>159</v>
      </c>
      <c r="E36" s="499" t="s">
        <v>60</v>
      </c>
      <c r="F36" s="499"/>
      <c r="G36" s="500" t="s">
        <v>33</v>
      </c>
      <c r="H36" s="500" t="s">
        <v>268</v>
      </c>
      <c r="I36" s="498" t="s">
        <v>60</v>
      </c>
      <c r="J36" s="499"/>
      <c r="K36" s="500" t="s">
        <v>33</v>
      </c>
    </row>
    <row r="37" spans="1:11" ht="25" customHeight="1">
      <c r="A37" s="130"/>
      <c r="B37" s="306"/>
      <c r="C37" s="306"/>
      <c r="D37" s="365"/>
      <c r="E37" s="499"/>
      <c r="F37" s="499"/>
      <c r="G37" s="500"/>
      <c r="H37" s="500"/>
      <c r="I37" s="498"/>
      <c r="J37" s="499"/>
      <c r="K37" s="500"/>
    </row>
    <row r="38" spans="1:11" ht="15" customHeight="1">
      <c r="A38" s="537" t="s">
        <v>158</v>
      </c>
      <c r="B38" s="537"/>
      <c r="C38" s="366" t="s">
        <v>184</v>
      </c>
      <c r="D38" s="343"/>
      <c r="E38" s="219" t="s">
        <v>259</v>
      </c>
      <c r="F38" s="219" t="s">
        <v>260</v>
      </c>
      <c r="G38" s="487"/>
      <c r="H38" s="487"/>
      <c r="I38" s="221" t="s">
        <v>259</v>
      </c>
      <c r="J38" s="219" t="s">
        <v>260</v>
      </c>
      <c r="K38" s="487"/>
    </row>
    <row r="39" spans="1:11" ht="11.15" customHeight="1">
      <c r="A39" s="442" t="str">
        <f>'3.1'!D5</f>
        <v>Leden</v>
      </c>
      <c r="B39" s="442"/>
      <c r="C39" s="164" t="s">
        <v>4</v>
      </c>
      <c r="D39" s="312">
        <v>178</v>
      </c>
      <c r="E39" s="308">
        <v>47951.188000000002</v>
      </c>
      <c r="F39" s="308">
        <v>522314.36412000016</v>
      </c>
      <c r="G39" s="309">
        <f>E39/$E$44</f>
        <v>0.43949820136036494</v>
      </c>
      <c r="H39" s="309">
        <f>(E39-I39)/I39</f>
        <v>0.166737983127659</v>
      </c>
      <c r="I39" s="312">
        <v>41098.506000000008</v>
      </c>
      <c r="J39" s="308">
        <v>447211.84454999992</v>
      </c>
      <c r="K39" s="309">
        <f>I39/$I$44</f>
        <v>0.45025057519684725</v>
      </c>
    </row>
    <row r="40" spans="1:11" ht="11.15" customHeight="1">
      <c r="A40" s="443"/>
      <c r="B40" s="443"/>
      <c r="C40" s="154" t="s">
        <v>5</v>
      </c>
      <c r="D40" s="313">
        <v>424</v>
      </c>
      <c r="E40" s="129">
        <v>7093.8110000000006</v>
      </c>
      <c r="F40" s="129">
        <v>77260.552020000032</v>
      </c>
      <c r="G40" s="307">
        <f t="shared" ref="G40" si="9">E40/$E$44</f>
        <v>6.501855960879159E-2</v>
      </c>
      <c r="H40" s="307">
        <f>(E40-I40)/I40</f>
        <v>0.25566889249672725</v>
      </c>
      <c r="I40" s="313">
        <v>5649.4279999999999</v>
      </c>
      <c r="J40" s="129">
        <v>61483.465610000028</v>
      </c>
      <c r="K40" s="307">
        <f t="shared" ref="K40:K43" si="10">I40/$I$44</f>
        <v>6.1891743863710616E-2</v>
      </c>
    </row>
    <row r="41" spans="1:11" ht="11.15" customHeight="1">
      <c r="A41" s="443"/>
      <c r="B41" s="443"/>
      <c r="C41" s="154" t="s">
        <v>6</v>
      </c>
      <c r="D41" s="313">
        <v>18063</v>
      </c>
      <c r="E41" s="129">
        <v>16412.794999999998</v>
      </c>
      <c r="F41" s="129">
        <v>178798.12383999999</v>
      </c>
      <c r="G41" s="307">
        <f>E41/$E$44</f>
        <v>0.15043201602839099</v>
      </c>
      <c r="H41" s="307">
        <f t="shared" ref="H41:H43" si="11">(E41-I41)/I41</f>
        <v>0.20642716978779879</v>
      </c>
      <c r="I41" s="313">
        <v>13604.464000000002</v>
      </c>
      <c r="J41" s="129">
        <v>148121.63515999998</v>
      </c>
      <c r="K41" s="307">
        <f t="shared" si="10"/>
        <v>0.14904234575448561</v>
      </c>
    </row>
    <row r="42" spans="1:11" ht="11.15" customHeight="1">
      <c r="A42" s="443"/>
      <c r="B42" s="443"/>
      <c r="C42" s="154" t="s">
        <v>7</v>
      </c>
      <c r="D42" s="313">
        <v>350040</v>
      </c>
      <c r="E42" s="129">
        <v>35523.599999999999</v>
      </c>
      <c r="F42" s="129">
        <v>387065.25699999998</v>
      </c>
      <c r="G42" s="307">
        <f>E42/$E$44</f>
        <v>0.32559273204753675</v>
      </c>
      <c r="H42" s="307">
        <f t="shared" si="11"/>
        <v>0.22817886999633519</v>
      </c>
      <c r="I42" s="313">
        <v>28923.8</v>
      </c>
      <c r="J42" s="129">
        <v>314930.8</v>
      </c>
      <c r="K42" s="307">
        <f t="shared" si="10"/>
        <v>0.31687180032477502</v>
      </c>
    </row>
    <row r="43" spans="1:11" ht="11.15" customHeight="1">
      <c r="A43" s="443"/>
      <c r="B43" s="443"/>
      <c r="C43" s="154" t="s">
        <v>93</v>
      </c>
      <c r="D43" s="313">
        <v>33</v>
      </c>
      <c r="E43" s="129">
        <v>2123.0070000000001</v>
      </c>
      <c r="F43" s="129">
        <v>23132.27908</v>
      </c>
      <c r="G43" s="307">
        <f>E43/$E$44</f>
        <v>1.9458490954915742E-2</v>
      </c>
      <c r="H43" s="307">
        <f t="shared" si="11"/>
        <v>5.9919979550551596E-2</v>
      </c>
      <c r="I43" s="313">
        <v>2002.9879999999998</v>
      </c>
      <c r="J43" s="129">
        <v>21801.270479999999</v>
      </c>
      <c r="K43" s="307">
        <f t="shared" si="10"/>
        <v>2.1943534860181593E-2</v>
      </c>
    </row>
    <row r="44" spans="1:11" ht="11.15" customHeight="1">
      <c r="A44" s="444"/>
      <c r="B44" s="444"/>
      <c r="C44" s="318" t="s">
        <v>0</v>
      </c>
      <c r="D44" s="321">
        <v>368738</v>
      </c>
      <c r="E44" s="319">
        <v>109104.401</v>
      </c>
      <c r="F44" s="319">
        <v>1188570.5760600001</v>
      </c>
      <c r="G44" s="320">
        <f>SUM(G39:G43)</f>
        <v>0.99999999999999989</v>
      </c>
      <c r="H44" s="320">
        <f>(E44-I44)/I44</f>
        <v>0.19528236152325018</v>
      </c>
      <c r="I44" s="321">
        <v>91279.186000000002</v>
      </c>
      <c r="J44" s="319">
        <v>993549.01579999994</v>
      </c>
      <c r="K44" s="320">
        <f>SUM(K39:K43)</f>
        <v>1</v>
      </c>
    </row>
    <row r="45" spans="1:11" ht="11.15" customHeight="1">
      <c r="A45" s="442" t="str">
        <f>'3.1'!E5</f>
        <v>Únor</v>
      </c>
      <c r="B45" s="442"/>
      <c r="C45" s="164" t="s">
        <v>4</v>
      </c>
      <c r="D45" s="312">
        <v>180</v>
      </c>
      <c r="E45" s="308">
        <v>37521.332999999999</v>
      </c>
      <c r="F45" s="308">
        <v>408315.20709000004</v>
      </c>
      <c r="G45" s="309">
        <f>E45/$E$50</f>
        <v>0.49499054907699142</v>
      </c>
      <c r="H45" s="309">
        <f>(E45-I45)/I45</f>
        <v>-9.5205281633515243E-2</v>
      </c>
      <c r="I45" s="312">
        <v>41469.443000000007</v>
      </c>
      <c r="J45" s="308">
        <v>449283.50341000012</v>
      </c>
      <c r="K45" s="309">
        <f>I45/$I$50</f>
        <v>0.45822925660171981</v>
      </c>
    </row>
    <row r="46" spans="1:11" ht="11.15" customHeight="1">
      <c r="A46" s="443"/>
      <c r="B46" s="443"/>
      <c r="C46" s="154" t="s">
        <v>5</v>
      </c>
      <c r="D46" s="313">
        <v>424</v>
      </c>
      <c r="E46" s="129">
        <v>4647.6750000000002</v>
      </c>
      <c r="F46" s="129">
        <v>50577.478939999994</v>
      </c>
      <c r="G46" s="307">
        <f t="shared" ref="G46:G49" si="12">E46/$E$50</f>
        <v>6.1313258784846648E-2</v>
      </c>
      <c r="H46" s="307">
        <f>(E46-I46)/I46</f>
        <v>-0.22164543068224335</v>
      </c>
      <c r="I46" s="313">
        <v>5971.1540000000005</v>
      </c>
      <c r="J46" s="129">
        <v>64706.121899999962</v>
      </c>
      <c r="K46" s="307">
        <f t="shared" ref="K46:K49" si="13">I46/$I$50</f>
        <v>6.5980087035998669E-2</v>
      </c>
    </row>
    <row r="47" spans="1:11" ht="11.15" customHeight="1">
      <c r="A47" s="443"/>
      <c r="B47" s="443"/>
      <c r="C47" s="154" t="s">
        <v>6</v>
      </c>
      <c r="D47" s="313">
        <v>18048</v>
      </c>
      <c r="E47" s="129">
        <v>10103.137000000001</v>
      </c>
      <c r="F47" s="129">
        <v>109964.91113999998</v>
      </c>
      <c r="G47" s="307">
        <f t="shared" si="12"/>
        <v>0.13328304010494693</v>
      </c>
      <c r="H47" s="307">
        <f t="shared" ref="H47:H49" si="14">(E47-I47)/I47</f>
        <v>-0.21239856348684652</v>
      </c>
      <c r="I47" s="313">
        <v>12827.727999999999</v>
      </c>
      <c r="J47" s="129">
        <v>139052.64724999998</v>
      </c>
      <c r="K47" s="307">
        <f t="shared" si="13"/>
        <v>0.1417438923722478</v>
      </c>
    </row>
    <row r="48" spans="1:11" ht="11.15" customHeight="1">
      <c r="A48" s="443"/>
      <c r="B48" s="443"/>
      <c r="C48" s="154" t="s">
        <v>7</v>
      </c>
      <c r="D48" s="313">
        <v>349709</v>
      </c>
      <c r="E48" s="129">
        <v>21616.799999999999</v>
      </c>
      <c r="F48" s="129">
        <v>235348.25700000001</v>
      </c>
      <c r="G48" s="307">
        <f t="shared" si="12"/>
        <v>0.28517408220245022</v>
      </c>
      <c r="H48" s="307">
        <f t="shared" si="14"/>
        <v>-0.23703167740227657</v>
      </c>
      <c r="I48" s="313">
        <v>28332.5</v>
      </c>
      <c r="J48" s="129">
        <v>307137.8</v>
      </c>
      <c r="K48" s="307">
        <f t="shared" si="13"/>
        <v>0.31306859879136129</v>
      </c>
    </row>
    <row r="49" spans="1:11" ht="11.15" customHeight="1">
      <c r="A49" s="443"/>
      <c r="B49" s="443"/>
      <c r="C49" s="154" t="s">
        <v>93</v>
      </c>
      <c r="D49" s="313">
        <v>33</v>
      </c>
      <c r="E49" s="129">
        <v>1913.175</v>
      </c>
      <c r="F49" s="129">
        <v>20829.246760000002</v>
      </c>
      <c r="G49" s="307">
        <f t="shared" si="12"/>
        <v>2.5239069830764623E-2</v>
      </c>
      <c r="H49" s="307">
        <f t="shared" si="14"/>
        <v>7.724478670114966E-3</v>
      </c>
      <c r="I49" s="313">
        <v>1898.51</v>
      </c>
      <c r="J49" s="129">
        <v>20575.954270000006</v>
      </c>
      <c r="K49" s="307">
        <f t="shared" si="13"/>
        <v>2.0978165198672453E-2</v>
      </c>
    </row>
    <row r="50" spans="1:11" ht="11.15" customHeight="1">
      <c r="A50" s="444"/>
      <c r="B50" s="444"/>
      <c r="C50" s="318" t="s">
        <v>0</v>
      </c>
      <c r="D50" s="321">
        <v>368394</v>
      </c>
      <c r="E50" s="319">
        <v>75802.12000000001</v>
      </c>
      <c r="F50" s="319">
        <v>825035.10092999996</v>
      </c>
      <c r="G50" s="320">
        <f>SUM(G45:G49)</f>
        <v>0.99999999999999989</v>
      </c>
      <c r="H50" s="320">
        <f t="shared" ref="H50" si="15">(E50-I50)/I50</f>
        <v>-0.16240135908180978</v>
      </c>
      <c r="I50" s="321">
        <v>90499.335000000006</v>
      </c>
      <c r="J50" s="319">
        <v>980756.02682999999</v>
      </c>
      <c r="K50" s="320">
        <f>SUM(K45:K49)</f>
        <v>1</v>
      </c>
    </row>
    <row r="51" spans="1:11" ht="11.15" customHeight="1">
      <c r="A51" s="442" t="str">
        <f>'3.1'!F5</f>
        <v>Březen</v>
      </c>
      <c r="B51" s="442"/>
      <c r="C51" s="164" t="s">
        <v>4</v>
      </c>
      <c r="D51" s="312">
        <v>181</v>
      </c>
      <c r="E51" s="308">
        <v>39390.11</v>
      </c>
      <c r="F51" s="308">
        <v>428051.40145</v>
      </c>
      <c r="G51" s="309">
        <f>E51/$E$56</f>
        <v>0.54515087779979654</v>
      </c>
      <c r="H51" s="309">
        <f>(E51-I51)/I51</f>
        <v>3.8991235438369916E-2</v>
      </c>
      <c r="I51" s="312">
        <v>37911.879000000008</v>
      </c>
      <c r="J51" s="308">
        <v>410334.4288199998</v>
      </c>
      <c r="K51" s="309">
        <f>I51/$I$56</f>
        <v>0.48325678535188843</v>
      </c>
    </row>
    <row r="52" spans="1:11" ht="11.15" customHeight="1">
      <c r="A52" s="443"/>
      <c r="B52" s="443"/>
      <c r="C52" s="154" t="s">
        <v>5</v>
      </c>
      <c r="D52" s="313">
        <v>420</v>
      </c>
      <c r="E52" s="129">
        <v>3847.5210000000002</v>
      </c>
      <c r="F52" s="129">
        <v>41809.808139999972</v>
      </c>
      <c r="G52" s="307">
        <f t="shared" ref="G52:G55" si="16">E52/$E$56</f>
        <v>5.3248885329417746E-2</v>
      </c>
      <c r="H52" s="307">
        <f t="shared" ref="H52:H55" si="17">(E52-I52)/I52</f>
        <v>-0.19407896872833996</v>
      </c>
      <c r="I52" s="313">
        <v>4774.067</v>
      </c>
      <c r="J52" s="129">
        <v>51684.937540000006</v>
      </c>
      <c r="K52" s="307">
        <f t="shared" ref="K52:K55" si="18">I52/$I$56</f>
        <v>6.0854284523184234E-2</v>
      </c>
    </row>
    <row r="53" spans="1:11" ht="11.15" customHeight="1">
      <c r="A53" s="443"/>
      <c r="B53" s="443"/>
      <c r="C53" s="154" t="s">
        <v>6</v>
      </c>
      <c r="D53" s="313">
        <v>18024</v>
      </c>
      <c r="E53" s="129">
        <v>8903.66</v>
      </c>
      <c r="F53" s="129">
        <v>96770.374480000013</v>
      </c>
      <c r="G53" s="307">
        <f t="shared" si="16"/>
        <v>0.12322479080741172</v>
      </c>
      <c r="H53" s="307">
        <f t="shared" si="17"/>
        <v>-0.16784382381766033</v>
      </c>
      <c r="I53" s="313">
        <v>10699.505999999999</v>
      </c>
      <c r="J53" s="129">
        <v>115870.17273000001</v>
      </c>
      <c r="K53" s="307">
        <f t="shared" si="18"/>
        <v>0.1363849276479607</v>
      </c>
    </row>
    <row r="54" spans="1:11" ht="11.15" customHeight="1">
      <c r="A54" s="443"/>
      <c r="B54" s="443"/>
      <c r="C54" s="154" t="s">
        <v>7</v>
      </c>
      <c r="D54" s="313">
        <v>349327</v>
      </c>
      <c r="E54" s="129">
        <v>18146.5</v>
      </c>
      <c r="F54" s="129">
        <v>197275.4</v>
      </c>
      <c r="G54" s="307">
        <f t="shared" si="16"/>
        <v>0.2511437618222952</v>
      </c>
      <c r="H54" s="307">
        <f t="shared" si="17"/>
        <v>-0.21023540829782691</v>
      </c>
      <c r="I54" s="313">
        <v>22977.1</v>
      </c>
      <c r="J54" s="129">
        <v>248846.8</v>
      </c>
      <c r="K54" s="307">
        <f t="shared" si="18"/>
        <v>0.2928854959341074</v>
      </c>
    </row>
    <row r="55" spans="1:11" ht="11.15" customHeight="1">
      <c r="A55" s="443"/>
      <c r="B55" s="443"/>
      <c r="C55" s="154" t="s">
        <v>93</v>
      </c>
      <c r="D55" s="313">
        <v>32</v>
      </c>
      <c r="E55" s="129">
        <v>1967.6369999999999</v>
      </c>
      <c r="F55" s="129">
        <v>21390.670020000005</v>
      </c>
      <c r="G55" s="307">
        <f t="shared" si="16"/>
        <v>2.7231684241078746E-2</v>
      </c>
      <c r="H55" s="307">
        <f t="shared" si="17"/>
        <v>-5.7754772792246875E-2</v>
      </c>
      <c r="I55" s="313">
        <v>2088.2429999999999</v>
      </c>
      <c r="J55" s="129">
        <v>22612.694790000005</v>
      </c>
      <c r="K55" s="307">
        <f t="shared" si="18"/>
        <v>2.6618506542859122E-2</v>
      </c>
    </row>
    <row r="56" spans="1:11" ht="11.15" customHeight="1">
      <c r="A56" s="444"/>
      <c r="B56" s="444"/>
      <c r="C56" s="318" t="s">
        <v>0</v>
      </c>
      <c r="D56" s="321">
        <v>367984</v>
      </c>
      <c r="E56" s="319">
        <v>72255.428</v>
      </c>
      <c r="F56" s="319">
        <v>785297.65408999997</v>
      </c>
      <c r="G56" s="320">
        <f>SUM(G51:G55)</f>
        <v>0.99999999999999978</v>
      </c>
      <c r="H56" s="320">
        <f t="shared" ref="H56" si="19">(E56-I56)/I56</f>
        <v>-7.8971373075314433E-2</v>
      </c>
      <c r="I56" s="321">
        <v>78450.795000000013</v>
      </c>
      <c r="J56" s="319">
        <v>849349.03387999989</v>
      </c>
      <c r="K56" s="320">
        <f>SUM(K51:K55)</f>
        <v>0.99999999999999989</v>
      </c>
    </row>
    <row r="57" spans="1:11" ht="11.15" customHeight="1">
      <c r="A57" s="511" t="str">
        <f>'3.1'!G5</f>
        <v>I. čtvrtletí</v>
      </c>
      <c r="B57" s="442"/>
      <c r="C57" s="164" t="s">
        <v>4</v>
      </c>
      <c r="D57" s="312">
        <f>D51</f>
        <v>181</v>
      </c>
      <c r="E57" s="308">
        <f>E39+E45+E51</f>
        <v>124862.63100000001</v>
      </c>
      <c r="F57" s="308">
        <f>F39+F45+F51</f>
        <v>1358680.9726600002</v>
      </c>
      <c r="G57" s="309">
        <f>E57/$E$62</f>
        <v>0.48554084881352338</v>
      </c>
      <c r="H57" s="309">
        <f>(E57-I57)/I57</f>
        <v>3.6377898879470259E-2</v>
      </c>
      <c r="I57" s="312">
        <f>I39+I45+I51</f>
        <v>120479.82800000004</v>
      </c>
      <c r="J57" s="308">
        <f>J39+J45+J51</f>
        <v>1306829.77678</v>
      </c>
      <c r="K57" s="309">
        <f>I57/$I$62</f>
        <v>0.46297561647512464</v>
      </c>
    </row>
    <row r="58" spans="1:11" ht="11.15" customHeight="1">
      <c r="A58" s="443"/>
      <c r="B58" s="443"/>
      <c r="C58" s="154" t="s">
        <v>5</v>
      </c>
      <c r="D58" s="313">
        <f>D52</f>
        <v>420</v>
      </c>
      <c r="E58" s="129">
        <f t="shared" ref="E58:F59" si="20">E40+E46+E52</f>
        <v>15589.007000000001</v>
      </c>
      <c r="F58" s="129">
        <f t="shared" si="20"/>
        <v>169647.83910000001</v>
      </c>
      <c r="G58" s="307">
        <f t="shared" ref="G58:G61" si="21">E58/$E$62</f>
        <v>6.0619415355263162E-2</v>
      </c>
      <c r="H58" s="307">
        <f t="shared" ref="H58:H61" si="22">(E58-I58)/I58</f>
        <v>-4.9140545796375376E-2</v>
      </c>
      <c r="I58" s="313">
        <f t="shared" ref="I58:J58" si="23">I40+I46+I52</f>
        <v>16394.649000000001</v>
      </c>
      <c r="J58" s="129">
        <f t="shared" si="23"/>
        <v>177874.52505</v>
      </c>
      <c r="K58" s="307">
        <f t="shared" ref="K58:K61" si="24">I58/$I$62</f>
        <v>6.3000776591980889E-2</v>
      </c>
    </row>
    <row r="59" spans="1:11" ht="11.15" customHeight="1">
      <c r="A59" s="443"/>
      <c r="B59" s="443"/>
      <c r="C59" s="154" t="s">
        <v>6</v>
      </c>
      <c r="D59" s="313">
        <f>D53</f>
        <v>18024</v>
      </c>
      <c r="E59" s="129">
        <f>E41+E47+E53</f>
        <v>35419.592000000004</v>
      </c>
      <c r="F59" s="129">
        <f t="shared" si="20"/>
        <v>385533.40946</v>
      </c>
      <c r="G59" s="307">
        <f t="shared" si="21"/>
        <v>0.13773263166550354</v>
      </c>
      <c r="H59" s="307">
        <f t="shared" si="22"/>
        <v>-4.6109014459828894E-2</v>
      </c>
      <c r="I59" s="313">
        <f>I41+I47+I53</f>
        <v>37131.698000000004</v>
      </c>
      <c r="J59" s="129">
        <f t="shared" ref="J59" si="25">J41+J47+J53</f>
        <v>403044.45513999998</v>
      </c>
      <c r="K59" s="307">
        <f t="shared" si="24"/>
        <v>0.14268837412614957</v>
      </c>
    </row>
    <row r="60" spans="1:11" ht="11.15" customHeight="1">
      <c r="A60" s="443"/>
      <c r="B60" s="443"/>
      <c r="C60" s="154" t="s">
        <v>7</v>
      </c>
      <c r="D60" s="313">
        <f>D54</f>
        <v>349327</v>
      </c>
      <c r="E60" s="129">
        <f t="shared" ref="E60:F61" si="26">E42+E48+E54</f>
        <v>75286.899999999994</v>
      </c>
      <c r="F60" s="129">
        <f t="shared" si="26"/>
        <v>819688.91399999999</v>
      </c>
      <c r="G60" s="307">
        <f t="shared" si="21"/>
        <v>0.29276065254895078</v>
      </c>
      <c r="H60" s="307">
        <f t="shared" si="22"/>
        <v>-6.1651382092744421E-2</v>
      </c>
      <c r="I60" s="313">
        <f t="shared" ref="I60:J60" si="27">I42+I48+I54</f>
        <v>80233.399999999994</v>
      </c>
      <c r="J60" s="129">
        <f t="shared" si="27"/>
        <v>870915.39999999991</v>
      </c>
      <c r="K60" s="307">
        <f t="shared" si="24"/>
        <v>0.30831806820719609</v>
      </c>
    </row>
    <row r="61" spans="1:11" ht="11.15" customHeight="1">
      <c r="A61" s="443"/>
      <c r="B61" s="443"/>
      <c r="C61" s="154" t="s">
        <v>93</v>
      </c>
      <c r="D61" s="313">
        <f>D55</f>
        <v>32</v>
      </c>
      <c r="E61" s="129">
        <f>E43+E49+E55</f>
        <v>6003.8189999999995</v>
      </c>
      <c r="F61" s="129">
        <f t="shared" si="26"/>
        <v>65352.195860000007</v>
      </c>
      <c r="G61" s="307">
        <f t="shared" si="21"/>
        <v>2.334645161675921E-2</v>
      </c>
      <c r="H61" s="307">
        <f t="shared" si="22"/>
        <v>2.3503520436024728E-3</v>
      </c>
      <c r="I61" s="313">
        <f>I43+I49+I55</f>
        <v>5989.741</v>
      </c>
      <c r="J61" s="129">
        <f t="shared" ref="J61" si="28">J43+J49+J55</f>
        <v>64989.919540000017</v>
      </c>
      <c r="K61" s="307">
        <f t="shared" si="24"/>
        <v>2.3017164599548803E-2</v>
      </c>
    </row>
    <row r="62" spans="1:11" ht="11.15" customHeight="1">
      <c r="A62" s="444"/>
      <c r="B62" s="444"/>
      <c r="C62" s="318" t="s">
        <v>0</v>
      </c>
      <c r="D62" s="321">
        <f>SUM(D57:D61)</f>
        <v>367984</v>
      </c>
      <c r="E62" s="319">
        <f>SUM(E57:E61)</f>
        <v>257161.94899999999</v>
      </c>
      <c r="F62" s="319">
        <f>SUM(F57:F61)</f>
        <v>2798903.3310799999</v>
      </c>
      <c r="G62" s="320">
        <f>SUM(G57:G61)</f>
        <v>1.0000000000000002</v>
      </c>
      <c r="H62" s="320">
        <f>(E62-I62)/I62</f>
        <v>-1.1787169282649369E-2</v>
      </c>
      <c r="I62" s="321">
        <f>SUM(I57:I61)</f>
        <v>260229.31600000005</v>
      </c>
      <c r="J62" s="319">
        <f>SUM(J57:J61)</f>
        <v>2823654.07651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16" s="102" customFormat="1" ht="18">
      <c r="A1" s="515" t="s">
        <v>304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5"/>
      <c r="B3" s="535"/>
      <c r="C3" s="535"/>
      <c r="D3" s="300"/>
      <c r="E3" s="300"/>
      <c r="F3" s="301"/>
      <c r="G3" s="302"/>
      <c r="H3" s="302"/>
      <c r="I3" s="302"/>
      <c r="J3" s="76"/>
      <c r="K3" s="76"/>
    </row>
    <row r="4" spans="1:16" ht="13" customHeight="1">
      <c r="A4" s="507" t="s">
        <v>41</v>
      </c>
      <c r="B4" s="507"/>
      <c r="C4" s="507"/>
      <c r="D4" s="501">
        <f>'3.1'!A4</f>
        <v>2024</v>
      </c>
      <c r="E4" s="353"/>
      <c r="F4" s="342"/>
      <c r="G4" s="342"/>
      <c r="H4" s="342"/>
      <c r="I4" s="501">
        <f>D4-1</f>
        <v>2023</v>
      </c>
      <c r="J4" s="502"/>
      <c r="K4" s="502"/>
    </row>
    <row r="5" spans="1:16" ht="25" customHeight="1">
      <c r="A5" s="354"/>
      <c r="B5" s="354"/>
      <c r="C5" s="354"/>
      <c r="D5" s="503"/>
      <c r="E5" s="355"/>
      <c r="F5" s="356"/>
      <c r="G5" s="356"/>
      <c r="H5" s="357"/>
      <c r="I5" s="503"/>
      <c r="J5" s="504"/>
      <c r="K5" s="504"/>
    </row>
    <row r="6" spans="1:16" ht="25" customHeight="1">
      <c r="A6" s="304"/>
      <c r="B6" s="272"/>
      <c r="C6" s="305"/>
      <c r="D6" s="364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16" ht="25" customHeight="1">
      <c r="A7" s="304"/>
      <c r="B7" s="306"/>
      <c r="D7" s="365"/>
      <c r="E7" s="499"/>
      <c r="F7" s="499"/>
      <c r="G7" s="500"/>
      <c r="H7" s="500"/>
      <c r="I7" s="498"/>
      <c r="J7" s="499"/>
      <c r="K7" s="500"/>
    </row>
    <row r="8" spans="1:16" ht="15" customHeight="1">
      <c r="A8" s="508" t="s">
        <v>158</v>
      </c>
      <c r="B8" s="508"/>
      <c r="C8" s="323" t="s">
        <v>184</v>
      </c>
      <c r="D8" s="343"/>
      <c r="E8" s="219" t="s">
        <v>259</v>
      </c>
      <c r="F8" s="219" t="s">
        <v>260</v>
      </c>
      <c r="G8" s="487"/>
      <c r="H8" s="487"/>
      <c r="I8" s="221" t="s">
        <v>259</v>
      </c>
      <c r="J8" s="219" t="s">
        <v>260</v>
      </c>
      <c r="K8" s="487"/>
    </row>
    <row r="9" spans="1:16" ht="11.15" customHeight="1">
      <c r="A9" s="442" t="str">
        <f>'3.1'!D5</f>
        <v>Leden</v>
      </c>
      <c r="B9" s="442"/>
      <c r="C9" s="164" t="s">
        <v>4</v>
      </c>
      <c r="D9" s="312">
        <v>119</v>
      </c>
      <c r="E9" s="308">
        <v>22109.41</v>
      </c>
      <c r="F9" s="308">
        <v>240903.64648000011</v>
      </c>
      <c r="G9" s="309">
        <f>E9/$E$14</f>
        <v>0.34285969050310688</v>
      </c>
      <c r="H9" s="309">
        <f>(E9-I9)/I9</f>
        <v>7.0304832015506621E-2</v>
      </c>
      <c r="I9" s="312">
        <v>20657.114999999998</v>
      </c>
      <c r="J9" s="308">
        <v>224920.23470000003</v>
      </c>
      <c r="K9" s="309">
        <f>I9/$I$14</f>
        <v>0.37179297274337303</v>
      </c>
    </row>
    <row r="10" spans="1:16" ht="11.15" customHeight="1">
      <c r="A10" s="443"/>
      <c r="B10" s="443"/>
      <c r="C10" s="154" t="s">
        <v>5</v>
      </c>
      <c r="D10" s="313">
        <v>343</v>
      </c>
      <c r="E10" s="129">
        <v>6268.3389999999999</v>
      </c>
      <c r="F10" s="129">
        <v>68299.959060000037</v>
      </c>
      <c r="G10" s="307">
        <f>E10/$E$14</f>
        <v>9.7205704245773836E-2</v>
      </c>
      <c r="H10" s="307">
        <f>(E10-I10)/I10</f>
        <v>0.19421431787054225</v>
      </c>
      <c r="I10" s="313">
        <v>5248.9229999999998</v>
      </c>
      <c r="J10" s="129">
        <v>57151.419529999992</v>
      </c>
      <c r="K10" s="307">
        <f>I10/$I$14</f>
        <v>9.4471695871909692E-2</v>
      </c>
      <c r="L10" s="93"/>
      <c r="N10" s="93"/>
      <c r="O10" s="93"/>
      <c r="P10" s="93"/>
    </row>
    <row r="11" spans="1:16" ht="11.15" customHeight="1">
      <c r="A11" s="443"/>
      <c r="B11" s="443"/>
      <c r="C11" s="154" t="s">
        <v>6</v>
      </c>
      <c r="D11" s="313">
        <v>13032</v>
      </c>
      <c r="E11" s="129">
        <v>12154.7</v>
      </c>
      <c r="F11" s="129">
        <v>132437.70000000001</v>
      </c>
      <c r="G11" s="307">
        <f>E11/$E$14</f>
        <v>0.18848791895207126</v>
      </c>
      <c r="H11" s="307">
        <f t="shared" ref="H11:H13" si="0">(E11-I11)/I11</f>
        <v>0.20175794188311369</v>
      </c>
      <c r="I11" s="313">
        <v>10114.1</v>
      </c>
      <c r="J11" s="129">
        <v>110125.3</v>
      </c>
      <c r="K11" s="307">
        <f>I11/$I$14</f>
        <v>0.18203661574347385</v>
      </c>
      <c r="L11" s="93"/>
      <c r="N11" s="93"/>
      <c r="O11" s="93"/>
      <c r="P11" s="93"/>
    </row>
    <row r="12" spans="1:16" ht="11.15" customHeight="1">
      <c r="A12" s="443"/>
      <c r="B12" s="443"/>
      <c r="C12" s="154" t="s">
        <v>7</v>
      </c>
      <c r="D12" s="313">
        <v>169071</v>
      </c>
      <c r="E12" s="129">
        <v>23543</v>
      </c>
      <c r="F12" s="129">
        <v>256524.1</v>
      </c>
      <c r="G12" s="307">
        <f>E12/$E$14</f>
        <v>0.36509095871462177</v>
      </c>
      <c r="H12" s="307">
        <f t="shared" si="0"/>
        <v>0.22818091710574365</v>
      </c>
      <c r="I12" s="313">
        <v>19169</v>
      </c>
      <c r="J12" s="129">
        <v>208717.6</v>
      </c>
      <c r="K12" s="307">
        <f>I12/$I$14</f>
        <v>0.34500943110970328</v>
      </c>
      <c r="L12" s="93"/>
      <c r="N12" s="93"/>
      <c r="O12" s="93"/>
      <c r="P12" s="93"/>
    </row>
    <row r="13" spans="1:16" ht="11.15" customHeight="1">
      <c r="A13" s="443"/>
      <c r="B13" s="443"/>
      <c r="C13" s="154" t="s">
        <v>93</v>
      </c>
      <c r="D13" s="313">
        <v>15</v>
      </c>
      <c r="E13" s="129">
        <v>409.851</v>
      </c>
      <c r="F13" s="129">
        <v>4465.7330700000002</v>
      </c>
      <c r="G13" s="307">
        <f>E13/$E$14</f>
        <v>6.3557275844262177E-3</v>
      </c>
      <c r="H13" s="307">
        <f t="shared" si="0"/>
        <v>0.10275196280491421</v>
      </c>
      <c r="I13" s="313">
        <v>371.66199999999998</v>
      </c>
      <c r="J13" s="129">
        <v>4046.7587599999997</v>
      </c>
      <c r="K13" s="307">
        <f>I13/$I$14</f>
        <v>6.6892845315402226E-3</v>
      </c>
      <c r="L13" s="93"/>
      <c r="N13" s="93"/>
      <c r="O13" s="93"/>
      <c r="P13" s="93"/>
    </row>
    <row r="14" spans="1:16" ht="11.15" customHeight="1">
      <c r="A14" s="444"/>
      <c r="B14" s="444"/>
      <c r="C14" s="318" t="s">
        <v>0</v>
      </c>
      <c r="D14" s="321">
        <v>182580</v>
      </c>
      <c r="E14" s="319">
        <v>64485.3</v>
      </c>
      <c r="F14" s="319">
        <v>702631.13861000014</v>
      </c>
      <c r="G14" s="320">
        <f>SUM(G9:G13)</f>
        <v>1</v>
      </c>
      <c r="H14" s="320">
        <f>(E14-I14)/I14</f>
        <v>0.1606258369209948</v>
      </c>
      <c r="I14" s="321">
        <v>55560.799999999996</v>
      </c>
      <c r="J14" s="319">
        <v>604961.31299000001</v>
      </c>
      <c r="K14" s="320">
        <f>SUM(K9:K13)</f>
        <v>1</v>
      </c>
      <c r="L14" s="93"/>
    </row>
    <row r="15" spans="1:16" ht="11.15" customHeight="1">
      <c r="A15" s="442" t="str">
        <f>'3.1'!E5</f>
        <v>Únor</v>
      </c>
      <c r="B15" s="442"/>
      <c r="C15" s="164" t="s">
        <v>4</v>
      </c>
      <c r="D15" s="312">
        <v>119</v>
      </c>
      <c r="E15" s="308">
        <v>15437.630999999999</v>
      </c>
      <c r="F15" s="308">
        <v>168074.06143999999</v>
      </c>
      <c r="G15" s="309">
        <f>E15/$E$20</f>
        <v>0.37138347138056044</v>
      </c>
      <c r="H15" s="309">
        <f>(E15-I15)/I15</f>
        <v>-0.1743663559565104</v>
      </c>
      <c r="I15" s="312">
        <v>18697.918999999998</v>
      </c>
      <c r="J15" s="308">
        <v>202694.72330000004</v>
      </c>
      <c r="K15" s="309">
        <f>I15/$I$20</f>
        <v>0.35642103918780332</v>
      </c>
      <c r="L15" s="93"/>
      <c r="M15" s="93"/>
    </row>
    <row r="16" spans="1:16" ht="11.15" customHeight="1">
      <c r="A16" s="443"/>
      <c r="B16" s="443"/>
      <c r="C16" s="154" t="s">
        <v>5</v>
      </c>
      <c r="D16" s="313">
        <v>343</v>
      </c>
      <c r="E16" s="129">
        <v>3956.28</v>
      </c>
      <c r="F16" s="129">
        <v>43072.895270000001</v>
      </c>
      <c r="G16" s="307">
        <f>E16/$E$20</f>
        <v>9.5176325963062844E-2</v>
      </c>
      <c r="H16" s="307">
        <f>(E16-I16)/I16</f>
        <v>-0.22252138750065584</v>
      </c>
      <c r="I16" s="313">
        <v>5088.6030000000001</v>
      </c>
      <c r="J16" s="129">
        <v>55162.433450000019</v>
      </c>
      <c r="K16" s="307">
        <f>I16/$I$20</f>
        <v>9.6999306140655203E-2</v>
      </c>
      <c r="L16" s="97"/>
      <c r="M16" s="93"/>
    </row>
    <row r="17" spans="1:20" ht="11.15" customHeight="1">
      <c r="A17" s="443"/>
      <c r="B17" s="443"/>
      <c r="C17" s="154" t="s">
        <v>6</v>
      </c>
      <c r="D17" s="313">
        <v>13019</v>
      </c>
      <c r="E17" s="129">
        <v>7466.1</v>
      </c>
      <c r="F17" s="129">
        <v>81284.899999999994</v>
      </c>
      <c r="G17" s="307">
        <f>E17/$E$20</f>
        <v>0.17961215264663358</v>
      </c>
      <c r="H17" s="307">
        <f t="shared" ref="H17:H20" si="1">(E17-I17)/I17</f>
        <v>-0.21700418445145922</v>
      </c>
      <c r="I17" s="313">
        <v>9535.2999999999993</v>
      </c>
      <c r="J17" s="129">
        <v>103367</v>
      </c>
      <c r="K17" s="307">
        <f>I17/$I$20</f>
        <v>0.18176255523234758</v>
      </c>
      <c r="L17" s="93"/>
      <c r="M17" s="93"/>
      <c r="N17" s="93"/>
      <c r="O17" s="93"/>
    </row>
    <row r="18" spans="1:20" ht="11.15" customHeight="1">
      <c r="A18" s="443"/>
      <c r="B18" s="443"/>
      <c r="C18" s="154" t="s">
        <v>7</v>
      </c>
      <c r="D18" s="313">
        <v>168925</v>
      </c>
      <c r="E18" s="129">
        <v>14326.4</v>
      </c>
      <c r="F18" s="129">
        <v>155975</v>
      </c>
      <c r="G18" s="307">
        <f>E18/$E$20</f>
        <v>0.34465055968668129</v>
      </c>
      <c r="H18" s="307">
        <f t="shared" si="1"/>
        <v>-0.23702808207870221</v>
      </c>
      <c r="I18" s="313">
        <v>18777.099999999999</v>
      </c>
      <c r="J18" s="129">
        <v>203552.9</v>
      </c>
      <c r="K18" s="307">
        <f>I18/$I$20</f>
        <v>0.35793039294550916</v>
      </c>
      <c r="L18" s="93"/>
      <c r="M18" s="93"/>
      <c r="N18" s="93"/>
      <c r="O18" s="93"/>
    </row>
    <row r="19" spans="1:20" ht="11.15" customHeight="1">
      <c r="A19" s="443"/>
      <c r="B19" s="443"/>
      <c r="C19" s="154" t="s">
        <v>93</v>
      </c>
      <c r="D19" s="313">
        <v>15</v>
      </c>
      <c r="E19" s="129">
        <v>381.48899999999998</v>
      </c>
      <c r="F19" s="129">
        <v>4153.3744900000002</v>
      </c>
      <c r="G19" s="307">
        <f>E19/$E$20</f>
        <v>9.1774903230617856E-3</v>
      </c>
      <c r="H19" s="307">
        <f t="shared" si="1"/>
        <v>5.5943068772524078E-2</v>
      </c>
      <c r="I19" s="313">
        <v>361.27800000000002</v>
      </c>
      <c r="J19" s="129">
        <v>3916.4256600000003</v>
      </c>
      <c r="K19" s="307">
        <f>I19/$I$20</f>
        <v>6.8867064936847366E-3</v>
      </c>
      <c r="L19" s="93"/>
      <c r="M19" s="93"/>
      <c r="N19" s="93"/>
      <c r="O19" s="93"/>
    </row>
    <row r="20" spans="1:20" ht="11.15" customHeight="1">
      <c r="A20" s="444"/>
      <c r="B20" s="444"/>
      <c r="C20" s="318" t="s">
        <v>0</v>
      </c>
      <c r="D20" s="321">
        <v>182421</v>
      </c>
      <c r="E20" s="319">
        <v>41567.9</v>
      </c>
      <c r="F20" s="319">
        <v>452560.23119999998</v>
      </c>
      <c r="G20" s="320">
        <f>SUM(G15:G19)</f>
        <v>0.99999999999999989</v>
      </c>
      <c r="H20" s="320">
        <f t="shared" si="1"/>
        <v>-0.2076297841029961</v>
      </c>
      <c r="I20" s="321">
        <v>52460.2</v>
      </c>
      <c r="J20" s="319">
        <v>568693.48241000006</v>
      </c>
      <c r="K20" s="320">
        <f>SUM(K15:K19)</f>
        <v>0.99999999999999989</v>
      </c>
      <c r="L20" s="93"/>
      <c r="M20" s="93"/>
      <c r="N20" s="93"/>
      <c r="O20" s="93"/>
    </row>
    <row r="21" spans="1:20" ht="11.15" customHeight="1">
      <c r="A21" s="442" t="str">
        <f>'3.1'!F5</f>
        <v>Březen</v>
      </c>
      <c r="B21" s="442"/>
      <c r="C21" s="164" t="s">
        <v>4</v>
      </c>
      <c r="D21" s="312">
        <v>119</v>
      </c>
      <c r="E21" s="308">
        <v>14716.137000000001</v>
      </c>
      <c r="F21" s="308">
        <v>159982.46878</v>
      </c>
      <c r="G21" s="309">
        <f>E21/$E$26</f>
        <v>0.39503545769932003</v>
      </c>
      <c r="H21" s="309">
        <f>(E21-I21)/I21</f>
        <v>-0.17608163053696566</v>
      </c>
      <c r="I21" s="312">
        <v>17861.159</v>
      </c>
      <c r="J21" s="308">
        <v>193439.32221999997</v>
      </c>
      <c r="K21" s="309">
        <f>I21/$I$26</f>
        <v>0.39050600697443072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5" customHeight="1">
      <c r="A22" s="443"/>
      <c r="B22" s="443"/>
      <c r="C22" s="154" t="s">
        <v>5</v>
      </c>
      <c r="D22" s="313">
        <v>342</v>
      </c>
      <c r="E22" s="129">
        <v>3425.748</v>
      </c>
      <c r="F22" s="129">
        <v>37242.439529999967</v>
      </c>
      <c r="G22" s="307">
        <f>E22/$E$26</f>
        <v>9.1959726193261856E-2</v>
      </c>
      <c r="H22" s="307">
        <f t="shared" ref="H22:H26" si="2">(E22-I22)/I22</f>
        <v>-0.20063468581302202</v>
      </c>
      <c r="I22" s="313">
        <v>4285.585</v>
      </c>
      <c r="J22" s="129">
        <v>46413.677060000002</v>
      </c>
      <c r="K22" s="307">
        <f>I22/$I$26</f>
        <v>9.3697541458508699E-2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5" customHeight="1">
      <c r="A23" s="443"/>
      <c r="B23" s="443"/>
      <c r="C23" s="154" t="s">
        <v>6</v>
      </c>
      <c r="D23" s="313">
        <v>13008</v>
      </c>
      <c r="E23" s="129">
        <v>6681.799</v>
      </c>
      <c r="F23" s="129">
        <v>72603.388999999996</v>
      </c>
      <c r="G23" s="307">
        <f>E23/$E$26</f>
        <v>0.17936415828555133</v>
      </c>
      <c r="H23" s="307">
        <f t="shared" si="2"/>
        <v>-0.16011375634772995</v>
      </c>
      <c r="I23" s="313">
        <v>7955.6</v>
      </c>
      <c r="J23" s="129">
        <v>86161.2</v>
      </c>
      <c r="K23" s="307">
        <f>I23/$I$26</f>
        <v>0.17393661794768084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5" customHeight="1">
      <c r="A24" s="443"/>
      <c r="B24" s="443"/>
      <c r="C24" s="154" t="s">
        <v>7</v>
      </c>
      <c r="D24" s="313">
        <v>168754</v>
      </c>
      <c r="E24" s="129">
        <v>12026.5</v>
      </c>
      <c r="F24" s="129">
        <v>130742.6</v>
      </c>
      <c r="G24" s="307">
        <f>E24/$E$26</f>
        <v>0.3228356689001245</v>
      </c>
      <c r="H24" s="307">
        <f t="shared" si="2"/>
        <v>-0.2102325337045817</v>
      </c>
      <c r="I24" s="313">
        <v>15227.9</v>
      </c>
      <c r="J24" s="129">
        <v>164921.1</v>
      </c>
      <c r="K24" s="307">
        <f>I24/$I$26</f>
        <v>0.33293396154224558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5" customHeight="1">
      <c r="A25" s="443"/>
      <c r="B25" s="443"/>
      <c r="C25" s="154" t="s">
        <v>93</v>
      </c>
      <c r="D25" s="313">
        <v>15</v>
      </c>
      <c r="E25" s="129">
        <v>402.51499999999999</v>
      </c>
      <c r="F25" s="129">
        <v>4375.8399800000007</v>
      </c>
      <c r="G25" s="307">
        <f>E25/$E$26</f>
        <v>1.0804988921742286E-2</v>
      </c>
      <c r="H25" s="307">
        <f t="shared" si="2"/>
        <v>-1.4062255055651321E-2</v>
      </c>
      <c r="I25" s="313">
        <v>408.25599999999997</v>
      </c>
      <c r="J25" s="129">
        <v>4421.4952999999996</v>
      </c>
      <c r="K25" s="307">
        <f>I25/$I$26</f>
        <v>8.9258720771341424E-3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5" customHeight="1">
      <c r="A26" s="444"/>
      <c r="B26" s="444"/>
      <c r="C26" s="318" t="s">
        <v>0</v>
      </c>
      <c r="D26" s="321">
        <v>182238</v>
      </c>
      <c r="E26" s="319">
        <v>37252.699000000001</v>
      </c>
      <c r="F26" s="319">
        <v>404946.7372899999</v>
      </c>
      <c r="G26" s="320">
        <f>SUM(G21:G25)</f>
        <v>1</v>
      </c>
      <c r="H26" s="320">
        <f t="shared" si="2"/>
        <v>-0.18552862468161394</v>
      </c>
      <c r="I26" s="321">
        <v>45738.5</v>
      </c>
      <c r="J26" s="319">
        <v>495356.79458000005</v>
      </c>
      <c r="K26" s="320">
        <f>SUM(K21:K25)</f>
        <v>1</v>
      </c>
    </row>
    <row r="27" spans="1:20" ht="11.15" customHeight="1">
      <c r="A27" s="511" t="str">
        <f>'3.1'!G5</f>
        <v>I. čtvrtletí</v>
      </c>
      <c r="B27" s="442"/>
      <c r="C27" s="164" t="s">
        <v>4</v>
      </c>
      <c r="D27" s="312">
        <f>D21</f>
        <v>119</v>
      </c>
      <c r="E27" s="308">
        <f>E9+E15+E21</f>
        <v>52263.178</v>
      </c>
      <c r="F27" s="308">
        <f>F9+F15+F21</f>
        <v>568960.17670000007</v>
      </c>
      <c r="G27" s="309">
        <f>E27/$E$32</f>
        <v>0.36469662703836075</v>
      </c>
      <c r="H27" s="309">
        <f>(E27-I27)/I27</f>
        <v>-8.656666479015826E-2</v>
      </c>
      <c r="I27" s="312">
        <f>I9+I15+I21</f>
        <v>57216.192999999999</v>
      </c>
      <c r="J27" s="308">
        <f>J9+J15+J21</f>
        <v>621054.28022000007</v>
      </c>
      <c r="K27" s="309">
        <f>I27/$I$32</f>
        <v>0.37211484818824203</v>
      </c>
    </row>
    <row r="28" spans="1:20" ht="11.15" customHeight="1">
      <c r="A28" s="443"/>
      <c r="B28" s="443"/>
      <c r="C28" s="154" t="s">
        <v>5</v>
      </c>
      <c r="D28" s="313">
        <f>D22</f>
        <v>342</v>
      </c>
      <c r="E28" s="129">
        <f t="shared" ref="E28:F31" si="3">E10+E16+E22</f>
        <v>13650.367</v>
      </c>
      <c r="F28" s="129">
        <f t="shared" si="3"/>
        <v>148615.29386000001</v>
      </c>
      <c r="G28" s="307">
        <f>E28/$E$32</f>
        <v>9.525335031742134E-2</v>
      </c>
      <c r="H28" s="307">
        <f t="shared" ref="H28:H31" si="4">(E28-I28)/I28</f>
        <v>-6.6521002268258828E-2</v>
      </c>
      <c r="I28" s="313">
        <f t="shared" ref="I28:J28" si="5">I10+I16+I22</f>
        <v>14623.111000000001</v>
      </c>
      <c r="J28" s="129">
        <f t="shared" si="5"/>
        <v>158727.53004000001</v>
      </c>
      <c r="K28" s="307">
        <f>I28/$I$32</f>
        <v>9.5103788708990347E-2</v>
      </c>
    </row>
    <row r="29" spans="1:20" ht="11.15" customHeight="1">
      <c r="A29" s="443"/>
      <c r="B29" s="443"/>
      <c r="C29" s="154" t="s">
        <v>6</v>
      </c>
      <c r="D29" s="313">
        <f>D23</f>
        <v>13008</v>
      </c>
      <c r="E29" s="129">
        <f t="shared" si="3"/>
        <v>26302.599000000002</v>
      </c>
      <c r="F29" s="129">
        <f t="shared" si="3"/>
        <v>286325.989</v>
      </c>
      <c r="G29" s="307">
        <f>E29/$E$32</f>
        <v>0.18354163494693265</v>
      </c>
      <c r="H29" s="307">
        <f t="shared" si="4"/>
        <v>-4.7179894946567581E-2</v>
      </c>
      <c r="I29" s="313">
        <f t="shared" ref="I29:J29" si="6">I11+I17+I23</f>
        <v>27605</v>
      </c>
      <c r="J29" s="129">
        <f t="shared" si="6"/>
        <v>299653.5</v>
      </c>
      <c r="K29" s="307">
        <f>I29/$I$32</f>
        <v>0.17953362231276768</v>
      </c>
    </row>
    <row r="30" spans="1:20" ht="11.15" customHeight="1">
      <c r="A30" s="443"/>
      <c r="B30" s="443"/>
      <c r="C30" s="154" t="s">
        <v>7</v>
      </c>
      <c r="D30" s="313">
        <f>D24</f>
        <v>168754</v>
      </c>
      <c r="E30" s="129">
        <f t="shared" si="3"/>
        <v>49895.9</v>
      </c>
      <c r="F30" s="129">
        <f t="shared" si="3"/>
        <v>543241.69999999995</v>
      </c>
      <c r="G30" s="307">
        <f>E30/$E$32</f>
        <v>0.34817757222959816</v>
      </c>
      <c r="H30" s="307">
        <f t="shared" si="4"/>
        <v>-6.1648550043254195E-2</v>
      </c>
      <c r="I30" s="313">
        <f t="shared" ref="I30:J30" si="7">I12+I18+I24</f>
        <v>53174</v>
      </c>
      <c r="J30" s="129">
        <f t="shared" si="7"/>
        <v>577191.6</v>
      </c>
      <c r="K30" s="307">
        <f>I30/$I$32</f>
        <v>0.34582578637417527</v>
      </c>
    </row>
    <row r="31" spans="1:20" ht="11.15" customHeight="1">
      <c r="A31" s="443"/>
      <c r="B31" s="443"/>
      <c r="C31" s="154" t="s">
        <v>93</v>
      </c>
      <c r="D31" s="313">
        <f>D25</f>
        <v>15</v>
      </c>
      <c r="E31" s="129">
        <f>E13+E19+E25</f>
        <v>1193.855</v>
      </c>
      <c r="F31" s="129">
        <f t="shared" si="3"/>
        <v>12994.947540000001</v>
      </c>
      <c r="G31" s="307">
        <f>E31/$E$32</f>
        <v>8.3308154676870628E-3</v>
      </c>
      <c r="H31" s="307">
        <f t="shared" si="4"/>
        <v>4.6143694860479804E-2</v>
      </c>
      <c r="I31" s="313">
        <f>I13+I19+I25</f>
        <v>1141.1959999999999</v>
      </c>
      <c r="J31" s="129">
        <f t="shared" ref="J31" si="8">J13+J19+J25</f>
        <v>12384.67972</v>
      </c>
      <c r="K31" s="307">
        <f>I31/$I$32</f>
        <v>7.4219544158247129E-3</v>
      </c>
    </row>
    <row r="32" spans="1:20" ht="11.15" customHeight="1">
      <c r="A32" s="444"/>
      <c r="B32" s="444"/>
      <c r="C32" s="318" t="s">
        <v>0</v>
      </c>
      <c r="D32" s="321">
        <f>SUM(D27:D31)</f>
        <v>182238</v>
      </c>
      <c r="E32" s="319">
        <f>SUM(E27:E31)</f>
        <v>143305.899</v>
      </c>
      <c r="F32" s="319">
        <f>SUM(F27:F31)</f>
        <v>1560138.1071000001</v>
      </c>
      <c r="G32" s="320">
        <f>SUM(G27:G31)</f>
        <v>1</v>
      </c>
      <c r="H32" s="320">
        <f>(E32-I32)/I32</f>
        <v>-6.7986700008779918E-2</v>
      </c>
      <c r="I32" s="321">
        <f>SUM(I27:I31)</f>
        <v>153759.5</v>
      </c>
      <c r="J32" s="319">
        <f>SUM(J27:J31)</f>
        <v>1669011.5899800002</v>
      </c>
      <c r="K32" s="320">
        <f>SUM(K27:K31)</f>
        <v>1</v>
      </c>
    </row>
    <row r="33" spans="1:11" ht="10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3" customHeight="1">
      <c r="A34" s="536" t="s">
        <v>42</v>
      </c>
      <c r="B34" s="536"/>
      <c r="C34" s="536"/>
      <c r="D34" s="501">
        <f>D4</f>
        <v>2024</v>
      </c>
      <c r="E34" s="353"/>
      <c r="F34" s="342"/>
      <c r="G34" s="342"/>
      <c r="H34" s="342"/>
      <c r="I34" s="501">
        <f>D34-1</f>
        <v>2023</v>
      </c>
      <c r="J34" s="502"/>
      <c r="K34" s="502"/>
    </row>
    <row r="35" spans="1:11" ht="25" customHeight="1">
      <c r="A35" s="304"/>
      <c r="B35" s="272"/>
      <c r="C35" s="150"/>
      <c r="D35" s="503"/>
      <c r="E35" s="355"/>
      <c r="F35" s="356"/>
      <c r="G35" s="356"/>
      <c r="H35" s="357"/>
      <c r="I35" s="503"/>
      <c r="J35" s="504"/>
      <c r="K35" s="504"/>
    </row>
    <row r="36" spans="1:11" ht="25" customHeight="1">
      <c r="A36" s="130"/>
      <c r="B36" s="131"/>
      <c r="C36" s="352"/>
      <c r="D36" s="364" t="s">
        <v>159</v>
      </c>
      <c r="E36" s="499" t="s">
        <v>60</v>
      </c>
      <c r="F36" s="499"/>
      <c r="G36" s="500" t="s">
        <v>33</v>
      </c>
      <c r="H36" s="500" t="s">
        <v>268</v>
      </c>
      <c r="I36" s="498" t="s">
        <v>60</v>
      </c>
      <c r="J36" s="499"/>
      <c r="K36" s="500" t="s">
        <v>33</v>
      </c>
    </row>
    <row r="37" spans="1:11" ht="25" customHeight="1">
      <c r="A37" s="130"/>
      <c r="B37" s="306"/>
      <c r="C37" s="306"/>
      <c r="D37" s="365"/>
      <c r="E37" s="499"/>
      <c r="F37" s="499"/>
      <c r="G37" s="500"/>
      <c r="H37" s="500"/>
      <c r="I37" s="498"/>
      <c r="J37" s="499"/>
      <c r="K37" s="500"/>
    </row>
    <row r="38" spans="1:11" ht="15" customHeight="1">
      <c r="A38" s="537" t="s">
        <v>158</v>
      </c>
      <c r="B38" s="537"/>
      <c r="C38" s="366" t="s">
        <v>184</v>
      </c>
      <c r="D38" s="343"/>
      <c r="E38" s="219" t="s">
        <v>259</v>
      </c>
      <c r="F38" s="219" t="s">
        <v>260</v>
      </c>
      <c r="G38" s="487"/>
      <c r="H38" s="487"/>
      <c r="I38" s="221" t="s">
        <v>259</v>
      </c>
      <c r="J38" s="219" t="s">
        <v>260</v>
      </c>
      <c r="K38" s="487"/>
    </row>
    <row r="39" spans="1:11" ht="11.15" customHeight="1">
      <c r="A39" s="442" t="str">
        <f>'3.1'!D5</f>
        <v>Leden</v>
      </c>
      <c r="B39" s="442"/>
      <c r="C39" s="164" t="s">
        <v>4</v>
      </c>
      <c r="D39" s="312">
        <v>82</v>
      </c>
      <c r="E39" s="308">
        <v>11993.227000000001</v>
      </c>
      <c r="F39" s="308">
        <v>130678.66383</v>
      </c>
      <c r="G39" s="309">
        <f>E39/$E$44</f>
        <v>0.2607387639655544</v>
      </c>
      <c r="H39" s="309">
        <f>(E39-I39)/I39</f>
        <v>4.2544811279751168E-2</v>
      </c>
      <c r="I39" s="312">
        <v>11503.8</v>
      </c>
      <c r="J39" s="308">
        <v>125256.59098000005</v>
      </c>
      <c r="K39" s="309">
        <f>I39/$I$44</f>
        <v>0.2919094212460161</v>
      </c>
    </row>
    <row r="40" spans="1:11" ht="11.15" customHeight="1">
      <c r="A40" s="443"/>
      <c r="B40" s="443"/>
      <c r="C40" s="154" t="s">
        <v>5</v>
      </c>
      <c r="D40" s="313">
        <v>261</v>
      </c>
      <c r="E40" s="129">
        <v>5049.2759999999998</v>
      </c>
      <c r="F40" s="129">
        <v>55016.53069</v>
      </c>
      <c r="G40" s="307">
        <f t="shared" ref="G40" si="9">E40/$E$44</f>
        <v>0.10977379008676634</v>
      </c>
      <c r="H40" s="307">
        <f>(E40-I40)/I40</f>
        <v>0.22589133257956481</v>
      </c>
      <c r="I40" s="313">
        <v>4118.8610000000008</v>
      </c>
      <c r="J40" s="129">
        <v>44846.81697</v>
      </c>
      <c r="K40" s="307">
        <f t="shared" ref="K40:K43" si="10">I40/$I$44</f>
        <v>0.10451627555266846</v>
      </c>
    </row>
    <row r="41" spans="1:11" ht="11.15" customHeight="1">
      <c r="A41" s="443"/>
      <c r="B41" s="443"/>
      <c r="C41" s="154" t="s">
        <v>6</v>
      </c>
      <c r="D41" s="313">
        <v>11153</v>
      </c>
      <c r="E41" s="129">
        <v>9955.2540000000008</v>
      </c>
      <c r="F41" s="129">
        <v>108472.68941000001</v>
      </c>
      <c r="G41" s="307">
        <f>E41/$E$44</f>
        <v>0.21643220985670839</v>
      </c>
      <c r="H41" s="307">
        <f t="shared" ref="H41:H43" si="11">(E41-I41)/I41</f>
        <v>0.20170593225617528</v>
      </c>
      <c r="I41" s="313">
        <v>8284.268</v>
      </c>
      <c r="J41" s="129">
        <v>90201.865559999991</v>
      </c>
      <c r="K41" s="307">
        <f t="shared" si="10"/>
        <v>0.21021365786321836</v>
      </c>
    </row>
    <row r="42" spans="1:11" ht="11.15" customHeight="1">
      <c r="A42" s="443"/>
      <c r="B42" s="443"/>
      <c r="C42" s="154" t="s">
        <v>7</v>
      </c>
      <c r="D42" s="313">
        <v>121963</v>
      </c>
      <c r="E42" s="129">
        <v>18768.5</v>
      </c>
      <c r="F42" s="129">
        <v>204501.3</v>
      </c>
      <c r="G42" s="307">
        <f>E42/$E$44</f>
        <v>0.40803659361133637</v>
      </c>
      <c r="H42" s="307">
        <f t="shared" si="11"/>
        <v>0.22817636896660032</v>
      </c>
      <c r="I42" s="313">
        <v>15281.6</v>
      </c>
      <c r="J42" s="129">
        <v>166389.9</v>
      </c>
      <c r="K42" s="307">
        <f t="shared" si="10"/>
        <v>0.38777125921114064</v>
      </c>
    </row>
    <row r="43" spans="1:11" ht="11.15" customHeight="1">
      <c r="A43" s="443"/>
      <c r="B43" s="443"/>
      <c r="C43" s="154" t="s">
        <v>93</v>
      </c>
      <c r="D43" s="313">
        <v>15</v>
      </c>
      <c r="E43" s="129">
        <v>230.84299999999999</v>
      </c>
      <c r="F43" s="129">
        <v>2515.2688199999998</v>
      </c>
      <c r="G43" s="307">
        <f>E43/$E$44</f>
        <v>5.0186424796345858E-3</v>
      </c>
      <c r="H43" s="307">
        <f t="shared" si="11"/>
        <v>4.7995423818841351E-2</v>
      </c>
      <c r="I43" s="313">
        <v>220.27099999999999</v>
      </c>
      <c r="J43" s="129">
        <v>2398.3767499999999</v>
      </c>
      <c r="K43" s="307">
        <f t="shared" si="10"/>
        <v>5.589386126956415E-3</v>
      </c>
    </row>
    <row r="44" spans="1:11" ht="11.15" customHeight="1">
      <c r="A44" s="444"/>
      <c r="B44" s="444"/>
      <c r="C44" s="318" t="s">
        <v>0</v>
      </c>
      <c r="D44" s="321">
        <v>133474</v>
      </c>
      <c r="E44" s="319">
        <v>45997.1</v>
      </c>
      <c r="F44" s="319">
        <v>501184.45275</v>
      </c>
      <c r="G44" s="320">
        <f>SUM(G39:G43)</f>
        <v>1.0000000000000002</v>
      </c>
      <c r="H44" s="320">
        <f>(E44-I44)/I44</f>
        <v>0.16717839670327428</v>
      </c>
      <c r="I44" s="321">
        <v>39408.800000000003</v>
      </c>
      <c r="J44" s="319">
        <v>429093.55025999999</v>
      </c>
      <c r="K44" s="320">
        <f>SUM(K39:K43)</f>
        <v>0.99999999999999989</v>
      </c>
    </row>
    <row r="45" spans="1:11" ht="11.15" customHeight="1">
      <c r="A45" s="442" t="str">
        <f>'3.1'!E5</f>
        <v>Únor</v>
      </c>
      <c r="B45" s="442"/>
      <c r="C45" s="164" t="s">
        <v>4</v>
      </c>
      <c r="D45" s="312">
        <v>81</v>
      </c>
      <c r="E45" s="308">
        <v>9733.8690000000006</v>
      </c>
      <c r="F45" s="308">
        <v>105975.51171000001</v>
      </c>
      <c r="G45" s="309">
        <f>E45/$E$50</f>
        <v>0.31330750834457211</v>
      </c>
      <c r="H45" s="309">
        <f>(E45-I45)/I45</f>
        <v>-0.10500499637179178</v>
      </c>
      <c r="I45" s="312">
        <v>10875.892</v>
      </c>
      <c r="J45" s="308">
        <v>117899.89482999998</v>
      </c>
      <c r="K45" s="309">
        <f>I45/$I$50</f>
        <v>0.28739432023275052</v>
      </c>
    </row>
    <row r="46" spans="1:11" ht="11.15" customHeight="1">
      <c r="A46" s="443"/>
      <c r="B46" s="443"/>
      <c r="C46" s="154" t="s">
        <v>5</v>
      </c>
      <c r="D46" s="313">
        <v>260</v>
      </c>
      <c r="E46" s="129">
        <v>3583.7339999999999</v>
      </c>
      <c r="F46" s="129">
        <v>39017.354590000003</v>
      </c>
      <c r="G46" s="307">
        <f t="shared" ref="G46:G49" si="12">E46/$E$50</f>
        <v>0.1153509226505644</v>
      </c>
      <c r="H46" s="307">
        <f>(E46-I46)/I46</f>
        <v>-9.6648174811552606E-2</v>
      </c>
      <c r="I46" s="313">
        <v>3967.1520000000005</v>
      </c>
      <c r="J46" s="129">
        <v>43005.423489999994</v>
      </c>
      <c r="K46" s="307">
        <f t="shared" ref="K46:K49" si="13">I46/$I$50</f>
        <v>0.10483158092228176</v>
      </c>
    </row>
    <row r="47" spans="1:11" ht="11.15" customHeight="1">
      <c r="A47" s="443"/>
      <c r="B47" s="443"/>
      <c r="C47" s="154" t="s">
        <v>6</v>
      </c>
      <c r="D47" s="313">
        <v>11144</v>
      </c>
      <c r="E47" s="129">
        <v>6118.3230000000003</v>
      </c>
      <c r="F47" s="129">
        <v>66611.85166</v>
      </c>
      <c r="G47" s="307">
        <f t="shared" si="12"/>
        <v>0.19693264151975823</v>
      </c>
      <c r="H47" s="307">
        <f t="shared" ref="H47:H49" si="14">(E47-I47)/I47</f>
        <v>-0.21646231047149619</v>
      </c>
      <c r="I47" s="313">
        <v>7808.5879999999997</v>
      </c>
      <c r="J47" s="129">
        <v>84648.350980000003</v>
      </c>
      <c r="K47" s="307">
        <f t="shared" si="13"/>
        <v>0.20634112955862496</v>
      </c>
    </row>
    <row r="48" spans="1:11" ht="11.15" customHeight="1">
      <c r="A48" s="443"/>
      <c r="B48" s="443"/>
      <c r="C48" s="154" t="s">
        <v>7</v>
      </c>
      <c r="D48" s="313">
        <v>121848</v>
      </c>
      <c r="E48" s="129">
        <v>11421</v>
      </c>
      <c r="F48" s="129">
        <v>124343.4</v>
      </c>
      <c r="G48" s="307">
        <f t="shared" si="12"/>
        <v>0.36761179473479227</v>
      </c>
      <c r="H48" s="307">
        <f t="shared" si="14"/>
        <v>-0.23702827825320161</v>
      </c>
      <c r="I48" s="313">
        <v>14969.1</v>
      </c>
      <c r="J48" s="129">
        <v>162272.6</v>
      </c>
      <c r="K48" s="307">
        <f t="shared" si="13"/>
        <v>0.39555691790577413</v>
      </c>
    </row>
    <row r="49" spans="1:11" ht="11.15" customHeight="1">
      <c r="A49" s="443"/>
      <c r="B49" s="443"/>
      <c r="C49" s="154" t="s">
        <v>93</v>
      </c>
      <c r="D49" s="313">
        <v>15</v>
      </c>
      <c r="E49" s="129">
        <v>211.17400000000001</v>
      </c>
      <c r="F49" s="129">
        <v>2299.1151799999998</v>
      </c>
      <c r="G49" s="307">
        <f t="shared" si="12"/>
        <v>6.7971327503130227E-3</v>
      </c>
      <c r="H49" s="307">
        <f t="shared" si="14"/>
        <v>-5.0339976975104284E-2</v>
      </c>
      <c r="I49" s="313">
        <v>222.36799999999999</v>
      </c>
      <c r="J49" s="129">
        <v>2410.5759399999997</v>
      </c>
      <c r="K49" s="307">
        <f t="shared" si="13"/>
        <v>5.8760513805687165E-3</v>
      </c>
    </row>
    <row r="50" spans="1:11" ht="11.15" customHeight="1">
      <c r="A50" s="444"/>
      <c r="B50" s="444"/>
      <c r="C50" s="318" t="s">
        <v>0</v>
      </c>
      <c r="D50" s="321">
        <v>133348</v>
      </c>
      <c r="E50" s="319">
        <v>31068.1</v>
      </c>
      <c r="F50" s="319">
        <v>338247.23313999997</v>
      </c>
      <c r="G50" s="320">
        <f>SUM(G45:G49)</f>
        <v>1.0000000000000002</v>
      </c>
      <c r="H50" s="320">
        <f t="shared" ref="H50" si="15">(E50-I50)/I50</f>
        <v>-0.17902867365517097</v>
      </c>
      <c r="I50" s="321">
        <v>37843.1</v>
      </c>
      <c r="J50" s="319">
        <v>410236.84523999994</v>
      </c>
      <c r="K50" s="320">
        <f>SUM(K45:K49)</f>
        <v>1</v>
      </c>
    </row>
    <row r="51" spans="1:11" ht="11.15" customHeight="1">
      <c r="A51" s="442" t="str">
        <f>'3.1'!F5</f>
        <v>Březen</v>
      </c>
      <c r="B51" s="442"/>
      <c r="C51" s="164" t="s">
        <v>4</v>
      </c>
      <c r="D51" s="312">
        <v>81</v>
      </c>
      <c r="E51" s="308">
        <v>9943.6889999999985</v>
      </c>
      <c r="F51" s="308">
        <v>108100.45649000001</v>
      </c>
      <c r="G51" s="309">
        <f>E51/$E$56</f>
        <v>0.35117352272245683</v>
      </c>
      <c r="H51" s="309">
        <f>(E51-I51)/I51</f>
        <v>-9.2402751755900778E-2</v>
      </c>
      <c r="I51" s="312">
        <v>10956.059000000001</v>
      </c>
      <c r="J51" s="308">
        <v>118656.76305999997</v>
      </c>
      <c r="K51" s="309">
        <f>I51/$I$56</f>
        <v>0.32772350646709031</v>
      </c>
    </row>
    <row r="52" spans="1:11" ht="11.15" customHeight="1">
      <c r="A52" s="443"/>
      <c r="B52" s="443"/>
      <c r="C52" s="154" t="s">
        <v>5</v>
      </c>
      <c r="D52" s="313">
        <v>258</v>
      </c>
      <c r="E52" s="129">
        <v>3189.8429999999998</v>
      </c>
      <c r="F52" s="129">
        <v>34677.332660000036</v>
      </c>
      <c r="G52" s="307">
        <f t="shared" ref="G52:G55" si="16">E52/$E$56</f>
        <v>0.11265320176863637</v>
      </c>
      <c r="H52" s="307">
        <f t="shared" ref="H52:H55" si="17">(E52-I52)/I52</f>
        <v>-0.10992965586903326</v>
      </c>
      <c r="I52" s="313">
        <v>3583.81</v>
      </c>
      <c r="J52" s="129">
        <v>38812.998079999998</v>
      </c>
      <c r="K52" s="307">
        <f t="shared" ref="K52:K55" si="18">I52/$I$56</f>
        <v>0.10720084473000946</v>
      </c>
    </row>
    <row r="53" spans="1:11" ht="11.15" customHeight="1">
      <c r="A53" s="443"/>
      <c r="B53" s="443"/>
      <c r="C53" s="154" t="s">
        <v>6</v>
      </c>
      <c r="D53" s="313">
        <v>11133</v>
      </c>
      <c r="E53" s="129">
        <v>5390.1530000000002</v>
      </c>
      <c r="F53" s="129">
        <v>58597.810439999994</v>
      </c>
      <c r="G53" s="307">
        <f t="shared" si="16"/>
        <v>0.19035983698032183</v>
      </c>
      <c r="H53" s="307">
        <f t="shared" si="17"/>
        <v>-0.17326710046160759</v>
      </c>
      <c r="I53" s="313">
        <v>6519.8240000000005</v>
      </c>
      <c r="J53" s="129">
        <v>70610.660149999996</v>
      </c>
      <c r="K53" s="307">
        <f t="shared" si="18"/>
        <v>0.19502446845423985</v>
      </c>
    </row>
    <row r="54" spans="1:11" ht="11.15" customHeight="1">
      <c r="A54" s="443"/>
      <c r="B54" s="443"/>
      <c r="C54" s="154" t="s">
        <v>7</v>
      </c>
      <c r="D54" s="313">
        <v>121715</v>
      </c>
      <c r="E54" s="129">
        <v>9587.5</v>
      </c>
      <c r="F54" s="129">
        <v>104228.1</v>
      </c>
      <c r="G54" s="307">
        <f t="shared" si="16"/>
        <v>0.33859427312153018</v>
      </c>
      <c r="H54" s="307">
        <f t="shared" si="17"/>
        <v>-0.21023583778841326</v>
      </c>
      <c r="I54" s="313">
        <v>12139.7</v>
      </c>
      <c r="J54" s="129">
        <v>131475.20000000001</v>
      </c>
      <c r="K54" s="307">
        <f t="shared" si="18"/>
        <v>0.36312921018940625</v>
      </c>
    </row>
    <row r="55" spans="1:11" ht="11.15" customHeight="1">
      <c r="A55" s="443"/>
      <c r="B55" s="443"/>
      <c r="C55" s="154" t="s">
        <v>93</v>
      </c>
      <c r="D55" s="313">
        <v>15</v>
      </c>
      <c r="E55" s="129">
        <v>204.41499999999999</v>
      </c>
      <c r="F55" s="129">
        <v>2222.2507700000001</v>
      </c>
      <c r="G55" s="307">
        <f t="shared" si="16"/>
        <v>7.2191654070547688E-3</v>
      </c>
      <c r="H55" s="307">
        <f t="shared" si="17"/>
        <v>-0.11664297104236267</v>
      </c>
      <c r="I55" s="313">
        <v>231.40700000000001</v>
      </c>
      <c r="J55" s="129">
        <v>2506.17436</v>
      </c>
      <c r="K55" s="307">
        <f t="shared" si="18"/>
        <v>6.9219701592543419E-3</v>
      </c>
    </row>
    <row r="56" spans="1:11" ht="11.15" customHeight="1">
      <c r="A56" s="444"/>
      <c r="B56" s="444"/>
      <c r="C56" s="318" t="s">
        <v>0</v>
      </c>
      <c r="D56" s="321">
        <v>133202</v>
      </c>
      <c r="E56" s="319">
        <v>28315.599999999999</v>
      </c>
      <c r="F56" s="319">
        <v>307825.95036000008</v>
      </c>
      <c r="G56" s="320">
        <f>SUM(G51:G55)</f>
        <v>1</v>
      </c>
      <c r="H56" s="320">
        <f t="shared" ref="H56" si="19">(E56-I56)/I56</f>
        <v>-0.15300860284528034</v>
      </c>
      <c r="I56" s="321">
        <v>33430.799999999996</v>
      </c>
      <c r="J56" s="319">
        <v>362061.79564999999</v>
      </c>
      <c r="K56" s="320">
        <f>SUM(K51:K55)</f>
        <v>1.0000000000000002</v>
      </c>
    </row>
    <row r="57" spans="1:11" ht="11.15" customHeight="1">
      <c r="A57" s="511" t="str">
        <f>'3.1'!G5</f>
        <v>I. čtvrtletí</v>
      </c>
      <c r="B57" s="442"/>
      <c r="C57" s="164" t="s">
        <v>4</v>
      </c>
      <c r="D57" s="312">
        <f>D51</f>
        <v>81</v>
      </c>
      <c r="E57" s="308">
        <f>E39+E45+E51</f>
        <v>31670.785</v>
      </c>
      <c r="F57" s="308">
        <f>F39+F45+F51</f>
        <v>344754.63203000004</v>
      </c>
      <c r="G57" s="309">
        <f>E57/$E$62</f>
        <v>0.30053657782062765</v>
      </c>
      <c r="H57" s="309">
        <f>(E57-I57)/I57</f>
        <v>-4.994535746322331E-2</v>
      </c>
      <c r="I57" s="312">
        <f>I39+I45+I51</f>
        <v>33335.751000000004</v>
      </c>
      <c r="J57" s="308">
        <f>J39+J45+J51</f>
        <v>361813.24887000001</v>
      </c>
      <c r="K57" s="309">
        <f>I57/$I$62</f>
        <v>0.30118303041035321</v>
      </c>
    </row>
    <row r="58" spans="1:11" ht="11.15" customHeight="1">
      <c r="A58" s="443"/>
      <c r="B58" s="443"/>
      <c r="C58" s="154" t="s">
        <v>5</v>
      </c>
      <c r="D58" s="313">
        <f>D52</f>
        <v>258</v>
      </c>
      <c r="E58" s="129">
        <f t="shared" ref="E58:F59" si="20">E40+E46+E52</f>
        <v>11822.852999999999</v>
      </c>
      <c r="F58" s="129">
        <f t="shared" si="20"/>
        <v>128711.21794000003</v>
      </c>
      <c r="G58" s="307">
        <f t="shared" ref="G58:G61" si="21">E58/$E$62</f>
        <v>0.11219171803592304</v>
      </c>
      <c r="H58" s="307">
        <f t="shared" ref="H58:H61" si="22">(E58-I58)/I58</f>
        <v>1.3113309430657074E-2</v>
      </c>
      <c r="I58" s="313">
        <f t="shared" ref="I58:J58" si="23">I40+I46+I52</f>
        <v>11669.823</v>
      </c>
      <c r="J58" s="129">
        <f t="shared" si="23"/>
        <v>126665.23853999999</v>
      </c>
      <c r="K58" s="307">
        <f t="shared" ref="K58:K61" si="24">I58/$I$62</f>
        <v>0.10543493246912118</v>
      </c>
    </row>
    <row r="59" spans="1:11" ht="11.15" customHeight="1">
      <c r="A59" s="443"/>
      <c r="B59" s="443"/>
      <c r="C59" s="154" t="s">
        <v>6</v>
      </c>
      <c r="D59" s="313">
        <f>D53</f>
        <v>11133</v>
      </c>
      <c r="E59" s="129">
        <f>E41+E47+E53</f>
        <v>21463.730000000003</v>
      </c>
      <c r="F59" s="129">
        <f t="shared" si="20"/>
        <v>233682.35151000001</v>
      </c>
      <c r="G59" s="307">
        <f t="shared" si="21"/>
        <v>0.20367780468548352</v>
      </c>
      <c r="H59" s="307">
        <f t="shared" si="22"/>
        <v>-5.080998802441803E-2</v>
      </c>
      <c r="I59" s="313">
        <f>I41+I47+I53</f>
        <v>22612.68</v>
      </c>
      <c r="J59" s="129">
        <f t="shared" ref="J59" si="25">J41+J47+J53</f>
        <v>245460.87669</v>
      </c>
      <c r="K59" s="307">
        <f t="shared" si="24"/>
        <v>0.20430184663005146</v>
      </c>
    </row>
    <row r="60" spans="1:11" ht="11.15" customHeight="1">
      <c r="A60" s="443"/>
      <c r="B60" s="443"/>
      <c r="C60" s="154" t="s">
        <v>7</v>
      </c>
      <c r="D60" s="313">
        <f>D54</f>
        <v>121715</v>
      </c>
      <c r="E60" s="129">
        <f t="shared" ref="E60:F61" si="26">E42+E48+E54</f>
        <v>39777</v>
      </c>
      <c r="F60" s="129">
        <f t="shared" si="26"/>
        <v>433072.79999999993</v>
      </c>
      <c r="G60" s="307">
        <f t="shared" si="21"/>
        <v>0.37745965109393742</v>
      </c>
      <c r="H60" s="307">
        <f t="shared" si="22"/>
        <v>-6.1650751113459683E-2</v>
      </c>
      <c r="I60" s="313">
        <f t="shared" ref="I60:J60" si="27">I42+I48+I54</f>
        <v>42390.400000000001</v>
      </c>
      <c r="J60" s="129">
        <f t="shared" si="27"/>
        <v>460137.7</v>
      </c>
      <c r="K60" s="307">
        <f t="shared" si="24"/>
        <v>0.38299029568306514</v>
      </c>
    </row>
    <row r="61" spans="1:11" ht="11.15" customHeight="1">
      <c r="A61" s="443"/>
      <c r="B61" s="443"/>
      <c r="C61" s="154" t="s">
        <v>93</v>
      </c>
      <c r="D61" s="313">
        <f>D55</f>
        <v>15</v>
      </c>
      <c r="E61" s="129">
        <f>E43+E49+E55</f>
        <v>646.43200000000002</v>
      </c>
      <c r="F61" s="129">
        <f t="shared" si="26"/>
        <v>7036.6347700000006</v>
      </c>
      <c r="G61" s="307">
        <f t="shared" si="21"/>
        <v>6.1342483640283623E-3</v>
      </c>
      <c r="H61" s="307">
        <f t="shared" si="22"/>
        <v>-4.0967530405936731E-2</v>
      </c>
      <c r="I61" s="313">
        <f>I43+I49+I55</f>
        <v>674.04600000000005</v>
      </c>
      <c r="J61" s="129">
        <f t="shared" ref="J61" si="28">J43+J49+J55</f>
        <v>7315.1270500000001</v>
      </c>
      <c r="K61" s="307">
        <f t="shared" si="24"/>
        <v>6.0898948074089264E-3</v>
      </c>
    </row>
    <row r="62" spans="1:11" ht="11.15" customHeight="1">
      <c r="A62" s="444"/>
      <c r="B62" s="444"/>
      <c r="C62" s="318" t="s">
        <v>0</v>
      </c>
      <c r="D62" s="321">
        <f>SUM(D57:D61)</f>
        <v>133202</v>
      </c>
      <c r="E62" s="319">
        <f>SUM(E57:E61)</f>
        <v>105380.8</v>
      </c>
      <c r="F62" s="319">
        <f>SUM(F57:F61)</f>
        <v>1147257.63625</v>
      </c>
      <c r="G62" s="320">
        <f>SUM(G57:G61)</f>
        <v>1</v>
      </c>
      <c r="H62" s="320">
        <f>(E62-I62)/I62</f>
        <v>-4.7901794950791839E-2</v>
      </c>
      <c r="I62" s="321">
        <f>SUM(I57:I61)</f>
        <v>110682.70000000001</v>
      </c>
      <c r="J62" s="319">
        <f>SUM(J57:J61)</f>
        <v>1201392.1911500001</v>
      </c>
      <c r="K62" s="320">
        <f>SUM(K57:K61)</f>
        <v>0.99999999999999989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16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16" s="102" customFormat="1" ht="18">
      <c r="A1" s="515" t="s">
        <v>305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5"/>
      <c r="B3" s="535"/>
      <c r="C3" s="535"/>
      <c r="D3" s="300"/>
      <c r="E3" s="300"/>
      <c r="F3" s="301"/>
      <c r="G3" s="302"/>
      <c r="H3" s="302"/>
      <c r="I3" s="302"/>
      <c r="J3" s="76"/>
      <c r="K3" s="76"/>
    </row>
    <row r="4" spans="1:16" ht="13" customHeight="1">
      <c r="A4" s="507" t="s">
        <v>43</v>
      </c>
      <c r="B4" s="507"/>
      <c r="C4" s="507"/>
      <c r="D4" s="501">
        <f>'3.1'!A4</f>
        <v>2024</v>
      </c>
      <c r="E4" s="353"/>
      <c r="F4" s="342"/>
      <c r="G4" s="342"/>
      <c r="H4" s="342"/>
      <c r="I4" s="501">
        <f>D4-1</f>
        <v>2023</v>
      </c>
      <c r="J4" s="502"/>
      <c r="K4" s="502"/>
    </row>
    <row r="5" spans="1:16" ht="25" customHeight="1">
      <c r="A5" s="354"/>
      <c r="B5" s="354"/>
      <c r="C5" s="354"/>
      <c r="D5" s="503"/>
      <c r="E5" s="355"/>
      <c r="F5" s="356"/>
      <c r="G5" s="356"/>
      <c r="H5" s="357"/>
      <c r="I5" s="503"/>
      <c r="J5" s="504"/>
      <c r="K5" s="504"/>
    </row>
    <row r="6" spans="1:16" ht="25" customHeight="1">
      <c r="A6" s="304"/>
      <c r="B6" s="272"/>
      <c r="C6" s="305"/>
      <c r="D6" s="364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16" ht="25" customHeight="1">
      <c r="A7" s="304"/>
      <c r="B7" s="306"/>
      <c r="D7" s="365"/>
      <c r="E7" s="499"/>
      <c r="F7" s="499"/>
      <c r="G7" s="500"/>
      <c r="H7" s="500"/>
      <c r="I7" s="498"/>
      <c r="J7" s="499"/>
      <c r="K7" s="500"/>
    </row>
    <row r="8" spans="1:16" ht="15" customHeight="1">
      <c r="A8" s="508" t="s">
        <v>158</v>
      </c>
      <c r="B8" s="508"/>
      <c r="C8" s="323" t="s">
        <v>184</v>
      </c>
      <c r="D8" s="343"/>
      <c r="E8" s="219" t="s">
        <v>259</v>
      </c>
      <c r="F8" s="219" t="s">
        <v>260</v>
      </c>
      <c r="G8" s="487"/>
      <c r="H8" s="487"/>
      <c r="I8" s="221" t="s">
        <v>259</v>
      </c>
      <c r="J8" s="219" t="s">
        <v>260</v>
      </c>
      <c r="K8" s="487"/>
    </row>
    <row r="9" spans="1:16" ht="11.15" customHeight="1">
      <c r="A9" s="442" t="str">
        <f>'3.1'!D5</f>
        <v>Leden</v>
      </c>
      <c r="B9" s="442"/>
      <c r="C9" s="164" t="s">
        <v>4</v>
      </c>
      <c r="D9" s="312">
        <v>86</v>
      </c>
      <c r="E9" s="308">
        <v>13434.597</v>
      </c>
      <c r="F9" s="308">
        <v>146383.69215999998</v>
      </c>
      <c r="G9" s="309">
        <f>E9/$E$14</f>
        <v>0.28119734848167716</v>
      </c>
      <c r="H9" s="309">
        <f>(E9-I9)/I9</f>
        <v>-9.8134958914318435E-3</v>
      </c>
      <c r="I9" s="312">
        <v>13567.743999999999</v>
      </c>
      <c r="J9" s="308">
        <v>147728.94743999999</v>
      </c>
      <c r="K9" s="309">
        <f>I9/$I$14</f>
        <v>0.32498446665660652</v>
      </c>
    </row>
    <row r="10" spans="1:16" ht="11.15" customHeight="1">
      <c r="A10" s="443"/>
      <c r="B10" s="443"/>
      <c r="C10" s="154" t="s">
        <v>5</v>
      </c>
      <c r="D10" s="313">
        <v>324</v>
      </c>
      <c r="E10" s="129">
        <v>5947.5910000000003</v>
      </c>
      <c r="F10" s="129">
        <v>64804.980039999988</v>
      </c>
      <c r="G10" s="307">
        <f>E10/$E$14</f>
        <v>0.12448805267872841</v>
      </c>
      <c r="H10" s="307">
        <f>(E10-I10)/I10</f>
        <v>0.2305221513356675</v>
      </c>
      <c r="I10" s="313">
        <v>4833.3880000000008</v>
      </c>
      <c r="J10" s="129">
        <v>52627.779309999998</v>
      </c>
      <c r="K10" s="307">
        <f>I10/$I$14</f>
        <v>0.1157728227570068</v>
      </c>
      <c r="L10" s="93"/>
      <c r="N10" s="93"/>
      <c r="O10" s="93"/>
      <c r="P10" s="93"/>
    </row>
    <row r="11" spans="1:16" ht="11.15" customHeight="1">
      <c r="A11" s="443"/>
      <c r="B11" s="443"/>
      <c r="C11" s="154" t="s">
        <v>6</v>
      </c>
      <c r="D11" s="313">
        <v>11700</v>
      </c>
      <c r="E11" s="129">
        <v>10909.259999999998</v>
      </c>
      <c r="F11" s="129">
        <v>118867.55015000001</v>
      </c>
      <c r="G11" s="307">
        <f>E11/$E$14</f>
        <v>0.22833993352366436</v>
      </c>
      <c r="H11" s="307">
        <f t="shared" ref="H11:H13" si="0">(E11-I11)/I11</f>
        <v>0.20117553624124127</v>
      </c>
      <c r="I11" s="313">
        <v>9082.1530000000002</v>
      </c>
      <c r="J11" s="129">
        <v>98888.792350000003</v>
      </c>
      <c r="K11" s="307">
        <f>I11/$I$14</f>
        <v>0.21754233045661087</v>
      </c>
      <c r="L11" s="93"/>
      <c r="N11" s="93"/>
      <c r="O11" s="93"/>
      <c r="P11" s="93"/>
    </row>
    <row r="12" spans="1:16" ht="11.15" customHeight="1">
      <c r="A12" s="443"/>
      <c r="B12" s="443"/>
      <c r="C12" s="154" t="s">
        <v>7</v>
      </c>
      <c r="D12" s="313">
        <v>144199</v>
      </c>
      <c r="E12" s="129">
        <v>17349.400000000001</v>
      </c>
      <c r="F12" s="129">
        <v>189039.2</v>
      </c>
      <c r="G12" s="307">
        <f>E12/$E$14</f>
        <v>0.3631374486147973</v>
      </c>
      <c r="H12" s="307">
        <f t="shared" si="0"/>
        <v>0.22818046028273911</v>
      </c>
      <c r="I12" s="313">
        <v>14126.1</v>
      </c>
      <c r="J12" s="129">
        <v>153809.4</v>
      </c>
      <c r="K12" s="307">
        <f>I12/$I$14</f>
        <v>0.33835861543657442</v>
      </c>
      <c r="L12" s="93"/>
      <c r="N12" s="93"/>
      <c r="O12" s="93"/>
      <c r="P12" s="93"/>
    </row>
    <row r="13" spans="1:16" ht="11.15" customHeight="1">
      <c r="A13" s="443"/>
      <c r="B13" s="443"/>
      <c r="C13" s="154" t="s">
        <v>93</v>
      </c>
      <c r="D13" s="313">
        <v>15</v>
      </c>
      <c r="E13" s="129">
        <v>135.55199999999999</v>
      </c>
      <c r="F13" s="129">
        <v>1476.97522</v>
      </c>
      <c r="G13" s="307">
        <f>E13/$E$14</f>
        <v>2.8372167011327764E-3</v>
      </c>
      <c r="H13" s="307">
        <f t="shared" si="0"/>
        <v>-2.8405547790560114E-2</v>
      </c>
      <c r="I13" s="313">
        <v>139.51499999999999</v>
      </c>
      <c r="J13" s="129">
        <v>1519.0743600000001</v>
      </c>
      <c r="K13" s="307">
        <f>I13/$I$14</f>
        <v>3.3417646932014976E-3</v>
      </c>
      <c r="L13" s="93"/>
      <c r="N13" s="93"/>
      <c r="O13" s="93"/>
      <c r="P13" s="93"/>
    </row>
    <row r="14" spans="1:16" ht="11.15" customHeight="1">
      <c r="A14" s="444"/>
      <c r="B14" s="444"/>
      <c r="C14" s="318" t="s">
        <v>0</v>
      </c>
      <c r="D14" s="321">
        <v>156324</v>
      </c>
      <c r="E14" s="319">
        <v>47776.4</v>
      </c>
      <c r="F14" s="319">
        <v>520572.39757000003</v>
      </c>
      <c r="G14" s="320">
        <f>SUM(G9:G13)</f>
        <v>1</v>
      </c>
      <c r="H14" s="320">
        <f>(E14-I14)/I14</f>
        <v>0.14437506137886288</v>
      </c>
      <c r="I14" s="321">
        <v>41748.899999999994</v>
      </c>
      <c r="J14" s="319">
        <v>454573.99345999997</v>
      </c>
      <c r="K14" s="320">
        <f>SUM(K9:K13)</f>
        <v>1.0000000000000002</v>
      </c>
      <c r="L14" s="93"/>
    </row>
    <row r="15" spans="1:16" ht="11.15" customHeight="1">
      <c r="A15" s="442" t="str">
        <f>'3.1'!E5</f>
        <v>Únor</v>
      </c>
      <c r="B15" s="442"/>
      <c r="C15" s="164" t="s">
        <v>4</v>
      </c>
      <c r="D15" s="312">
        <v>86</v>
      </c>
      <c r="E15" s="308">
        <v>12342.432000000001</v>
      </c>
      <c r="F15" s="308">
        <v>134375.26467</v>
      </c>
      <c r="G15" s="309">
        <f>E15/$E$20</f>
        <v>0.36670564746149453</v>
      </c>
      <c r="H15" s="309">
        <f>(E15-I15)/I15</f>
        <v>-5.3818313563386934E-2</v>
      </c>
      <c r="I15" s="312">
        <v>13044.463</v>
      </c>
      <c r="J15" s="308">
        <v>141408.02109999998</v>
      </c>
      <c r="K15" s="309">
        <f>I15/$I$20</f>
        <v>0.32456259999154041</v>
      </c>
      <c r="L15" s="93"/>
      <c r="M15" s="93"/>
    </row>
    <row r="16" spans="1:16" ht="11.15" customHeight="1">
      <c r="A16" s="443"/>
      <c r="B16" s="443"/>
      <c r="C16" s="154" t="s">
        <v>5</v>
      </c>
      <c r="D16" s="313">
        <v>324</v>
      </c>
      <c r="E16" s="129">
        <v>3885.7739999999999</v>
      </c>
      <c r="F16" s="129">
        <v>42305.730640000002</v>
      </c>
      <c r="G16" s="307">
        <f>E16/$E$20</f>
        <v>0.11545012122076438</v>
      </c>
      <c r="H16" s="307">
        <f>(E16-I16)/I16</f>
        <v>-0.15751157025474288</v>
      </c>
      <c r="I16" s="313">
        <v>4612.2579999999998</v>
      </c>
      <c r="J16" s="129">
        <v>49999.009880000034</v>
      </c>
      <c r="K16" s="307">
        <f>I16/$I$20</f>
        <v>0.11475876379976563</v>
      </c>
      <c r="L16" s="97"/>
      <c r="M16" s="93"/>
    </row>
    <row r="17" spans="1:20" ht="11.15" customHeight="1">
      <c r="A17" s="443"/>
      <c r="B17" s="443"/>
      <c r="C17" s="154" t="s">
        <v>6</v>
      </c>
      <c r="D17" s="313">
        <v>11690</v>
      </c>
      <c r="E17" s="129">
        <v>6699.549</v>
      </c>
      <c r="F17" s="129">
        <v>72939.594689999998</v>
      </c>
      <c r="G17" s="307">
        <f>E17/$E$20</f>
        <v>0.19905011052481456</v>
      </c>
      <c r="H17" s="307">
        <f t="shared" ref="H17:H20" si="1">(E17-I17)/I17</f>
        <v>-0.21715565792680921</v>
      </c>
      <c r="I17" s="313">
        <v>8557.9580000000005</v>
      </c>
      <c r="J17" s="129">
        <v>92772.840070000006</v>
      </c>
      <c r="K17" s="307">
        <f>I17/$I$20</f>
        <v>0.21293272855298095</v>
      </c>
      <c r="L17" s="93"/>
      <c r="M17" s="93"/>
      <c r="N17" s="93"/>
      <c r="O17" s="93"/>
    </row>
    <row r="18" spans="1:20" ht="11.15" customHeight="1">
      <c r="A18" s="443"/>
      <c r="B18" s="443"/>
      <c r="C18" s="154" t="s">
        <v>7</v>
      </c>
      <c r="D18" s="313">
        <v>144062</v>
      </c>
      <c r="E18" s="129">
        <v>10557.5</v>
      </c>
      <c r="F18" s="129">
        <v>114941.9</v>
      </c>
      <c r="G18" s="307">
        <f>E18/$E$20</f>
        <v>0.31367358338087081</v>
      </c>
      <c r="H18" s="307">
        <f t="shared" si="1"/>
        <v>-0.23702600940935006</v>
      </c>
      <c r="I18" s="313">
        <v>13837.3</v>
      </c>
      <c r="J18" s="129">
        <v>150003.29999999999</v>
      </c>
      <c r="K18" s="307">
        <f>I18/$I$20</f>
        <v>0.34428937893901357</v>
      </c>
      <c r="L18" s="93"/>
      <c r="M18" s="93"/>
      <c r="N18" s="93"/>
      <c r="O18" s="93"/>
    </row>
    <row r="19" spans="1:20" ht="11.15" customHeight="1">
      <c r="A19" s="443"/>
      <c r="B19" s="443"/>
      <c r="C19" s="154" t="s">
        <v>93</v>
      </c>
      <c r="D19" s="313">
        <v>15</v>
      </c>
      <c r="E19" s="129">
        <v>172.345</v>
      </c>
      <c r="F19" s="129">
        <v>1876.3736100000001</v>
      </c>
      <c r="G19" s="307">
        <f>E19/$E$20</f>
        <v>5.120537412055523E-3</v>
      </c>
      <c r="H19" s="307">
        <f t="shared" si="1"/>
        <v>0.24059717393338667</v>
      </c>
      <c r="I19" s="313">
        <v>138.92099999999999</v>
      </c>
      <c r="J19" s="129">
        <v>1505.97813</v>
      </c>
      <c r="K19" s="307">
        <f>I19/$I$20</f>
        <v>3.4565287166995516E-3</v>
      </c>
      <c r="L19" s="93"/>
      <c r="M19" s="93"/>
      <c r="N19" s="93"/>
      <c r="O19" s="93"/>
    </row>
    <row r="20" spans="1:20" ht="11.15" customHeight="1">
      <c r="A20" s="444"/>
      <c r="B20" s="444"/>
      <c r="C20" s="318" t="s">
        <v>0</v>
      </c>
      <c r="D20" s="321">
        <v>156177</v>
      </c>
      <c r="E20" s="319">
        <v>33657.600000000006</v>
      </c>
      <c r="F20" s="319">
        <v>366438.86361</v>
      </c>
      <c r="G20" s="320">
        <f>SUM(G15:G19)</f>
        <v>0.99999999999999978</v>
      </c>
      <c r="H20" s="320">
        <f t="shared" si="1"/>
        <v>-0.1625566981580405</v>
      </c>
      <c r="I20" s="321">
        <v>40190.899999999994</v>
      </c>
      <c r="J20" s="319">
        <v>435689.14918000001</v>
      </c>
      <c r="K20" s="320">
        <f>SUM(K15:K19)</f>
        <v>1.0000000000000002</v>
      </c>
      <c r="L20" s="93"/>
      <c r="M20" s="93"/>
      <c r="N20" s="93"/>
      <c r="O20" s="93"/>
    </row>
    <row r="21" spans="1:20" ht="11.15" customHeight="1">
      <c r="A21" s="442" t="str">
        <f>'3.1'!F5</f>
        <v>Březen</v>
      </c>
      <c r="B21" s="442"/>
      <c r="C21" s="164" t="s">
        <v>4</v>
      </c>
      <c r="D21" s="312">
        <v>86</v>
      </c>
      <c r="E21" s="308">
        <v>12389.572</v>
      </c>
      <c r="F21" s="308">
        <v>134690.61702999996</v>
      </c>
      <c r="G21" s="309">
        <f>E21/$E$26</f>
        <v>0.40259476251287596</v>
      </c>
      <c r="H21" s="309">
        <f>(E21-I21)/I21</f>
        <v>-6.4091618548939869E-2</v>
      </c>
      <c r="I21" s="312">
        <v>13238.018</v>
      </c>
      <c r="J21" s="308">
        <v>143370.19858000003</v>
      </c>
      <c r="K21" s="309">
        <f>I21/$I$26</f>
        <v>0.37045793665452148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5" customHeight="1">
      <c r="A22" s="443"/>
      <c r="B22" s="443"/>
      <c r="C22" s="154" t="s">
        <v>5</v>
      </c>
      <c r="D22" s="313">
        <v>323</v>
      </c>
      <c r="E22" s="129">
        <v>3457.6529999999998</v>
      </c>
      <c r="F22" s="129">
        <v>37588.989370000003</v>
      </c>
      <c r="G22" s="307">
        <f>E22/$E$26</f>
        <v>0.11235521197882647</v>
      </c>
      <c r="H22" s="307">
        <f t="shared" ref="H22:H26" si="2">(E22-I22)/I22</f>
        <v>-0.13040461369415696</v>
      </c>
      <c r="I22" s="313">
        <v>3976.163</v>
      </c>
      <c r="J22" s="129">
        <v>43062.679279999997</v>
      </c>
      <c r="K22" s="307">
        <f>I22/$I$26</f>
        <v>0.1112705195582943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5" customHeight="1">
      <c r="A23" s="443"/>
      <c r="B23" s="443"/>
      <c r="C23" s="154" t="s">
        <v>6</v>
      </c>
      <c r="D23" s="313">
        <v>11679</v>
      </c>
      <c r="E23" s="129">
        <v>5908.9669999999996</v>
      </c>
      <c r="F23" s="129">
        <v>64238.14183</v>
      </c>
      <c r="G23" s="307">
        <f>E23/$E$26</f>
        <v>0.19200979388645717</v>
      </c>
      <c r="H23" s="307">
        <f t="shared" si="2"/>
        <v>-0.17239411235446445</v>
      </c>
      <c r="I23" s="313">
        <v>7139.8320000000003</v>
      </c>
      <c r="J23" s="129">
        <v>77325.420590000009</v>
      </c>
      <c r="K23" s="307">
        <f>I23/$I$26</f>
        <v>0.19980388535352689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5" customHeight="1">
      <c r="A24" s="443"/>
      <c r="B24" s="443"/>
      <c r="C24" s="154" t="s">
        <v>7</v>
      </c>
      <c r="D24" s="313">
        <v>143905</v>
      </c>
      <c r="E24" s="129">
        <v>8862.6</v>
      </c>
      <c r="F24" s="129">
        <v>96347.5</v>
      </c>
      <c r="G24" s="307">
        <f>E24/$E$26</f>
        <v>0.2879870541328316</v>
      </c>
      <c r="H24" s="307">
        <f t="shared" si="2"/>
        <v>-0.21023365235523706</v>
      </c>
      <c r="I24" s="313">
        <v>11221.8</v>
      </c>
      <c r="J24" s="129">
        <v>121534.5</v>
      </c>
      <c r="K24" s="307">
        <f>I24/$I$26</f>
        <v>0.31403529392011015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5" customHeight="1">
      <c r="A25" s="443"/>
      <c r="B25" s="443"/>
      <c r="C25" s="154" t="s">
        <v>93</v>
      </c>
      <c r="D25" s="313">
        <v>15</v>
      </c>
      <c r="E25" s="129">
        <v>155.50800000000001</v>
      </c>
      <c r="F25" s="129">
        <v>1690.5552299999999</v>
      </c>
      <c r="G25" s="307">
        <f>E25/$E$26</f>
        <v>5.0531774890086858E-3</v>
      </c>
      <c r="H25" s="307">
        <f t="shared" si="2"/>
        <v>-1.8176996849488852E-2</v>
      </c>
      <c r="I25" s="313">
        <v>158.387</v>
      </c>
      <c r="J25" s="129">
        <v>1715.3587399999999</v>
      </c>
      <c r="K25" s="307">
        <f>I25/$I$26</f>
        <v>4.4323645135472467E-3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5" customHeight="1">
      <c r="A26" s="444"/>
      <c r="B26" s="444"/>
      <c r="C26" s="318" t="s">
        <v>0</v>
      </c>
      <c r="D26" s="321">
        <v>156008</v>
      </c>
      <c r="E26" s="319">
        <v>30774.300000000003</v>
      </c>
      <c r="F26" s="319">
        <v>334555.80345999997</v>
      </c>
      <c r="G26" s="320">
        <f>SUM(G21:G25)</f>
        <v>0.99999999999999989</v>
      </c>
      <c r="H26" s="320">
        <f t="shared" si="2"/>
        <v>-0.13879980522860438</v>
      </c>
      <c r="I26" s="321">
        <v>35734.199999999997</v>
      </c>
      <c r="J26" s="319">
        <v>387008.15719</v>
      </c>
      <c r="K26" s="320">
        <f>SUM(K21:K25)</f>
        <v>1.0000000000000002</v>
      </c>
    </row>
    <row r="27" spans="1:20" ht="11.15" customHeight="1">
      <c r="A27" s="511" t="str">
        <f>'3.1'!G5</f>
        <v>I. čtvrtletí</v>
      </c>
      <c r="B27" s="442"/>
      <c r="C27" s="164" t="s">
        <v>4</v>
      </c>
      <c r="D27" s="312">
        <f>D21</f>
        <v>86</v>
      </c>
      <c r="E27" s="308">
        <f>E9+E15+E21</f>
        <v>38166.601000000002</v>
      </c>
      <c r="F27" s="308">
        <f>F9+F15+F21</f>
        <v>415449.57385999995</v>
      </c>
      <c r="G27" s="309">
        <f>E27/$E$32</f>
        <v>0.34014062239602599</v>
      </c>
      <c r="H27" s="309">
        <f>(E27-I27)/I27</f>
        <v>-4.2248795333025002E-2</v>
      </c>
      <c r="I27" s="312">
        <f>I9+I15+I21</f>
        <v>39850.224999999999</v>
      </c>
      <c r="J27" s="308">
        <f>J9+J15+J21</f>
        <v>432507.16712</v>
      </c>
      <c r="K27" s="309">
        <f>I27/$I$32</f>
        <v>0.33864936179614868</v>
      </c>
    </row>
    <row r="28" spans="1:20" ht="11.15" customHeight="1">
      <c r="A28" s="443"/>
      <c r="B28" s="443"/>
      <c r="C28" s="154" t="s">
        <v>5</v>
      </c>
      <c r="D28" s="313">
        <f>D22</f>
        <v>323</v>
      </c>
      <c r="E28" s="129">
        <f t="shared" ref="E28:F31" si="3">E10+E16+E22</f>
        <v>13291.018</v>
      </c>
      <c r="F28" s="129">
        <f t="shared" si="3"/>
        <v>144699.70004999998</v>
      </c>
      <c r="G28" s="307">
        <f>E28/$E$32</f>
        <v>0.11844950863706161</v>
      </c>
      <c r="H28" s="307">
        <f t="shared" ref="H28:H31" si="4">(E28-I28)/I28</f>
        <v>-9.7446625860940998E-3</v>
      </c>
      <c r="I28" s="313">
        <f t="shared" ref="I28:J28" si="5">I10+I16+I22</f>
        <v>13421.809000000001</v>
      </c>
      <c r="J28" s="129">
        <f t="shared" si="5"/>
        <v>145689.46847000002</v>
      </c>
      <c r="K28" s="307">
        <f>I28/$I$32</f>
        <v>0.114059256930163</v>
      </c>
    </row>
    <row r="29" spans="1:20" ht="11.15" customHeight="1">
      <c r="A29" s="443"/>
      <c r="B29" s="443"/>
      <c r="C29" s="154" t="s">
        <v>6</v>
      </c>
      <c r="D29" s="313">
        <f>D23</f>
        <v>11679</v>
      </c>
      <c r="E29" s="129">
        <f t="shared" si="3"/>
        <v>23517.775999999998</v>
      </c>
      <c r="F29" s="129">
        <f t="shared" si="3"/>
        <v>256045.28667000003</v>
      </c>
      <c r="G29" s="307">
        <f>E29/$E$32</f>
        <v>0.20959034224740949</v>
      </c>
      <c r="H29" s="307">
        <f t="shared" si="4"/>
        <v>-5.0935024346101254E-2</v>
      </c>
      <c r="I29" s="313">
        <f t="shared" ref="I29:J29" si="6">I11+I17+I23</f>
        <v>24779.942999999999</v>
      </c>
      <c r="J29" s="129">
        <f t="shared" si="6"/>
        <v>268987.05301000003</v>
      </c>
      <c r="K29" s="307">
        <f>I29/$I$32</f>
        <v>0.21058129238404405</v>
      </c>
    </row>
    <row r="30" spans="1:20" ht="11.15" customHeight="1">
      <c r="A30" s="443"/>
      <c r="B30" s="443"/>
      <c r="C30" s="154" t="s">
        <v>7</v>
      </c>
      <c r="D30" s="313">
        <f>D24</f>
        <v>143905</v>
      </c>
      <c r="E30" s="129">
        <f t="shared" si="3"/>
        <v>36769.5</v>
      </c>
      <c r="F30" s="129">
        <f t="shared" si="3"/>
        <v>400328.6</v>
      </c>
      <c r="G30" s="307">
        <f>E30/$E$32</f>
        <v>0.32768966288590057</v>
      </c>
      <c r="H30" s="307">
        <f t="shared" si="4"/>
        <v>-6.1648275369272004E-2</v>
      </c>
      <c r="I30" s="313">
        <f t="shared" ref="I30:J30" si="7">I12+I18+I24</f>
        <v>39185.199999999997</v>
      </c>
      <c r="J30" s="129">
        <f t="shared" si="7"/>
        <v>425347.19999999995</v>
      </c>
      <c r="K30" s="307">
        <f>I30/$I$32</f>
        <v>0.33299794347094513</v>
      </c>
    </row>
    <row r="31" spans="1:20" ht="11.15" customHeight="1">
      <c r="A31" s="443"/>
      <c r="B31" s="443"/>
      <c r="C31" s="154" t="s">
        <v>93</v>
      </c>
      <c r="D31" s="313">
        <f>D25</f>
        <v>15</v>
      </c>
      <c r="E31" s="129">
        <f>E13+E19+E25</f>
        <v>463.40499999999997</v>
      </c>
      <c r="F31" s="129">
        <f t="shared" si="3"/>
        <v>5043.9040599999998</v>
      </c>
      <c r="G31" s="307">
        <f>E31/$E$32</f>
        <v>4.129863833602327E-3</v>
      </c>
      <c r="H31" s="307">
        <f t="shared" si="4"/>
        <v>6.0853022849071584E-2</v>
      </c>
      <c r="I31" s="313">
        <f>I13+I19+I25</f>
        <v>436.82299999999998</v>
      </c>
      <c r="J31" s="129">
        <f t="shared" ref="J31" si="8">J13+J19+J25</f>
        <v>4740.4112299999997</v>
      </c>
      <c r="K31" s="307">
        <f>I31/$I$32</f>
        <v>3.7121454186991179E-3</v>
      </c>
    </row>
    <row r="32" spans="1:20" ht="11.15" customHeight="1">
      <c r="A32" s="444"/>
      <c r="B32" s="444"/>
      <c r="C32" s="318" t="s">
        <v>0</v>
      </c>
      <c r="D32" s="321">
        <f>SUM(D27:D31)</f>
        <v>156008</v>
      </c>
      <c r="E32" s="319">
        <f>SUM(E27:E31)</f>
        <v>112208.3</v>
      </c>
      <c r="F32" s="319">
        <f>SUM(F27:F31)</f>
        <v>1221567.06464</v>
      </c>
      <c r="G32" s="320">
        <f>SUM(G27:G31)</f>
        <v>1</v>
      </c>
      <c r="H32" s="320">
        <f>(E32-I32)/I32</f>
        <v>-4.6447813450719758E-2</v>
      </c>
      <c r="I32" s="321">
        <f>SUM(I27:I31)</f>
        <v>117674</v>
      </c>
      <c r="J32" s="319">
        <f>SUM(J27:J31)</f>
        <v>1277271.2998300001</v>
      </c>
      <c r="K32" s="320">
        <f>SUM(K27:K31)</f>
        <v>1</v>
      </c>
    </row>
    <row r="33" spans="1:11" ht="10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3" customHeight="1">
      <c r="A34" s="536" t="s">
        <v>90</v>
      </c>
      <c r="B34" s="536"/>
      <c r="C34" s="536"/>
      <c r="D34" s="501">
        <f>D4</f>
        <v>2024</v>
      </c>
      <c r="E34" s="353"/>
      <c r="F34" s="342"/>
      <c r="G34" s="342"/>
      <c r="H34" s="342"/>
      <c r="I34" s="501">
        <f>D34-1</f>
        <v>2023</v>
      </c>
      <c r="J34" s="502"/>
      <c r="K34" s="502"/>
    </row>
    <row r="35" spans="1:11" ht="25" customHeight="1">
      <c r="A35" s="304"/>
      <c r="B35" s="272"/>
      <c r="C35" s="150"/>
      <c r="D35" s="503"/>
      <c r="E35" s="355"/>
      <c r="F35" s="356"/>
      <c r="G35" s="356"/>
      <c r="H35" s="357"/>
      <c r="I35" s="503"/>
      <c r="J35" s="504"/>
      <c r="K35" s="504"/>
    </row>
    <row r="36" spans="1:11" ht="25" customHeight="1">
      <c r="A36" s="130"/>
      <c r="B36" s="131"/>
      <c r="C36" s="352"/>
      <c r="D36" s="364" t="s">
        <v>159</v>
      </c>
      <c r="E36" s="499" t="s">
        <v>60</v>
      </c>
      <c r="F36" s="499"/>
      <c r="G36" s="500" t="s">
        <v>33</v>
      </c>
      <c r="H36" s="500" t="s">
        <v>268</v>
      </c>
      <c r="I36" s="498" t="s">
        <v>60</v>
      </c>
      <c r="J36" s="499"/>
      <c r="K36" s="500" t="s">
        <v>33</v>
      </c>
    </row>
    <row r="37" spans="1:11" ht="25" customHeight="1">
      <c r="A37" s="130"/>
      <c r="B37" s="306"/>
      <c r="C37" s="306"/>
      <c r="D37" s="365"/>
      <c r="E37" s="499"/>
      <c r="F37" s="499"/>
      <c r="G37" s="500"/>
      <c r="H37" s="500"/>
      <c r="I37" s="498"/>
      <c r="J37" s="499"/>
      <c r="K37" s="500"/>
    </row>
    <row r="38" spans="1:11" ht="15" customHeight="1">
      <c r="A38" s="537" t="s">
        <v>158</v>
      </c>
      <c r="B38" s="537"/>
      <c r="C38" s="366" t="s">
        <v>184</v>
      </c>
      <c r="D38" s="343"/>
      <c r="E38" s="219" t="s">
        <v>259</v>
      </c>
      <c r="F38" s="219" t="s">
        <v>260</v>
      </c>
      <c r="G38" s="487"/>
      <c r="H38" s="487"/>
      <c r="I38" s="221" t="s">
        <v>259</v>
      </c>
      <c r="J38" s="219" t="s">
        <v>260</v>
      </c>
      <c r="K38" s="487"/>
    </row>
    <row r="39" spans="1:11" ht="11.15" customHeight="1">
      <c r="A39" s="442" t="str">
        <f>'3.1'!D5</f>
        <v>Leden</v>
      </c>
      <c r="B39" s="442"/>
      <c r="C39" s="164" t="s">
        <v>4</v>
      </c>
      <c r="D39" s="312">
        <v>136</v>
      </c>
      <c r="E39" s="308">
        <v>23875.305658411999</v>
      </c>
      <c r="F39" s="308">
        <v>260361.78750999999</v>
      </c>
      <c r="G39" s="309">
        <f>E39/$E$44</f>
        <v>0.19075770038758616</v>
      </c>
      <c r="H39" s="309">
        <f>(E39-I39)/I39</f>
        <v>0.20778370787518485</v>
      </c>
      <c r="I39" s="312">
        <v>19767.865307949101</v>
      </c>
      <c r="J39" s="308">
        <v>215523.33815</v>
      </c>
      <c r="K39" s="309">
        <f>I39/$I$44</f>
        <v>0.19188364845213346</v>
      </c>
    </row>
    <row r="40" spans="1:11" ht="11.15" customHeight="1">
      <c r="A40" s="443"/>
      <c r="B40" s="443"/>
      <c r="C40" s="154" t="s">
        <v>5</v>
      </c>
      <c r="D40" s="313">
        <v>1445</v>
      </c>
      <c r="E40" s="129">
        <v>24177.094086996</v>
      </c>
      <c r="F40" s="129">
        <v>263652.82059999998</v>
      </c>
      <c r="G40" s="307">
        <f t="shared" ref="G40" si="9">E40/$E$44</f>
        <v>0.19316891419418236</v>
      </c>
      <c r="H40" s="307">
        <f>(E40-I40)/I40</f>
        <v>0.20937344070636088</v>
      </c>
      <c r="I40" s="313">
        <v>19991.42140319771</v>
      </c>
      <c r="J40" s="129">
        <v>217960.93731000001</v>
      </c>
      <c r="K40" s="307">
        <f t="shared" ref="K40:K43" si="10">I40/$I$44</f>
        <v>0.19405367331429021</v>
      </c>
    </row>
    <row r="41" spans="1:11" ht="11.15" customHeight="1">
      <c r="A41" s="443"/>
      <c r="B41" s="443"/>
      <c r="C41" s="154" t="s">
        <v>6</v>
      </c>
      <c r="D41" s="313">
        <v>37495</v>
      </c>
      <c r="E41" s="129">
        <v>34293.255115330001</v>
      </c>
      <c r="F41" s="129">
        <v>373970.230093755</v>
      </c>
      <c r="G41" s="307">
        <f>E41/$E$44</f>
        <v>0.27399450202642056</v>
      </c>
      <c r="H41" s="307">
        <f t="shared" ref="H41:H43" si="11">(E41-I41)/I41</f>
        <v>0.27518344413436158</v>
      </c>
      <c r="I41" s="313">
        <v>26892.801402867524</v>
      </c>
      <c r="J41" s="129">
        <v>293204.77431000001</v>
      </c>
      <c r="K41" s="307">
        <f t="shared" si="10"/>
        <v>0.26104431459302818</v>
      </c>
    </row>
    <row r="42" spans="1:11" ht="11.15" customHeight="1">
      <c r="A42" s="443"/>
      <c r="B42" s="443"/>
      <c r="C42" s="154" t="s">
        <v>7</v>
      </c>
      <c r="D42" s="313">
        <v>362910</v>
      </c>
      <c r="E42" s="129">
        <v>41660.490047968997</v>
      </c>
      <c r="F42" s="129">
        <v>454310.41750519001</v>
      </c>
      <c r="G42" s="307">
        <f>E42/$E$44</f>
        <v>0.33285686023334715</v>
      </c>
      <c r="H42" s="307">
        <f t="shared" si="11"/>
        <v>0.17906820880071211</v>
      </c>
      <c r="I42" s="313">
        <v>35333.401186640353</v>
      </c>
      <c r="J42" s="129">
        <v>385230.29882000003</v>
      </c>
      <c r="K42" s="307">
        <f t="shared" si="10"/>
        <v>0.34297592715735181</v>
      </c>
    </row>
    <row r="43" spans="1:11" ht="11.15" customHeight="1">
      <c r="A43" s="443"/>
      <c r="B43" s="443"/>
      <c r="C43" s="154" t="s">
        <v>93</v>
      </c>
      <c r="D43" s="313">
        <v>40</v>
      </c>
      <c r="E43" s="129">
        <v>1154.2318933910001</v>
      </c>
      <c r="F43" s="129">
        <v>12586.975640000001</v>
      </c>
      <c r="G43" s="307">
        <f>E43/$E$44</f>
        <v>9.2220231584637762E-3</v>
      </c>
      <c r="H43" s="307">
        <f t="shared" si="11"/>
        <v>0.1156607927584752</v>
      </c>
      <c r="I43" s="313">
        <v>1034.572426388811</v>
      </c>
      <c r="J43" s="129">
        <v>11279.65697</v>
      </c>
      <c r="K43" s="307">
        <f t="shared" si="10"/>
        <v>1.0042436483196441E-2</v>
      </c>
    </row>
    <row r="44" spans="1:11" ht="11.15" customHeight="1">
      <c r="A44" s="444"/>
      <c r="B44" s="444"/>
      <c r="C44" s="318" t="s">
        <v>0</v>
      </c>
      <c r="D44" s="321">
        <v>402026</v>
      </c>
      <c r="E44" s="319">
        <v>125160.37680209799</v>
      </c>
      <c r="F44" s="319">
        <v>1364882.2313489451</v>
      </c>
      <c r="G44" s="320">
        <f>SUM(G39:G43)</f>
        <v>1</v>
      </c>
      <c r="H44" s="320">
        <f>(E44-I44)/I44</f>
        <v>0.21491265588363082</v>
      </c>
      <c r="I44" s="321">
        <v>103020.06172704349</v>
      </c>
      <c r="J44" s="319">
        <v>1123199.00556</v>
      </c>
      <c r="K44" s="320">
        <f>SUM(K39:K43)</f>
        <v>1</v>
      </c>
    </row>
    <row r="45" spans="1:11" ht="11.15" customHeight="1">
      <c r="A45" s="442" t="str">
        <f>'3.1'!E5</f>
        <v>Únor</v>
      </c>
      <c r="B45" s="442"/>
      <c r="C45" s="164" t="s">
        <v>4</v>
      </c>
      <c r="D45" s="312">
        <v>136</v>
      </c>
      <c r="E45" s="308">
        <v>16059.22569883</v>
      </c>
      <c r="F45" s="308">
        <v>175356.63923</v>
      </c>
      <c r="G45" s="309">
        <f>E45/$E$50</f>
        <v>0.19902625209584029</v>
      </c>
      <c r="H45" s="309">
        <f>(E45-I45)/I45</f>
        <v>-0.13022781405511982</v>
      </c>
      <c r="I45" s="312">
        <v>18463.714934024938</v>
      </c>
      <c r="J45" s="308">
        <v>201144.25449000002</v>
      </c>
      <c r="K45" s="309">
        <f>I45/$I$50</f>
        <v>0.18966793991128247</v>
      </c>
    </row>
    <row r="46" spans="1:11" ht="11.15" customHeight="1">
      <c r="A46" s="443"/>
      <c r="B46" s="443"/>
      <c r="C46" s="154" t="s">
        <v>5</v>
      </c>
      <c r="D46" s="313">
        <v>1442</v>
      </c>
      <c r="E46" s="129">
        <v>15609.143382554999</v>
      </c>
      <c r="F46" s="129">
        <v>170442.17269000001</v>
      </c>
      <c r="G46" s="307">
        <f t="shared" ref="G46:G49" si="12">E46/$E$50</f>
        <v>0.1934482623332732</v>
      </c>
      <c r="H46" s="307">
        <f>(E46-I46)/I46</f>
        <v>-0.17019645319048318</v>
      </c>
      <c r="I46" s="313">
        <v>18810.64915011518</v>
      </c>
      <c r="J46" s="129">
        <v>204924.16413999998</v>
      </c>
      <c r="K46" s="307">
        <f t="shared" ref="K46:K49" si="13">I46/$I$50</f>
        <v>0.19323181090288402</v>
      </c>
    </row>
    <row r="47" spans="1:11" ht="11.15" customHeight="1">
      <c r="A47" s="443"/>
      <c r="B47" s="443"/>
      <c r="C47" s="154" t="s">
        <v>6</v>
      </c>
      <c r="D47" s="313">
        <v>37486</v>
      </c>
      <c r="E47" s="129">
        <v>21368.430004664999</v>
      </c>
      <c r="F47" s="129">
        <v>233330.013550887</v>
      </c>
      <c r="G47" s="307">
        <f t="shared" si="12"/>
        <v>0.26482463206869422</v>
      </c>
      <c r="H47" s="307">
        <f t="shared" ref="H47:H49" si="14">(E47-I47)/I47</f>
        <v>-0.16675961796225319</v>
      </c>
      <c r="I47" s="313">
        <v>25644.976486145606</v>
      </c>
      <c r="J47" s="129">
        <v>279377.67213000002</v>
      </c>
      <c r="K47" s="307">
        <f t="shared" si="13"/>
        <v>0.26343722683007204</v>
      </c>
    </row>
    <row r="48" spans="1:11" ht="11.15" customHeight="1">
      <c r="A48" s="443"/>
      <c r="B48" s="443"/>
      <c r="C48" s="154" t="s">
        <v>7</v>
      </c>
      <c r="D48" s="313">
        <v>362565</v>
      </c>
      <c r="E48" s="129">
        <v>26574.826882034002</v>
      </c>
      <c r="F48" s="129">
        <v>290180.64102715498</v>
      </c>
      <c r="G48" s="307">
        <f t="shared" si="12"/>
        <v>0.32934889225776004</v>
      </c>
      <c r="H48" s="307">
        <f t="shared" si="14"/>
        <v>-0.20426708106725658</v>
      </c>
      <c r="I48" s="313">
        <v>33396.666456474886</v>
      </c>
      <c r="J48" s="129">
        <v>363824.97509999998</v>
      </c>
      <c r="K48" s="307">
        <f t="shared" si="13"/>
        <v>0.34306622201098946</v>
      </c>
    </row>
    <row r="49" spans="1:11" ht="11.15" customHeight="1">
      <c r="A49" s="443"/>
      <c r="B49" s="443"/>
      <c r="C49" s="154" t="s">
        <v>93</v>
      </c>
      <c r="D49" s="313">
        <v>40</v>
      </c>
      <c r="E49" s="129">
        <v>1077.3561622570001</v>
      </c>
      <c r="F49" s="129">
        <v>11764.06165</v>
      </c>
      <c r="G49" s="307">
        <f t="shared" si="12"/>
        <v>1.3351961244432258E-2</v>
      </c>
      <c r="H49" s="307">
        <f t="shared" si="14"/>
        <v>4.4382026200046477E-2</v>
      </c>
      <c r="I49" s="313">
        <v>1031.5728681935757</v>
      </c>
      <c r="J49" s="129">
        <v>11238.007049999998</v>
      </c>
      <c r="K49" s="307">
        <f t="shared" si="13"/>
        <v>1.0596800344772056E-2</v>
      </c>
    </row>
    <row r="50" spans="1:11" ht="11.15" customHeight="1">
      <c r="A50" s="444"/>
      <c r="B50" s="444"/>
      <c r="C50" s="318" t="s">
        <v>0</v>
      </c>
      <c r="D50" s="321">
        <v>401669</v>
      </c>
      <c r="E50" s="319">
        <v>80688.982130340999</v>
      </c>
      <c r="F50" s="319">
        <v>881073.52814804204</v>
      </c>
      <c r="G50" s="320">
        <f>SUM(G45:G49)</f>
        <v>1</v>
      </c>
      <c r="H50" s="320">
        <f t="shared" ref="H50" si="15">(E50-I50)/I50</f>
        <v>-0.17112492968586521</v>
      </c>
      <c r="I50" s="321">
        <v>97347.579894954179</v>
      </c>
      <c r="J50" s="319">
        <v>1060509.0729099999</v>
      </c>
      <c r="K50" s="320">
        <f>SUM(K45:K49)</f>
        <v>1</v>
      </c>
    </row>
    <row r="51" spans="1:11" ht="11.15" customHeight="1">
      <c r="A51" s="442" t="str">
        <f>'3.1'!F5</f>
        <v>Březen</v>
      </c>
      <c r="B51" s="442"/>
      <c r="C51" s="164" t="s">
        <v>4</v>
      </c>
      <c r="D51" s="312">
        <v>135</v>
      </c>
      <c r="E51" s="308">
        <v>14723.580144594</v>
      </c>
      <c r="F51" s="308">
        <v>160374.63777</v>
      </c>
      <c r="G51" s="309">
        <f>E51/$E$56</f>
        <v>0.2085354785470484</v>
      </c>
      <c r="H51" s="309">
        <f>(E51-I51)/I51</f>
        <v>-0.11661514774476807</v>
      </c>
      <c r="I51" s="312">
        <v>16667.23184918275</v>
      </c>
      <c r="J51" s="308">
        <v>181132.64786000003</v>
      </c>
      <c r="K51" s="309">
        <f>I51/$I$56</f>
        <v>0.19771890301965203</v>
      </c>
    </row>
    <row r="52" spans="1:11" ht="11.15" customHeight="1">
      <c r="A52" s="443"/>
      <c r="B52" s="443"/>
      <c r="C52" s="154" t="s">
        <v>5</v>
      </c>
      <c r="D52" s="313">
        <v>1415</v>
      </c>
      <c r="E52" s="129">
        <v>13653.190870287999</v>
      </c>
      <c r="F52" s="129">
        <v>148715.45168</v>
      </c>
      <c r="G52" s="307">
        <f t="shared" ref="G52:G55" si="16">E52/$E$56</f>
        <v>0.19337516173843672</v>
      </c>
      <c r="H52" s="307">
        <f t="shared" ref="H52:H55" si="17">(E52-I52)/I52</f>
        <v>-0.16889225136851016</v>
      </c>
      <c r="I52" s="313">
        <v>16427.70253648757</v>
      </c>
      <c r="J52" s="129">
        <v>178529.97398999997</v>
      </c>
      <c r="K52" s="307">
        <f t="shared" ref="K52:K55" si="18">I52/$I$56</f>
        <v>0.19487743099984184</v>
      </c>
    </row>
    <row r="53" spans="1:11" ht="11.15" customHeight="1">
      <c r="A53" s="443"/>
      <c r="B53" s="443"/>
      <c r="C53" s="154" t="s">
        <v>6</v>
      </c>
      <c r="D53" s="313">
        <v>37514</v>
      </c>
      <c r="E53" s="129">
        <v>18144.900092479002</v>
      </c>
      <c r="F53" s="129">
        <v>197640.759480904</v>
      </c>
      <c r="G53" s="307">
        <f t="shared" si="16"/>
        <v>0.25699289077886367</v>
      </c>
      <c r="H53" s="307">
        <f t="shared" si="17"/>
        <v>-0.17098924706719246</v>
      </c>
      <c r="I53" s="313">
        <v>21887.412229922753</v>
      </c>
      <c r="J53" s="129">
        <v>237864.00608590498</v>
      </c>
      <c r="K53" s="307">
        <f t="shared" si="18"/>
        <v>0.25964450337033246</v>
      </c>
    </row>
    <row r="54" spans="1:11" ht="11.15" customHeight="1">
      <c r="A54" s="443"/>
      <c r="B54" s="443"/>
      <c r="C54" s="154" t="s">
        <v>7</v>
      </c>
      <c r="D54" s="313">
        <v>362137</v>
      </c>
      <c r="E54" s="129">
        <v>22925.46201336</v>
      </c>
      <c r="F54" s="129">
        <v>249712.35447304</v>
      </c>
      <c r="G54" s="307">
        <f t="shared" si="16"/>
        <v>0.32470174678429314</v>
      </c>
      <c r="H54" s="307">
        <f t="shared" si="17"/>
        <v>-0.18408715803676085</v>
      </c>
      <c r="I54" s="313">
        <v>28097.930114933653</v>
      </c>
      <c r="J54" s="129">
        <v>305357.5338030493</v>
      </c>
      <c r="K54" s="307">
        <f t="shared" si="18"/>
        <v>0.33331821202930778</v>
      </c>
    </row>
    <row r="55" spans="1:11" ht="11.15" customHeight="1">
      <c r="A55" s="443"/>
      <c r="B55" s="443"/>
      <c r="C55" s="154" t="s">
        <v>93</v>
      </c>
      <c r="D55" s="313">
        <v>40</v>
      </c>
      <c r="E55" s="129">
        <v>1157.544065047</v>
      </c>
      <c r="F55" s="129">
        <v>12608.385109999999</v>
      </c>
      <c r="G55" s="307">
        <f t="shared" si="16"/>
        <v>1.6394722151358121E-2</v>
      </c>
      <c r="H55" s="307">
        <f t="shared" si="17"/>
        <v>-4.9118350306084829E-2</v>
      </c>
      <c r="I55" s="313">
        <v>1217.337683842788</v>
      </c>
      <c r="J55" s="129">
        <v>13229.559309999999</v>
      </c>
      <c r="K55" s="307">
        <f t="shared" si="18"/>
        <v>1.4440950580865766E-2</v>
      </c>
    </row>
    <row r="56" spans="1:11" ht="11.15" customHeight="1">
      <c r="A56" s="444"/>
      <c r="B56" s="444"/>
      <c r="C56" s="318" t="s">
        <v>0</v>
      </c>
      <c r="D56" s="321">
        <v>401241</v>
      </c>
      <c r="E56" s="319">
        <v>70604.677185768</v>
      </c>
      <c r="F56" s="319">
        <v>769051.58851394395</v>
      </c>
      <c r="G56" s="320">
        <f>SUM(G51:G55)</f>
        <v>1</v>
      </c>
      <c r="H56" s="320">
        <f t="shared" ref="H56" si="19">(E56-I56)/I56</f>
        <v>-0.16243564333022698</v>
      </c>
      <c r="I56" s="321">
        <v>84297.614414369527</v>
      </c>
      <c r="J56" s="319">
        <v>916113.72104895429</v>
      </c>
      <c r="K56" s="320">
        <f>SUM(K51:K55)</f>
        <v>0.99999999999999989</v>
      </c>
    </row>
    <row r="57" spans="1:11" ht="11.15" customHeight="1">
      <c r="A57" s="511" t="str">
        <f>'3.1'!G5</f>
        <v>I. čtvrtletí</v>
      </c>
      <c r="B57" s="442"/>
      <c r="C57" s="164" t="s">
        <v>4</v>
      </c>
      <c r="D57" s="312">
        <f>D51</f>
        <v>135</v>
      </c>
      <c r="E57" s="308">
        <f>E39+E45+E51</f>
        <v>54658.111501836</v>
      </c>
      <c r="F57" s="308">
        <f>F39+F45+F51</f>
        <v>596093.06451000005</v>
      </c>
      <c r="G57" s="309">
        <f>E57/$E$62</f>
        <v>0.19771138909494931</v>
      </c>
      <c r="H57" s="309">
        <f>(E57-I57)/I57</f>
        <v>-4.3844407584104177E-3</v>
      </c>
      <c r="I57" s="312">
        <f>I39+I45+I51</f>
        <v>54898.812091156782</v>
      </c>
      <c r="J57" s="308">
        <f>J39+J45+J51</f>
        <v>597800.24050000007</v>
      </c>
      <c r="K57" s="309">
        <f>I57/$I$62</f>
        <v>0.19285392553892569</v>
      </c>
    </row>
    <row r="58" spans="1:11" ht="11.15" customHeight="1">
      <c r="A58" s="443"/>
      <c r="B58" s="443"/>
      <c r="C58" s="154" t="s">
        <v>5</v>
      </c>
      <c r="D58" s="313">
        <f>D52</f>
        <v>1415</v>
      </c>
      <c r="E58" s="129">
        <f t="shared" ref="E58:F59" si="20">E40+E46+E52</f>
        <v>53439.428339838996</v>
      </c>
      <c r="F58" s="129">
        <f t="shared" si="20"/>
        <v>582810.44497000007</v>
      </c>
      <c r="G58" s="307">
        <f t="shared" ref="G58:G61" si="21">E58/$E$62</f>
        <v>0.19330312224846377</v>
      </c>
      <c r="H58" s="307">
        <f t="shared" ref="H58:H61" si="22">(E58-I58)/I58</f>
        <v>-3.241629740267938E-2</v>
      </c>
      <c r="I58" s="313">
        <f t="shared" ref="I58:J58" si="23">I40+I46+I52</f>
        <v>55229.773089800467</v>
      </c>
      <c r="J58" s="129">
        <f t="shared" si="23"/>
        <v>601415.07543999993</v>
      </c>
      <c r="K58" s="307">
        <f t="shared" ref="K58:K61" si="24">I58/$I$62</f>
        <v>0.1940165577591409</v>
      </c>
    </row>
    <row r="59" spans="1:11" ht="11.15" customHeight="1">
      <c r="A59" s="443"/>
      <c r="B59" s="443"/>
      <c r="C59" s="154" t="s">
        <v>6</v>
      </c>
      <c r="D59" s="313">
        <f>D53</f>
        <v>37514</v>
      </c>
      <c r="E59" s="129">
        <f>E41+E47+E53</f>
        <v>73806.585212474005</v>
      </c>
      <c r="F59" s="129">
        <f t="shared" si="20"/>
        <v>804941.00312554592</v>
      </c>
      <c r="G59" s="307">
        <f t="shared" si="21"/>
        <v>0.26697597274693274</v>
      </c>
      <c r="H59" s="307">
        <f t="shared" si="22"/>
        <v>-8.3117679037610515E-3</v>
      </c>
      <c r="I59" s="313">
        <f>I41+I47+I53</f>
        <v>74425.19011893589</v>
      </c>
      <c r="J59" s="129">
        <f t="shared" ref="J59" si="25">J41+J47+J53</f>
        <v>810446.4525259051</v>
      </c>
      <c r="K59" s="307">
        <f t="shared" si="24"/>
        <v>0.26144809927006951</v>
      </c>
    </row>
    <row r="60" spans="1:11" ht="11.15" customHeight="1">
      <c r="A60" s="443"/>
      <c r="B60" s="443"/>
      <c r="C60" s="154" t="s">
        <v>7</v>
      </c>
      <c r="D60" s="313">
        <f>D54</f>
        <v>362137</v>
      </c>
      <c r="E60" s="129">
        <f t="shared" ref="E60:F61" si="26">E42+E48+E54</f>
        <v>91160.778943362995</v>
      </c>
      <c r="F60" s="129">
        <f t="shared" si="26"/>
        <v>994203.41300538497</v>
      </c>
      <c r="G60" s="307">
        <f t="shared" si="21"/>
        <v>0.32975021896364792</v>
      </c>
      <c r="H60" s="307">
        <f t="shared" si="22"/>
        <v>-5.8528720472429741E-2</v>
      </c>
      <c r="I60" s="313">
        <f t="shared" ref="I60:J60" si="27">I42+I48+I54</f>
        <v>96827.997758048892</v>
      </c>
      <c r="J60" s="129">
        <f t="shared" si="27"/>
        <v>1054412.8077230493</v>
      </c>
      <c r="K60" s="307">
        <f t="shared" si="24"/>
        <v>0.34014687674311295</v>
      </c>
    </row>
    <row r="61" spans="1:11" ht="11.15" customHeight="1">
      <c r="A61" s="443"/>
      <c r="B61" s="443"/>
      <c r="C61" s="154" t="s">
        <v>93</v>
      </c>
      <c r="D61" s="313">
        <f>D55</f>
        <v>40</v>
      </c>
      <c r="E61" s="129">
        <f>E43+E49+E55</f>
        <v>3389.1321206950001</v>
      </c>
      <c r="F61" s="129">
        <f t="shared" si="26"/>
        <v>36959.422399999996</v>
      </c>
      <c r="G61" s="307">
        <f t="shared" si="21"/>
        <v>1.2259296946006117E-2</v>
      </c>
      <c r="H61" s="307">
        <f t="shared" si="22"/>
        <v>3.2175937248347469E-2</v>
      </c>
      <c r="I61" s="313">
        <f>I43+I49+I55</f>
        <v>3283.4829784251747</v>
      </c>
      <c r="J61" s="129">
        <f t="shared" ref="J61" si="28">J43+J49+J55</f>
        <v>35747.223329999993</v>
      </c>
      <c r="K61" s="307">
        <f t="shared" si="24"/>
        <v>1.1534540688750915E-2</v>
      </c>
    </row>
    <row r="62" spans="1:11" ht="11.15" customHeight="1">
      <c r="A62" s="444"/>
      <c r="B62" s="444"/>
      <c r="C62" s="318" t="s">
        <v>0</v>
      </c>
      <c r="D62" s="321">
        <f>SUM(D57:D61)</f>
        <v>401241</v>
      </c>
      <c r="E62" s="319">
        <f>SUM(E57:E61)</f>
        <v>276454.03611820703</v>
      </c>
      <c r="F62" s="319">
        <f>SUM(F57:F61)</f>
        <v>3015007.3480109312</v>
      </c>
      <c r="G62" s="320">
        <f>SUM(G57:G61)</f>
        <v>0.99999999999999989</v>
      </c>
      <c r="H62" s="320">
        <f>(E62-I62)/I62</f>
        <v>-2.8845177780006833E-2</v>
      </c>
      <c r="I62" s="321">
        <f>SUM(I57:I61)</f>
        <v>284665.25603636721</v>
      </c>
      <c r="J62" s="319">
        <f>SUM(J57:J61)</f>
        <v>3099821.7995189545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13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16" s="102" customFormat="1" ht="18">
      <c r="A1" s="515" t="s">
        <v>306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5"/>
      <c r="B3" s="535"/>
      <c r="C3" s="535"/>
      <c r="D3" s="300"/>
      <c r="E3" s="300"/>
      <c r="F3" s="301"/>
      <c r="G3" s="302"/>
      <c r="H3" s="302"/>
      <c r="I3" s="302"/>
      <c r="J3" s="76"/>
      <c r="K3" s="76"/>
    </row>
    <row r="4" spans="1:16" ht="13" customHeight="1">
      <c r="A4" s="507" t="s">
        <v>44</v>
      </c>
      <c r="B4" s="507"/>
      <c r="C4" s="507"/>
      <c r="D4" s="501">
        <f>'3.1'!A4</f>
        <v>2024</v>
      </c>
      <c r="E4" s="353"/>
      <c r="F4" s="342"/>
      <c r="G4" s="342"/>
      <c r="H4" s="342"/>
      <c r="I4" s="501">
        <f>D4-1</f>
        <v>2023</v>
      </c>
      <c r="J4" s="502"/>
      <c r="K4" s="502"/>
    </row>
    <row r="5" spans="1:16" ht="25" customHeight="1">
      <c r="A5" s="354"/>
      <c r="B5" s="354"/>
      <c r="C5" s="354"/>
      <c r="D5" s="503"/>
      <c r="E5" s="355"/>
      <c r="F5" s="356"/>
      <c r="G5" s="356"/>
      <c r="H5" s="357"/>
      <c r="I5" s="503"/>
      <c r="J5" s="504"/>
      <c r="K5" s="504"/>
    </row>
    <row r="6" spans="1:16" ht="25" customHeight="1">
      <c r="A6" s="304"/>
      <c r="B6" s="272"/>
      <c r="C6" s="305"/>
      <c r="D6" s="364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16" ht="25" customHeight="1">
      <c r="A7" s="304"/>
      <c r="B7" s="306"/>
      <c r="D7" s="365"/>
      <c r="E7" s="499"/>
      <c r="F7" s="499"/>
      <c r="G7" s="500"/>
      <c r="H7" s="500"/>
      <c r="I7" s="498"/>
      <c r="J7" s="499"/>
      <c r="K7" s="500"/>
    </row>
    <row r="8" spans="1:16" ht="15" customHeight="1">
      <c r="A8" s="508" t="s">
        <v>158</v>
      </c>
      <c r="B8" s="508"/>
      <c r="C8" s="323" t="s">
        <v>184</v>
      </c>
      <c r="D8" s="343"/>
      <c r="E8" s="219" t="s">
        <v>259</v>
      </c>
      <c r="F8" s="219" t="s">
        <v>260</v>
      </c>
      <c r="G8" s="487"/>
      <c r="H8" s="487"/>
      <c r="I8" s="221" t="s">
        <v>259</v>
      </c>
      <c r="J8" s="219" t="s">
        <v>260</v>
      </c>
      <c r="K8" s="487"/>
    </row>
    <row r="9" spans="1:16" ht="11.15" customHeight="1">
      <c r="A9" s="442" t="str">
        <f>'3.1'!D5</f>
        <v>Leden</v>
      </c>
      <c r="B9" s="442"/>
      <c r="C9" s="164" t="s">
        <v>4</v>
      </c>
      <c r="D9" s="312">
        <v>181</v>
      </c>
      <c r="E9" s="308">
        <v>59027.483000000007</v>
      </c>
      <c r="F9" s="308">
        <v>643196.60733699985</v>
      </c>
      <c r="G9" s="309">
        <f>E9/$E$14</f>
        <v>0.44542449137926499</v>
      </c>
      <c r="H9" s="309">
        <f>(E9-I9)/I9</f>
        <v>8.2610182292147769E-2</v>
      </c>
      <c r="I9" s="312">
        <v>54523.303</v>
      </c>
      <c r="J9" s="308">
        <v>593734.87550999958</v>
      </c>
      <c r="K9" s="309">
        <f>I9/$I$14</f>
        <v>0.47346864424588042</v>
      </c>
    </row>
    <row r="10" spans="1:16" ht="11.15" customHeight="1">
      <c r="A10" s="443"/>
      <c r="B10" s="443"/>
      <c r="C10" s="154" t="s">
        <v>5</v>
      </c>
      <c r="D10" s="313">
        <v>611</v>
      </c>
      <c r="E10" s="129">
        <v>11233.123000000001</v>
      </c>
      <c r="F10" s="129">
        <v>122396.04511000002</v>
      </c>
      <c r="G10" s="307">
        <f>E10/$E$14</f>
        <v>8.4765736985189133E-2</v>
      </c>
      <c r="H10" s="307">
        <f>(E10-I10)/I10</f>
        <v>0.20161660752248908</v>
      </c>
      <c r="I10" s="313">
        <v>9348.3420000000006</v>
      </c>
      <c r="J10" s="129">
        <v>101787.15564000004</v>
      </c>
      <c r="K10" s="307">
        <f>I10/$I$14</f>
        <v>8.1178992635255839E-2</v>
      </c>
      <c r="L10" s="93"/>
      <c r="N10" s="93"/>
      <c r="O10" s="93"/>
      <c r="P10" s="93"/>
    </row>
    <row r="11" spans="1:16" ht="11.15" customHeight="1">
      <c r="A11" s="443"/>
      <c r="B11" s="443"/>
      <c r="C11" s="154" t="s">
        <v>6</v>
      </c>
      <c r="D11" s="313">
        <v>19004</v>
      </c>
      <c r="E11" s="129">
        <v>18684.321000000004</v>
      </c>
      <c r="F11" s="129">
        <v>203572.70731</v>
      </c>
      <c r="G11" s="307">
        <f>E11/$E$14</f>
        <v>0.14099286900293412</v>
      </c>
      <c r="H11" s="307">
        <f t="shared" ref="H11:H13" si="0">(E11-I11)/I11</f>
        <v>0.20418018129032373</v>
      </c>
      <c r="I11" s="313">
        <v>15516.217000000001</v>
      </c>
      <c r="J11" s="129">
        <v>168944.74176</v>
      </c>
      <c r="K11" s="307">
        <f>I11/$I$14</f>
        <v>0.13473949343851899</v>
      </c>
      <c r="L11" s="93"/>
      <c r="N11" s="93"/>
      <c r="O11" s="93"/>
      <c r="P11" s="93"/>
    </row>
    <row r="12" spans="1:16" ht="11.15" customHeight="1">
      <c r="A12" s="443"/>
      <c r="B12" s="443"/>
      <c r="C12" s="154" t="s">
        <v>7</v>
      </c>
      <c r="D12" s="313">
        <v>235099</v>
      </c>
      <c r="E12" s="129">
        <v>42699</v>
      </c>
      <c r="F12" s="129">
        <v>465248.2</v>
      </c>
      <c r="G12" s="307">
        <f>E12/$E$14</f>
        <v>0.32220889983405243</v>
      </c>
      <c r="H12" s="307">
        <f t="shared" si="0"/>
        <v>0.22817917454071643</v>
      </c>
      <c r="I12" s="313">
        <v>34766.1</v>
      </c>
      <c r="J12" s="129">
        <v>378543.4</v>
      </c>
      <c r="K12" s="307">
        <f>I12/$I$14</f>
        <v>0.30190133992279783</v>
      </c>
      <c r="L12" s="93"/>
      <c r="N12" s="93"/>
      <c r="O12" s="93"/>
      <c r="P12" s="93"/>
    </row>
    <row r="13" spans="1:16" ht="11.15" customHeight="1">
      <c r="A13" s="443"/>
      <c r="B13" s="443"/>
      <c r="C13" s="154" t="s">
        <v>93</v>
      </c>
      <c r="D13" s="313">
        <v>35</v>
      </c>
      <c r="E13" s="129">
        <v>875.69</v>
      </c>
      <c r="F13" s="129">
        <v>9541.5213100000001</v>
      </c>
      <c r="G13" s="307">
        <f>E13/$E$14</f>
        <v>6.6080027985592491E-3</v>
      </c>
      <c r="H13" s="307">
        <f t="shared" si="0"/>
        <v>-0.12709891895394215</v>
      </c>
      <c r="I13" s="313">
        <v>1003.1950000000001</v>
      </c>
      <c r="J13" s="129">
        <v>10923.07307</v>
      </c>
      <c r="K13" s="307">
        <f>I13/$I$14</f>
        <v>8.7115297575468976E-3</v>
      </c>
      <c r="L13" s="93"/>
      <c r="N13" s="93"/>
      <c r="O13" s="93"/>
      <c r="P13" s="93"/>
    </row>
    <row r="14" spans="1:16" ht="11.15" customHeight="1">
      <c r="A14" s="444"/>
      <c r="B14" s="444"/>
      <c r="C14" s="318" t="s">
        <v>0</v>
      </c>
      <c r="D14" s="321">
        <v>254930</v>
      </c>
      <c r="E14" s="319">
        <v>132519.61700000003</v>
      </c>
      <c r="F14" s="319">
        <v>1443955.0810669998</v>
      </c>
      <c r="G14" s="320">
        <f>SUM(G9:G13)</f>
        <v>0.99999999999999989</v>
      </c>
      <c r="H14" s="320">
        <f>(E14-I14)/I14</f>
        <v>0.15077187082692586</v>
      </c>
      <c r="I14" s="321">
        <v>115157.15700000001</v>
      </c>
      <c r="J14" s="319">
        <v>1253933.2459799997</v>
      </c>
      <c r="K14" s="320">
        <f>SUM(K9:K13)</f>
        <v>1</v>
      </c>
      <c r="L14" s="93"/>
    </row>
    <row r="15" spans="1:16" ht="11.15" customHeight="1">
      <c r="A15" s="442" t="str">
        <f>'3.1'!E5</f>
        <v>Únor</v>
      </c>
      <c r="B15" s="442"/>
      <c r="C15" s="164" t="s">
        <v>4</v>
      </c>
      <c r="D15" s="312">
        <v>181</v>
      </c>
      <c r="E15" s="308">
        <v>46729.631999999998</v>
      </c>
      <c r="F15" s="308">
        <v>508851.19180700002</v>
      </c>
      <c r="G15" s="309">
        <f>E15/$E$20</f>
        <v>0.50644755735428282</v>
      </c>
      <c r="H15" s="309">
        <f>(E15-I15)/I15</f>
        <v>-1.9392304672446788E-2</v>
      </c>
      <c r="I15" s="312">
        <v>47653.748</v>
      </c>
      <c r="J15" s="308">
        <v>516593.87500699988</v>
      </c>
      <c r="K15" s="309">
        <f>I15/$I$20</f>
        <v>0.44872436801272697</v>
      </c>
      <c r="L15" s="93"/>
      <c r="M15" s="93"/>
    </row>
    <row r="16" spans="1:16" ht="11.15" customHeight="1">
      <c r="A16" s="443"/>
      <c r="B16" s="443"/>
      <c r="C16" s="154" t="s">
        <v>5</v>
      </c>
      <c r="D16" s="313">
        <v>610</v>
      </c>
      <c r="E16" s="129">
        <v>7258.3209999999999</v>
      </c>
      <c r="F16" s="129">
        <v>79023.835709999999</v>
      </c>
      <c r="G16" s="307">
        <f>E16/$E$20</f>
        <v>7.8664410217125086E-2</v>
      </c>
      <c r="H16" s="307">
        <f>(E16-I16)/I16</f>
        <v>-0.19132082064048392</v>
      </c>
      <c r="I16" s="313">
        <v>8975.5259999999998</v>
      </c>
      <c r="J16" s="129">
        <v>97298.640760000009</v>
      </c>
      <c r="K16" s="307">
        <f>I16/$I$20</f>
        <v>8.4516693879604171E-2</v>
      </c>
      <c r="L16" s="97"/>
      <c r="M16" s="93"/>
    </row>
    <row r="17" spans="1:20" ht="11.15" customHeight="1">
      <c r="A17" s="443"/>
      <c r="B17" s="443"/>
      <c r="C17" s="154" t="s">
        <v>6</v>
      </c>
      <c r="D17" s="313">
        <v>18988</v>
      </c>
      <c r="E17" s="129">
        <v>11482.118</v>
      </c>
      <c r="F17" s="129">
        <v>124997.43220000001</v>
      </c>
      <c r="G17" s="307">
        <f>E17/$E$20</f>
        <v>0.12444118144036836</v>
      </c>
      <c r="H17" s="307">
        <f t="shared" ref="H17:H20" si="1">(E17-I17)/I17</f>
        <v>-0.21508221590909862</v>
      </c>
      <c r="I17" s="313">
        <v>14628.433999999999</v>
      </c>
      <c r="J17" s="129">
        <v>158578.69024</v>
      </c>
      <c r="K17" s="307">
        <f>I17/$I$20</f>
        <v>0.13774645389206086</v>
      </c>
      <c r="L17" s="93"/>
      <c r="M17" s="93"/>
      <c r="N17" s="93"/>
      <c r="O17" s="93"/>
    </row>
    <row r="18" spans="1:20" ht="11.15" customHeight="1">
      <c r="A18" s="443"/>
      <c r="B18" s="443"/>
      <c r="C18" s="154" t="s">
        <v>7</v>
      </c>
      <c r="D18" s="313">
        <v>234877</v>
      </c>
      <c r="E18" s="129">
        <v>25983.200000000001</v>
      </c>
      <c r="F18" s="129">
        <v>282886</v>
      </c>
      <c r="G18" s="307">
        <f>E18/$E$20</f>
        <v>0.28160136532313806</v>
      </c>
      <c r="H18" s="307">
        <f t="shared" si="1"/>
        <v>-0.2370314252658903</v>
      </c>
      <c r="I18" s="313">
        <v>34055.4</v>
      </c>
      <c r="J18" s="129">
        <v>369176.3</v>
      </c>
      <c r="K18" s="307">
        <f>I18/$I$20</f>
        <v>0.32067756438424577</v>
      </c>
      <c r="L18" s="93"/>
      <c r="M18" s="93"/>
      <c r="N18" s="93"/>
      <c r="O18" s="93"/>
    </row>
    <row r="19" spans="1:20" ht="11.15" customHeight="1">
      <c r="A19" s="443"/>
      <c r="B19" s="443"/>
      <c r="C19" s="154" t="s">
        <v>93</v>
      </c>
      <c r="D19" s="313">
        <v>35</v>
      </c>
      <c r="E19" s="129">
        <v>816.16800000000001</v>
      </c>
      <c r="F19" s="129">
        <v>8885.8479100000004</v>
      </c>
      <c r="G19" s="307">
        <f>E19/$E$20</f>
        <v>8.8454856650857071E-3</v>
      </c>
      <c r="H19" s="307">
        <f t="shared" si="1"/>
        <v>-7.7936720615847624E-2</v>
      </c>
      <c r="I19" s="313">
        <v>885.154</v>
      </c>
      <c r="J19" s="129">
        <v>9595.4891199999984</v>
      </c>
      <c r="K19" s="307">
        <f>I19/$I$20</f>
        <v>8.3349198313622114E-3</v>
      </c>
      <c r="L19" s="93"/>
      <c r="M19" s="93"/>
      <c r="N19" s="93"/>
      <c r="O19" s="93"/>
    </row>
    <row r="20" spans="1:20" ht="11.15" customHeight="1">
      <c r="A20" s="444"/>
      <c r="B20" s="444"/>
      <c r="C20" s="318" t="s">
        <v>0</v>
      </c>
      <c r="D20" s="321">
        <v>254691</v>
      </c>
      <c r="E20" s="319">
        <v>92269.438999999998</v>
      </c>
      <c r="F20" s="319">
        <v>1004644.307627</v>
      </c>
      <c r="G20" s="320">
        <f>SUM(G15:G19)</f>
        <v>1.0000000000000002</v>
      </c>
      <c r="H20" s="320">
        <f t="shared" si="1"/>
        <v>-0.13115867188108976</v>
      </c>
      <c r="I20" s="321">
        <v>106198.262</v>
      </c>
      <c r="J20" s="319">
        <v>1151242.9951269999</v>
      </c>
      <c r="K20" s="320">
        <f>SUM(K15:K19)</f>
        <v>1</v>
      </c>
      <c r="L20" s="93"/>
      <c r="M20" s="93"/>
      <c r="N20" s="93"/>
      <c r="O20" s="93"/>
    </row>
    <row r="21" spans="1:20" ht="11.15" customHeight="1">
      <c r="A21" s="442" t="str">
        <f>'3.1'!F5</f>
        <v>Březen</v>
      </c>
      <c r="B21" s="442"/>
      <c r="C21" s="164" t="s">
        <v>4</v>
      </c>
      <c r="D21" s="312">
        <v>179</v>
      </c>
      <c r="E21" s="308">
        <v>46203.366999999991</v>
      </c>
      <c r="F21" s="308">
        <v>502413.90942400019</v>
      </c>
      <c r="G21" s="309">
        <f>E21/$E$26</f>
        <v>0.5392588355089557</v>
      </c>
      <c r="H21" s="309">
        <f>(E21-I21)/I21</f>
        <v>-0.14535056866670662</v>
      </c>
      <c r="I21" s="312">
        <v>54061.192000000003</v>
      </c>
      <c r="J21" s="308">
        <v>585758.94365100004</v>
      </c>
      <c r="K21" s="309">
        <f>I21/$I$26</f>
        <v>0.52531708712209291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5" customHeight="1">
      <c r="A22" s="443"/>
      <c r="B22" s="443"/>
      <c r="C22" s="154" t="s">
        <v>5</v>
      </c>
      <c r="D22" s="313">
        <v>608</v>
      </c>
      <c r="E22" s="129">
        <v>6677.7749999999996</v>
      </c>
      <c r="F22" s="129">
        <v>72595.298380000051</v>
      </c>
      <c r="G22" s="307">
        <f>E22/$E$26</f>
        <v>7.7939107128076127E-2</v>
      </c>
      <c r="H22" s="307">
        <f t="shared" ref="H22:H26" si="2">(E22-I22)/I22</f>
        <v>-0.1710025595754914</v>
      </c>
      <c r="I22" s="313">
        <v>8055.2420000000002</v>
      </c>
      <c r="J22" s="129">
        <v>87239.903299999947</v>
      </c>
      <c r="K22" s="307">
        <f>I22/$I$26</f>
        <v>7.8273454708574344E-2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5" customHeight="1">
      <c r="A23" s="443"/>
      <c r="B23" s="443"/>
      <c r="C23" s="154" t="s">
        <v>6</v>
      </c>
      <c r="D23" s="313">
        <v>18970</v>
      </c>
      <c r="E23" s="129">
        <v>10140.480000000001</v>
      </c>
      <c r="F23" s="129">
        <v>110226.34932000001</v>
      </c>
      <c r="G23" s="307">
        <f>E23/$E$26</f>
        <v>0.11835378656066034</v>
      </c>
      <c r="H23" s="307">
        <f t="shared" si="2"/>
        <v>-0.16915519126838183</v>
      </c>
      <c r="I23" s="313">
        <v>12205.023000000001</v>
      </c>
      <c r="J23" s="129">
        <v>132182.43377</v>
      </c>
      <c r="K23" s="307">
        <f>I23/$I$26</f>
        <v>0.1185972209162193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5" customHeight="1">
      <c r="A24" s="443"/>
      <c r="B24" s="443"/>
      <c r="C24" s="154" t="s">
        <v>7</v>
      </c>
      <c r="D24" s="313">
        <v>234621</v>
      </c>
      <c r="E24" s="129">
        <v>21811.9</v>
      </c>
      <c r="F24" s="129">
        <v>237122.9</v>
      </c>
      <c r="G24" s="307">
        <f>E24/$E$26</f>
        <v>0.25457581466384893</v>
      </c>
      <c r="H24" s="307">
        <f t="shared" si="2"/>
        <v>-0.21023741504726931</v>
      </c>
      <c r="I24" s="313">
        <v>27618.3</v>
      </c>
      <c r="J24" s="129">
        <v>299111.2</v>
      </c>
      <c r="K24" s="307">
        <f>I24/$I$26</f>
        <v>0.26836931207998699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5" customHeight="1">
      <c r="A25" s="443"/>
      <c r="B25" s="443"/>
      <c r="C25" s="154" t="s">
        <v>93</v>
      </c>
      <c r="D25" s="313">
        <v>35</v>
      </c>
      <c r="E25" s="129">
        <v>845.86599999999999</v>
      </c>
      <c r="F25" s="129">
        <v>9195.6157400000011</v>
      </c>
      <c r="G25" s="307">
        <f>E25/$E$26</f>
        <v>9.8724561384588797E-3</v>
      </c>
      <c r="H25" s="307">
        <f t="shared" si="2"/>
        <v>-0.12957585311992553</v>
      </c>
      <c r="I25" s="313">
        <v>971.78599999999994</v>
      </c>
      <c r="J25" s="129">
        <v>10524.638499999999</v>
      </c>
      <c r="K25" s="307">
        <f>I25/$I$26</f>
        <v>9.4429251731265942E-3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5" customHeight="1">
      <c r="A26" s="444"/>
      <c r="B26" s="444"/>
      <c r="C26" s="318" t="s">
        <v>0</v>
      </c>
      <c r="D26" s="321">
        <v>254413</v>
      </c>
      <c r="E26" s="319">
        <v>85679.387999999992</v>
      </c>
      <c r="F26" s="319">
        <v>931554.07286400034</v>
      </c>
      <c r="G26" s="320">
        <f>SUM(G21:G25)</f>
        <v>1</v>
      </c>
      <c r="H26" s="320">
        <f t="shared" si="2"/>
        <v>-0.16744627956846397</v>
      </c>
      <c r="I26" s="321">
        <v>102911.54299999999</v>
      </c>
      <c r="J26" s="319">
        <v>1114817.1192209998</v>
      </c>
      <c r="K26" s="320">
        <f>SUM(K21:K25)</f>
        <v>1</v>
      </c>
    </row>
    <row r="27" spans="1:20" ht="11.15" customHeight="1">
      <c r="A27" s="511" t="str">
        <f>'3.1'!G5</f>
        <v>I. čtvrtletí</v>
      </c>
      <c r="B27" s="442"/>
      <c r="C27" s="164" t="s">
        <v>4</v>
      </c>
      <c r="D27" s="312">
        <f>D21</f>
        <v>179</v>
      </c>
      <c r="E27" s="308">
        <f>E9+E15+E21</f>
        <v>151960.48199999999</v>
      </c>
      <c r="F27" s="308">
        <f>F9+F15+F21</f>
        <v>1654461.708568</v>
      </c>
      <c r="G27" s="309">
        <f>E27/$E$32</f>
        <v>0.48945548230982217</v>
      </c>
      <c r="H27" s="309">
        <f>(E27-I27)/I27</f>
        <v>-2.7379730582351897E-2</v>
      </c>
      <c r="I27" s="312">
        <f>I9+I15+I21</f>
        <v>156238.24300000002</v>
      </c>
      <c r="J27" s="308">
        <f>J9+J15+J21</f>
        <v>1696087.6941679996</v>
      </c>
      <c r="K27" s="309">
        <f>I27/$I$32</f>
        <v>0.48181980068632468</v>
      </c>
    </row>
    <row r="28" spans="1:20" ht="11.15" customHeight="1">
      <c r="A28" s="443"/>
      <c r="B28" s="443"/>
      <c r="C28" s="154" t="s">
        <v>5</v>
      </c>
      <c r="D28" s="313">
        <f>D22</f>
        <v>608</v>
      </c>
      <c r="E28" s="129">
        <f t="shared" ref="E28:F31" si="3">E10+E16+E22</f>
        <v>25169.219000000005</v>
      </c>
      <c r="F28" s="129">
        <f t="shared" si="3"/>
        <v>274015.17920000007</v>
      </c>
      <c r="G28" s="307">
        <f>E28/$E$32</f>
        <v>8.1068525598691793E-2</v>
      </c>
      <c r="H28" s="307">
        <f t="shared" ref="H28:H31" si="4">(E28-I28)/I28</f>
        <v>-4.5865497357568015E-2</v>
      </c>
      <c r="I28" s="313">
        <f t="shared" ref="I28:J28" si="5">I10+I16+I22</f>
        <v>26379.11</v>
      </c>
      <c r="J28" s="129">
        <f t="shared" si="5"/>
        <v>286325.6997</v>
      </c>
      <c r="K28" s="307">
        <f>I28/$I$32</f>
        <v>8.1349977306661297E-2</v>
      </c>
    </row>
    <row r="29" spans="1:20" ht="11.15" customHeight="1">
      <c r="A29" s="443"/>
      <c r="B29" s="443"/>
      <c r="C29" s="154" t="s">
        <v>6</v>
      </c>
      <c r="D29" s="313">
        <f>D23</f>
        <v>18970</v>
      </c>
      <c r="E29" s="129">
        <f t="shared" si="3"/>
        <v>40306.919000000009</v>
      </c>
      <c r="F29" s="129">
        <f t="shared" si="3"/>
        <v>438796.48883000005</v>
      </c>
      <c r="G29" s="307">
        <f>E29/$E$32</f>
        <v>0.12982613782159458</v>
      </c>
      <c r="H29" s="307">
        <f t="shared" si="4"/>
        <v>-4.8235436239721471E-2</v>
      </c>
      <c r="I29" s="313">
        <f t="shared" ref="I29:J29" si="6">I11+I17+I23</f>
        <v>42349.673999999999</v>
      </c>
      <c r="J29" s="129">
        <f t="shared" si="6"/>
        <v>459705.86577000003</v>
      </c>
      <c r="K29" s="307">
        <f>I29/$I$32</f>
        <v>0.13060126057492097</v>
      </c>
    </row>
    <row r="30" spans="1:20" ht="11.15" customHeight="1">
      <c r="A30" s="443"/>
      <c r="B30" s="443"/>
      <c r="C30" s="154" t="s">
        <v>7</v>
      </c>
      <c r="D30" s="313">
        <f>D24</f>
        <v>234621</v>
      </c>
      <c r="E30" s="129">
        <f t="shared" si="3"/>
        <v>90494.1</v>
      </c>
      <c r="F30" s="129">
        <f t="shared" si="3"/>
        <v>985257.1</v>
      </c>
      <c r="G30" s="307">
        <f>E30/$E$32</f>
        <v>0.29147599940946017</v>
      </c>
      <c r="H30" s="307">
        <f t="shared" si="4"/>
        <v>-6.165193208613038E-2</v>
      </c>
      <c r="I30" s="313">
        <f t="shared" ref="I30:J30" si="7">I12+I18+I24</f>
        <v>96439.8</v>
      </c>
      <c r="J30" s="129">
        <f t="shared" si="7"/>
        <v>1046830.8999999999</v>
      </c>
      <c r="K30" s="307">
        <f>I30/$I$32</f>
        <v>0.29740865182559056</v>
      </c>
    </row>
    <row r="31" spans="1:20" ht="11.15" customHeight="1">
      <c r="A31" s="443"/>
      <c r="B31" s="443"/>
      <c r="C31" s="154" t="s">
        <v>93</v>
      </c>
      <c r="D31" s="313">
        <f>D25</f>
        <v>35</v>
      </c>
      <c r="E31" s="129">
        <f>E13+E19+E25</f>
        <v>2537.7240000000002</v>
      </c>
      <c r="F31" s="129">
        <f t="shared" si="3"/>
        <v>27622.984960000002</v>
      </c>
      <c r="G31" s="307">
        <f>E31/$E$32</f>
        <v>8.173854860431486E-3</v>
      </c>
      <c r="H31" s="307">
        <f t="shared" si="4"/>
        <v>-0.11272579790814072</v>
      </c>
      <c r="I31" s="313">
        <f>I13+I19+I25</f>
        <v>2860.1350000000002</v>
      </c>
      <c r="J31" s="129">
        <f t="shared" ref="J31" si="8">J13+J19+J25</f>
        <v>31043.200689999998</v>
      </c>
      <c r="K31" s="307">
        <f>I31/$I$32</f>
        <v>8.8203096065025584E-3</v>
      </c>
    </row>
    <row r="32" spans="1:20" ht="11.15" customHeight="1">
      <c r="A32" s="444"/>
      <c r="B32" s="444"/>
      <c r="C32" s="318" t="s">
        <v>0</v>
      </c>
      <c r="D32" s="321">
        <f>SUM(D27:D31)</f>
        <v>254413</v>
      </c>
      <c r="E32" s="319">
        <f>SUM(E27:E31)</f>
        <v>310468.44399999996</v>
      </c>
      <c r="F32" s="319">
        <f>SUM(F27:F31)</f>
        <v>3380153.4615580002</v>
      </c>
      <c r="G32" s="320">
        <f>SUM(G27:G31)</f>
        <v>1.0000000000000002</v>
      </c>
      <c r="H32" s="320">
        <f>(E32-I32)/I32</f>
        <v>-4.2552956720888636E-2</v>
      </c>
      <c r="I32" s="321">
        <f>SUM(I27:I31)</f>
        <v>324266.962</v>
      </c>
      <c r="J32" s="319">
        <f>SUM(J27:J31)</f>
        <v>3519993.3603279991</v>
      </c>
      <c r="K32" s="320">
        <f>SUM(K27:K31)</f>
        <v>1</v>
      </c>
    </row>
    <row r="33" spans="1:11" ht="10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3" customHeight="1">
      <c r="A34" s="536" t="s">
        <v>45</v>
      </c>
      <c r="B34" s="536"/>
      <c r="C34" s="536"/>
      <c r="D34" s="501">
        <f>D4</f>
        <v>2024</v>
      </c>
      <c r="E34" s="353"/>
      <c r="F34" s="342"/>
      <c r="G34" s="342"/>
      <c r="H34" s="342"/>
      <c r="I34" s="501">
        <f>D34-1</f>
        <v>2023</v>
      </c>
      <c r="J34" s="502"/>
      <c r="K34" s="502"/>
    </row>
    <row r="35" spans="1:11" ht="25" customHeight="1">
      <c r="A35" s="304"/>
      <c r="B35" s="272"/>
      <c r="C35" s="150"/>
      <c r="D35" s="503"/>
      <c r="E35" s="355"/>
      <c r="F35" s="356"/>
      <c r="G35" s="356"/>
      <c r="H35" s="357"/>
      <c r="I35" s="503"/>
      <c r="J35" s="504"/>
      <c r="K35" s="504"/>
    </row>
    <row r="36" spans="1:11" ht="25" customHeight="1">
      <c r="A36" s="130"/>
      <c r="B36" s="131"/>
      <c r="C36" s="352"/>
      <c r="D36" s="364" t="s">
        <v>159</v>
      </c>
      <c r="E36" s="499" t="s">
        <v>60</v>
      </c>
      <c r="F36" s="499"/>
      <c r="G36" s="500" t="s">
        <v>33</v>
      </c>
      <c r="H36" s="500" t="s">
        <v>268</v>
      </c>
      <c r="I36" s="498" t="s">
        <v>60</v>
      </c>
      <c r="J36" s="499"/>
      <c r="K36" s="500" t="s">
        <v>33</v>
      </c>
    </row>
    <row r="37" spans="1:11" ht="25" customHeight="1">
      <c r="A37" s="130"/>
      <c r="B37" s="306"/>
      <c r="C37" s="306"/>
      <c r="D37" s="365"/>
      <c r="E37" s="499"/>
      <c r="F37" s="499"/>
      <c r="G37" s="500"/>
      <c r="H37" s="500"/>
      <c r="I37" s="498"/>
      <c r="J37" s="499"/>
      <c r="K37" s="500"/>
    </row>
    <row r="38" spans="1:11" ht="15" customHeight="1">
      <c r="A38" s="537" t="s">
        <v>158</v>
      </c>
      <c r="B38" s="537"/>
      <c r="C38" s="366" t="s">
        <v>184</v>
      </c>
      <c r="D38" s="343"/>
      <c r="E38" s="219" t="s">
        <v>259</v>
      </c>
      <c r="F38" s="219" t="s">
        <v>260</v>
      </c>
      <c r="G38" s="487"/>
      <c r="H38" s="487"/>
      <c r="I38" s="221" t="s">
        <v>259</v>
      </c>
      <c r="J38" s="219" t="s">
        <v>260</v>
      </c>
      <c r="K38" s="487"/>
    </row>
    <row r="39" spans="1:11" ht="11.15" customHeight="1">
      <c r="A39" s="442" t="str">
        <f>'3.1'!D5</f>
        <v>Leden</v>
      </c>
      <c r="B39" s="442"/>
      <c r="C39" s="164" t="s">
        <v>4</v>
      </c>
      <c r="D39" s="312">
        <v>129</v>
      </c>
      <c r="E39" s="308">
        <v>85135.206999999995</v>
      </c>
      <c r="F39" s="308">
        <v>928379.2232029998</v>
      </c>
      <c r="G39" s="309">
        <f>E39/$E$44</f>
        <v>0.68810525644942022</v>
      </c>
      <c r="H39" s="309">
        <f>(E39-I39)/I39</f>
        <v>0.29933473948375106</v>
      </c>
      <c r="I39" s="312">
        <v>65522.150999999998</v>
      </c>
      <c r="J39" s="308">
        <v>714964.78255999996</v>
      </c>
      <c r="K39" s="309">
        <f>I39/$I$44</f>
        <v>0.6733504542207065</v>
      </c>
    </row>
    <row r="40" spans="1:11" ht="11.15" customHeight="1">
      <c r="A40" s="443"/>
      <c r="B40" s="443"/>
      <c r="C40" s="154" t="s">
        <v>5</v>
      </c>
      <c r="D40" s="313">
        <v>294</v>
      </c>
      <c r="E40" s="129">
        <v>5217.3739999999998</v>
      </c>
      <c r="F40" s="129">
        <v>56848.959600000017</v>
      </c>
      <c r="G40" s="307">
        <f t="shared" ref="G40" si="9">E40/$E$44</f>
        <v>4.2169422037847841E-2</v>
      </c>
      <c r="H40" s="307">
        <f>(E40-I40)/I40</f>
        <v>0.20263209333802937</v>
      </c>
      <c r="I40" s="313">
        <v>4338.2960000000003</v>
      </c>
      <c r="J40" s="129">
        <v>47236.898759999996</v>
      </c>
      <c r="K40" s="307">
        <f t="shared" ref="K40:K43" si="10">I40/$I$44</f>
        <v>4.4583297977257713E-2</v>
      </c>
    </row>
    <row r="41" spans="1:11" ht="11.15" customHeight="1">
      <c r="A41" s="443"/>
      <c r="B41" s="443"/>
      <c r="C41" s="154" t="s">
        <v>6</v>
      </c>
      <c r="D41" s="313">
        <v>12782</v>
      </c>
      <c r="E41" s="129">
        <v>10947.246000000001</v>
      </c>
      <c r="F41" s="129">
        <v>119248.28287</v>
      </c>
      <c r="G41" s="307">
        <f>E41/$E$44</f>
        <v>8.8481108834854785E-2</v>
      </c>
      <c r="H41" s="307">
        <f t="shared" ref="H41:H43" si="11">(E41-I41)/I41</f>
        <v>0.18725201745341644</v>
      </c>
      <c r="I41" s="313">
        <v>9220.6589999999997</v>
      </c>
      <c r="J41" s="129">
        <v>100327.10699999999</v>
      </c>
      <c r="K41" s="307">
        <f t="shared" si="10"/>
        <v>9.4757800699556485E-2</v>
      </c>
    </row>
    <row r="42" spans="1:11" ht="11.15" customHeight="1">
      <c r="A42" s="443"/>
      <c r="B42" s="443"/>
      <c r="C42" s="154" t="s">
        <v>7</v>
      </c>
      <c r="D42" s="313">
        <v>203799</v>
      </c>
      <c r="E42" s="129">
        <v>21942.1</v>
      </c>
      <c r="F42" s="129">
        <v>239081.2</v>
      </c>
      <c r="G42" s="307">
        <f>E42/$E$44</f>
        <v>0.17734700929944089</v>
      </c>
      <c r="H42" s="307">
        <f t="shared" si="11"/>
        <v>0.22817593587676879</v>
      </c>
      <c r="I42" s="313">
        <v>17865.599999999999</v>
      </c>
      <c r="J42" s="129">
        <v>194525.4</v>
      </c>
      <c r="K42" s="307">
        <f t="shared" si="10"/>
        <v>0.18359912932231809</v>
      </c>
    </row>
    <row r="43" spans="1:11" ht="11.15" customHeight="1">
      <c r="A43" s="443"/>
      <c r="B43" s="443"/>
      <c r="C43" s="154" t="s">
        <v>93</v>
      </c>
      <c r="D43" s="313">
        <v>20</v>
      </c>
      <c r="E43" s="129">
        <v>482.178</v>
      </c>
      <c r="F43" s="129">
        <v>5231.7892400000001</v>
      </c>
      <c r="G43" s="307">
        <f>E43/$E$44</f>
        <v>3.8972033784362395E-3</v>
      </c>
      <c r="H43" s="307">
        <f t="shared" si="11"/>
        <v>0.33587665710842374</v>
      </c>
      <c r="I43" s="313">
        <v>360.94499999999999</v>
      </c>
      <c r="J43" s="129">
        <v>3930.0758100000007</v>
      </c>
      <c r="K43" s="307">
        <f t="shared" si="10"/>
        <v>3.7093177801609859E-3</v>
      </c>
    </row>
    <row r="44" spans="1:11" ht="11.15" customHeight="1">
      <c r="A44" s="444"/>
      <c r="B44" s="444"/>
      <c r="C44" s="318" t="s">
        <v>0</v>
      </c>
      <c r="D44" s="321">
        <v>217024</v>
      </c>
      <c r="E44" s="319">
        <v>123724.105</v>
      </c>
      <c r="F44" s="319">
        <v>1348789.4549129999</v>
      </c>
      <c r="G44" s="320">
        <f>SUM(G39:G43)</f>
        <v>1</v>
      </c>
      <c r="H44" s="320">
        <f>(E44-I44)/I44</f>
        <v>0.27147355555833919</v>
      </c>
      <c r="I44" s="321">
        <v>97307.651000000013</v>
      </c>
      <c r="J44" s="319">
        <v>1060984.26413</v>
      </c>
      <c r="K44" s="320">
        <f>SUM(K39:K43)</f>
        <v>0.99999999999999978</v>
      </c>
    </row>
    <row r="45" spans="1:11" ht="11.15" customHeight="1">
      <c r="A45" s="442" t="str">
        <f>'3.1'!E5</f>
        <v>Únor</v>
      </c>
      <c r="B45" s="442"/>
      <c r="C45" s="164" t="s">
        <v>4</v>
      </c>
      <c r="D45" s="312">
        <v>129</v>
      </c>
      <c r="E45" s="308">
        <v>49249.713000000003</v>
      </c>
      <c r="F45" s="308">
        <v>536597.23991900007</v>
      </c>
      <c r="G45" s="309">
        <f>E45/$E$50</f>
        <v>0.67162360504668961</v>
      </c>
      <c r="H45" s="309">
        <f>(E45-I45)/I45</f>
        <v>-0.31436479419088048</v>
      </c>
      <c r="I45" s="312">
        <v>71830.782000000007</v>
      </c>
      <c r="J45" s="308">
        <v>783437.65549999988</v>
      </c>
      <c r="K45" s="309">
        <f>I45/$I$50</f>
        <v>0.70152758189786335</v>
      </c>
    </row>
    <row r="46" spans="1:11" ht="11.15" customHeight="1">
      <c r="A46" s="443"/>
      <c r="B46" s="443"/>
      <c r="C46" s="154" t="s">
        <v>5</v>
      </c>
      <c r="D46" s="313">
        <v>295</v>
      </c>
      <c r="E46" s="129">
        <v>3550.9520000000002</v>
      </c>
      <c r="F46" s="129">
        <v>38660.647129999998</v>
      </c>
      <c r="G46" s="307">
        <f t="shared" ref="G46:G49" si="12">E46/$E$50</f>
        <v>4.842471231431851E-2</v>
      </c>
      <c r="H46" s="307">
        <f>(E46-I46)/I46</f>
        <v>-0.1184329692154915</v>
      </c>
      <c r="I46" s="313">
        <v>4028</v>
      </c>
      <c r="J46" s="129">
        <v>43665.67336999999</v>
      </c>
      <c r="K46" s="307">
        <f t="shared" ref="K46:K49" si="13">I46/$I$50</f>
        <v>3.933902738083226E-2</v>
      </c>
    </row>
    <row r="47" spans="1:11" ht="11.15" customHeight="1">
      <c r="A47" s="443"/>
      <c r="B47" s="443"/>
      <c r="C47" s="154" t="s">
        <v>6</v>
      </c>
      <c r="D47" s="313">
        <v>12778</v>
      </c>
      <c r="E47" s="129">
        <v>6733.5690000000004</v>
      </c>
      <c r="F47" s="129">
        <v>73288.317030000006</v>
      </c>
      <c r="G47" s="307">
        <f t="shared" si="12"/>
        <v>9.1826400828176044E-2</v>
      </c>
      <c r="H47" s="307">
        <f t="shared" ref="H47:H49" si="14">(E47-I47)/I47</f>
        <v>-0.22423489099595195</v>
      </c>
      <c r="I47" s="313">
        <v>8679.9070000000011</v>
      </c>
      <c r="J47" s="129">
        <v>94041.86295000001</v>
      </c>
      <c r="K47" s="307">
        <f t="shared" si="13"/>
        <v>8.4771375157914011E-2</v>
      </c>
    </row>
    <row r="48" spans="1:11" ht="11.15" customHeight="1">
      <c r="A48" s="443"/>
      <c r="B48" s="443"/>
      <c r="C48" s="154" t="s">
        <v>7</v>
      </c>
      <c r="D48" s="313">
        <v>203606</v>
      </c>
      <c r="E48" s="129">
        <v>13352.2</v>
      </c>
      <c r="F48" s="129">
        <v>145369.1</v>
      </c>
      <c r="G48" s="307">
        <f t="shared" si="12"/>
        <v>0.18208537985397821</v>
      </c>
      <c r="H48" s="307">
        <f t="shared" si="14"/>
        <v>-0.23703022233904555</v>
      </c>
      <c r="I48" s="313">
        <v>17500.3</v>
      </c>
      <c r="J48" s="129">
        <v>189711.8</v>
      </c>
      <c r="K48" s="307">
        <f t="shared" si="13"/>
        <v>0.17091479167645948</v>
      </c>
    </row>
    <row r="49" spans="1:11" ht="11.15" customHeight="1">
      <c r="A49" s="443"/>
      <c r="B49" s="443"/>
      <c r="C49" s="154" t="s">
        <v>93</v>
      </c>
      <c r="D49" s="313">
        <v>20</v>
      </c>
      <c r="E49" s="129">
        <v>442.90200000000004</v>
      </c>
      <c r="F49" s="129">
        <v>4801.0214799999994</v>
      </c>
      <c r="G49" s="307">
        <f t="shared" si="12"/>
        <v>6.0399019568375739E-3</v>
      </c>
      <c r="H49" s="307">
        <f t="shared" si="14"/>
        <v>0.25479363568368812</v>
      </c>
      <c r="I49" s="313">
        <v>352.96800000000002</v>
      </c>
      <c r="J49" s="129">
        <v>3826.33979</v>
      </c>
      <c r="K49" s="307">
        <f t="shared" si="13"/>
        <v>3.4472238869308843E-3</v>
      </c>
    </row>
    <row r="50" spans="1:11" ht="11.15" customHeight="1">
      <c r="A50" s="444"/>
      <c r="B50" s="444"/>
      <c r="C50" s="318" t="s">
        <v>0</v>
      </c>
      <c r="D50" s="321">
        <v>216828</v>
      </c>
      <c r="E50" s="319">
        <v>73329.33600000001</v>
      </c>
      <c r="F50" s="319">
        <v>798716.32555900002</v>
      </c>
      <c r="G50" s="320">
        <f>SUM(G45:G49)</f>
        <v>1</v>
      </c>
      <c r="H50" s="320">
        <f t="shared" ref="H50" si="15">(E50-I50)/I50</f>
        <v>-0.28383695215435717</v>
      </c>
      <c r="I50" s="321">
        <v>102391.95700000001</v>
      </c>
      <c r="J50" s="319">
        <v>1114683.33161</v>
      </c>
      <c r="K50" s="320">
        <f>SUM(K45:K49)</f>
        <v>1</v>
      </c>
    </row>
    <row r="51" spans="1:11" ht="11.15" customHeight="1">
      <c r="A51" s="442" t="str">
        <f>'3.1'!F5</f>
        <v>Březen</v>
      </c>
      <c r="B51" s="442"/>
      <c r="C51" s="164" t="s">
        <v>4</v>
      </c>
      <c r="D51" s="312">
        <v>129</v>
      </c>
      <c r="E51" s="308">
        <v>60025.551999999996</v>
      </c>
      <c r="F51" s="308">
        <v>654818.89375200006</v>
      </c>
      <c r="G51" s="309">
        <f>E51/$E$56</f>
        <v>0.74188765208850549</v>
      </c>
      <c r="H51" s="309">
        <f>(E51-I51)/I51</f>
        <v>-0.13465196216601988</v>
      </c>
      <c r="I51" s="312">
        <v>69365.792000000001</v>
      </c>
      <c r="J51" s="308">
        <v>753702.35106999998</v>
      </c>
      <c r="K51" s="309">
        <f>I51/$I$56</f>
        <v>0.73058813469112938</v>
      </c>
    </row>
    <row r="52" spans="1:11" ht="11.15" customHeight="1">
      <c r="A52" s="443"/>
      <c r="B52" s="443"/>
      <c r="C52" s="154" t="s">
        <v>5</v>
      </c>
      <c r="D52" s="313">
        <v>294</v>
      </c>
      <c r="E52" s="129">
        <v>3269.8230000000003</v>
      </c>
      <c r="F52" s="129">
        <v>35547.519060000006</v>
      </c>
      <c r="G52" s="307">
        <f t="shared" ref="G52:G55" si="16">E52/$E$56</f>
        <v>4.0413477717206062E-2</v>
      </c>
      <c r="H52" s="307">
        <f t="shared" ref="H52:H55" si="17">(E52-I52)/I52</f>
        <v>-0.11881164104749048</v>
      </c>
      <c r="I52" s="313">
        <v>3710.6970000000001</v>
      </c>
      <c r="J52" s="129">
        <v>40187.206629999957</v>
      </c>
      <c r="K52" s="307">
        <f t="shared" ref="K52:K55" si="18">I52/$I$56</f>
        <v>3.9082537969637399E-2</v>
      </c>
    </row>
    <row r="53" spans="1:11" ht="11.15" customHeight="1">
      <c r="A53" s="443"/>
      <c r="B53" s="443"/>
      <c r="C53" s="154" t="s">
        <v>6</v>
      </c>
      <c r="D53" s="313">
        <v>12766</v>
      </c>
      <c r="E53" s="129">
        <v>5941.8710000000001</v>
      </c>
      <c r="F53" s="129">
        <v>64575.381790000007</v>
      </c>
      <c r="G53" s="307">
        <f t="shared" si="16"/>
        <v>7.3438736976592575E-2</v>
      </c>
      <c r="H53" s="307">
        <f t="shared" si="17"/>
        <v>-0.18485294383951098</v>
      </c>
      <c r="I53" s="313">
        <v>7289.3239999999996</v>
      </c>
      <c r="J53" s="129">
        <v>78886.21149999999</v>
      </c>
      <c r="K53" s="307">
        <f t="shared" si="18"/>
        <v>7.6774062124444306E-2</v>
      </c>
    </row>
    <row r="54" spans="1:11" ht="11.15" customHeight="1">
      <c r="A54" s="443"/>
      <c r="B54" s="443"/>
      <c r="C54" s="154" t="s">
        <v>7</v>
      </c>
      <c r="D54" s="313">
        <v>203384</v>
      </c>
      <c r="E54" s="129">
        <v>11208.7</v>
      </c>
      <c r="F54" s="129">
        <v>121852.4</v>
      </c>
      <c r="G54" s="307">
        <f t="shared" si="16"/>
        <v>0.13853427163759249</v>
      </c>
      <c r="H54" s="307">
        <f t="shared" si="17"/>
        <v>-0.21023223697190038</v>
      </c>
      <c r="I54" s="313">
        <v>14192.4</v>
      </c>
      <c r="J54" s="129">
        <v>153706.9</v>
      </c>
      <c r="K54" s="307">
        <f t="shared" si="18"/>
        <v>0.14948000655410068</v>
      </c>
    </row>
    <row r="55" spans="1:11" ht="11.15" customHeight="1">
      <c r="A55" s="443"/>
      <c r="B55" s="443"/>
      <c r="C55" s="154" t="s">
        <v>93</v>
      </c>
      <c r="D55" s="313">
        <v>20</v>
      </c>
      <c r="E55" s="129">
        <v>463.27499999999998</v>
      </c>
      <c r="F55" s="129">
        <v>5016.5862299999999</v>
      </c>
      <c r="G55" s="307">
        <f t="shared" si="16"/>
        <v>5.7258615801034597E-3</v>
      </c>
      <c r="H55" s="307">
        <f t="shared" si="17"/>
        <v>0.19732196854178832</v>
      </c>
      <c r="I55" s="313">
        <v>386.92599999999999</v>
      </c>
      <c r="J55" s="129">
        <v>4190.4898300000004</v>
      </c>
      <c r="K55" s="307">
        <f t="shared" si="18"/>
        <v>4.0752586606882532E-3</v>
      </c>
    </row>
    <row r="56" spans="1:11" ht="11.15" customHeight="1">
      <c r="A56" s="444"/>
      <c r="B56" s="444"/>
      <c r="C56" s="318" t="s">
        <v>0</v>
      </c>
      <c r="D56" s="321">
        <v>216593</v>
      </c>
      <c r="E56" s="319">
        <v>80909.22099999999</v>
      </c>
      <c r="F56" s="319">
        <v>881810.78083200008</v>
      </c>
      <c r="G56" s="320">
        <f>SUM(G51:G55)</f>
        <v>1</v>
      </c>
      <c r="H56" s="320">
        <f t="shared" ref="H56" si="19">(E56-I56)/I56</f>
        <v>-0.14783187583726645</v>
      </c>
      <c r="I56" s="321">
        <v>94945.138999999996</v>
      </c>
      <c r="J56" s="319">
        <v>1030673.1590299999</v>
      </c>
      <c r="K56" s="320">
        <f>SUM(K51:K55)</f>
        <v>0.99999999999999989</v>
      </c>
    </row>
    <row r="57" spans="1:11" ht="11.15" customHeight="1">
      <c r="A57" s="511" t="str">
        <f>'3.1'!G5</f>
        <v>I. čtvrtletí</v>
      </c>
      <c r="B57" s="442"/>
      <c r="C57" s="164" t="s">
        <v>4</v>
      </c>
      <c r="D57" s="312">
        <f>D51</f>
        <v>129</v>
      </c>
      <c r="E57" s="308">
        <f>E39+E45+E51</f>
        <v>194410.47199999998</v>
      </c>
      <c r="F57" s="308">
        <f>F39+F45+F51</f>
        <v>2119795.3568740003</v>
      </c>
      <c r="G57" s="309">
        <f>E57/$E$62</f>
        <v>0.69941218220165124</v>
      </c>
      <c r="H57" s="309">
        <f>(E57-I57)/I57</f>
        <v>-5.9541064797105601E-2</v>
      </c>
      <c r="I57" s="312">
        <f>I39+I45+I51</f>
        <v>206718.72500000003</v>
      </c>
      <c r="J57" s="308">
        <f>J39+J45+J51</f>
        <v>2252104.7891299999</v>
      </c>
      <c r="K57" s="309">
        <f>I57/$I$62</f>
        <v>0.70158632422522049</v>
      </c>
    </row>
    <row r="58" spans="1:11" ht="11.15" customHeight="1">
      <c r="A58" s="443"/>
      <c r="B58" s="443"/>
      <c r="C58" s="154" t="s">
        <v>5</v>
      </c>
      <c r="D58" s="313">
        <f>D52</f>
        <v>294</v>
      </c>
      <c r="E58" s="129">
        <f t="shared" ref="E58:F59" si="20">E40+E46+E52</f>
        <v>12038.149000000001</v>
      </c>
      <c r="F58" s="129">
        <f t="shared" si="20"/>
        <v>131057.12579000002</v>
      </c>
      <c r="G58" s="307">
        <f t="shared" ref="G58:G61" si="21">E58/$E$62</f>
        <v>4.3308510982672931E-2</v>
      </c>
      <c r="H58" s="307">
        <f t="shared" ref="H58:H61" si="22">(E58-I58)/I58</f>
        <v>-3.2163635434746996E-3</v>
      </c>
      <c r="I58" s="313">
        <f t="shared" ref="I58:J58" si="23">I40+I46+I52</f>
        <v>12076.993</v>
      </c>
      <c r="J58" s="129">
        <f t="shared" si="23"/>
        <v>131089.77875999996</v>
      </c>
      <c r="K58" s="307">
        <f t="shared" ref="K58:K61" si="24">I58/$I$62</f>
        <v>4.098831940146553E-2</v>
      </c>
    </row>
    <row r="59" spans="1:11" ht="11.15" customHeight="1">
      <c r="A59" s="443"/>
      <c r="B59" s="443"/>
      <c r="C59" s="154" t="s">
        <v>6</v>
      </c>
      <c r="D59" s="313">
        <f>D53</f>
        <v>12766</v>
      </c>
      <c r="E59" s="129">
        <f>E41+E47+E53</f>
        <v>23622.686000000002</v>
      </c>
      <c r="F59" s="129">
        <f t="shared" si="20"/>
        <v>257111.98169000002</v>
      </c>
      <c r="G59" s="307">
        <f t="shared" si="21"/>
        <v>8.4985104941900452E-2</v>
      </c>
      <c r="H59" s="307">
        <f t="shared" si="22"/>
        <v>-6.2215595224909596E-2</v>
      </c>
      <c r="I59" s="313">
        <f>I41+I47+I53</f>
        <v>25189.89</v>
      </c>
      <c r="J59" s="129">
        <f t="shared" ref="J59" si="25">J41+J47+J53</f>
        <v>273255.18144999997</v>
      </c>
      <c r="K59" s="307">
        <f t="shared" si="24"/>
        <v>8.5492411646490352E-2</v>
      </c>
    </row>
    <row r="60" spans="1:11" ht="11.15" customHeight="1">
      <c r="A60" s="443"/>
      <c r="B60" s="443"/>
      <c r="C60" s="154" t="s">
        <v>7</v>
      </c>
      <c r="D60" s="313">
        <f>D54</f>
        <v>203384</v>
      </c>
      <c r="E60" s="129">
        <f t="shared" ref="E60:F61" si="26">E42+E48+E54</f>
        <v>46503</v>
      </c>
      <c r="F60" s="129">
        <f t="shared" si="26"/>
        <v>506302.70000000007</v>
      </c>
      <c r="G60" s="307">
        <f t="shared" si="21"/>
        <v>0.16729944829784371</v>
      </c>
      <c r="H60" s="307">
        <f t="shared" si="22"/>
        <v>-6.1650621591136011E-2</v>
      </c>
      <c r="I60" s="313">
        <f t="shared" ref="I60:J60" si="27">I42+I48+I54</f>
        <v>49558.299999999996</v>
      </c>
      <c r="J60" s="129">
        <f t="shared" si="27"/>
        <v>537944.1</v>
      </c>
      <c r="K60" s="307">
        <f t="shared" si="24"/>
        <v>0.16819678784227571</v>
      </c>
    </row>
    <row r="61" spans="1:11" ht="11.15" customHeight="1">
      <c r="A61" s="443"/>
      <c r="B61" s="443"/>
      <c r="C61" s="154" t="s">
        <v>93</v>
      </c>
      <c r="D61" s="313">
        <f>D55</f>
        <v>20</v>
      </c>
      <c r="E61" s="129">
        <f>E43+E49+E55</f>
        <v>1388.355</v>
      </c>
      <c r="F61" s="129">
        <f t="shared" si="26"/>
        <v>15049.396949999998</v>
      </c>
      <c r="G61" s="307">
        <f t="shared" si="21"/>
        <v>4.9947535759317209E-3</v>
      </c>
      <c r="H61" s="307">
        <f t="shared" si="22"/>
        <v>0.26117897349203661</v>
      </c>
      <c r="I61" s="313">
        <f>I43+I49+I55</f>
        <v>1100.8389999999999</v>
      </c>
      <c r="J61" s="129">
        <f t="shared" ref="J61" si="28">J43+J49+J55</f>
        <v>11946.905430000001</v>
      </c>
      <c r="K61" s="307">
        <f t="shared" si="24"/>
        <v>3.7361568845481574E-3</v>
      </c>
    </row>
    <row r="62" spans="1:11" ht="11.15" customHeight="1">
      <c r="A62" s="444"/>
      <c r="B62" s="444"/>
      <c r="C62" s="318" t="s">
        <v>0</v>
      </c>
      <c r="D62" s="321">
        <f>SUM(D57:D61)</f>
        <v>216593</v>
      </c>
      <c r="E62" s="319">
        <f>SUM(E57:E61)</f>
        <v>277962.66199999995</v>
      </c>
      <c r="F62" s="319">
        <f>SUM(F57:F61)</f>
        <v>3029316.5613040002</v>
      </c>
      <c r="G62" s="320">
        <f>SUM(G57:G61)</f>
        <v>1.0000000000000002</v>
      </c>
      <c r="H62" s="320">
        <f>(E62-I62)/I62</f>
        <v>-5.6617622305684692E-2</v>
      </c>
      <c r="I62" s="321">
        <f>SUM(I57:I61)</f>
        <v>294644.74699999997</v>
      </c>
      <c r="J62" s="319">
        <f>SUM(J57:J61)</f>
        <v>3206340.75477</v>
      </c>
      <c r="K62" s="320">
        <f>SUM(K57:K61)</f>
        <v>1.0000000000000002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9.453125" style="84" customWidth="1"/>
    <col min="2" max="2" width="3.81640625" style="84" customWidth="1"/>
    <col min="3" max="11" width="9.54296875" style="84" customWidth="1"/>
    <col min="12" max="13" width="9.1796875" style="84"/>
    <col min="14" max="14" width="11.1796875" style="84" customWidth="1"/>
    <col min="15" max="16384" width="9.1796875" style="84"/>
  </cols>
  <sheetData>
    <row r="1" spans="1:16" s="102" customFormat="1" ht="18">
      <c r="A1" s="515" t="s">
        <v>307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6" s="102" customFormat="1" ht="3" customHeigh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6" ht="3" customHeight="1">
      <c r="A3" s="535"/>
      <c r="B3" s="535"/>
      <c r="C3" s="535"/>
      <c r="D3" s="300"/>
      <c r="E3" s="300"/>
      <c r="F3" s="301"/>
      <c r="G3" s="302"/>
      <c r="H3" s="302"/>
      <c r="I3" s="302"/>
      <c r="J3" s="76"/>
      <c r="K3" s="76"/>
    </row>
    <row r="4" spans="1:16" ht="13" customHeight="1">
      <c r="A4" s="507" t="s">
        <v>46</v>
      </c>
      <c r="B4" s="507"/>
      <c r="C4" s="507"/>
      <c r="D4" s="501">
        <f>'3.1'!A4</f>
        <v>2024</v>
      </c>
      <c r="E4" s="353"/>
      <c r="F4" s="342"/>
      <c r="G4" s="342"/>
      <c r="H4" s="342"/>
      <c r="I4" s="501">
        <f>D4-1</f>
        <v>2023</v>
      </c>
      <c r="J4" s="502"/>
      <c r="K4" s="502"/>
    </row>
    <row r="5" spans="1:16" ht="25" customHeight="1">
      <c r="A5" s="354"/>
      <c r="B5" s="354"/>
      <c r="C5" s="354"/>
      <c r="D5" s="503"/>
      <c r="E5" s="355"/>
      <c r="F5" s="356"/>
      <c r="G5" s="356"/>
      <c r="H5" s="357"/>
      <c r="I5" s="503"/>
      <c r="J5" s="504"/>
      <c r="K5" s="504"/>
    </row>
    <row r="6" spans="1:16" ht="25" customHeight="1">
      <c r="A6" s="304"/>
      <c r="B6" s="272"/>
      <c r="C6" s="305"/>
      <c r="D6" s="364" t="s">
        <v>159</v>
      </c>
      <c r="E6" s="499" t="s">
        <v>60</v>
      </c>
      <c r="F6" s="499"/>
      <c r="G6" s="500" t="s">
        <v>33</v>
      </c>
      <c r="H6" s="500" t="s">
        <v>268</v>
      </c>
      <c r="I6" s="498" t="s">
        <v>60</v>
      </c>
      <c r="J6" s="499"/>
      <c r="K6" s="500" t="s">
        <v>33</v>
      </c>
    </row>
    <row r="7" spans="1:16" ht="25" customHeight="1">
      <c r="A7" s="304"/>
      <c r="B7" s="306"/>
      <c r="D7" s="365"/>
      <c r="E7" s="499"/>
      <c r="F7" s="499"/>
      <c r="G7" s="500"/>
      <c r="H7" s="500"/>
      <c r="I7" s="498"/>
      <c r="J7" s="499"/>
      <c r="K7" s="500"/>
    </row>
    <row r="8" spans="1:16" ht="15" customHeight="1">
      <c r="A8" s="508" t="s">
        <v>158</v>
      </c>
      <c r="B8" s="508"/>
      <c r="C8" s="323" t="s">
        <v>184</v>
      </c>
      <c r="D8" s="343"/>
      <c r="E8" s="219" t="s">
        <v>259</v>
      </c>
      <c r="F8" s="219" t="s">
        <v>260</v>
      </c>
      <c r="G8" s="487"/>
      <c r="H8" s="487"/>
      <c r="I8" s="221" t="s">
        <v>259</v>
      </c>
      <c r="J8" s="219" t="s">
        <v>260</v>
      </c>
      <c r="K8" s="487"/>
    </row>
    <row r="9" spans="1:16" ht="11.15" customHeight="1">
      <c r="A9" s="442" t="str">
        <f>'3.1'!D5</f>
        <v>Leden</v>
      </c>
      <c r="B9" s="442"/>
      <c r="C9" s="164" t="s">
        <v>4</v>
      </c>
      <c r="D9" s="312">
        <v>89</v>
      </c>
      <c r="E9" s="308">
        <v>11053.61219</v>
      </c>
      <c r="F9" s="308">
        <v>120439.04746</v>
      </c>
      <c r="G9" s="309">
        <f>E9/$E$14</f>
        <v>0.25822200539077322</v>
      </c>
      <c r="H9" s="309">
        <f>(E9-I9)/I9</f>
        <v>0.10248288754671368</v>
      </c>
      <c r="I9" s="312">
        <v>10026.107720000002</v>
      </c>
      <c r="J9" s="308">
        <v>109241.1424</v>
      </c>
      <c r="K9" s="309">
        <f>I9/$I$14</f>
        <v>0.27626046013855121</v>
      </c>
    </row>
    <row r="10" spans="1:16" ht="11.15" customHeight="1">
      <c r="A10" s="443"/>
      <c r="B10" s="443"/>
      <c r="C10" s="154" t="s">
        <v>5</v>
      </c>
      <c r="D10" s="313">
        <v>312</v>
      </c>
      <c r="E10" s="129">
        <v>5214.191569999999</v>
      </c>
      <c r="F10" s="129">
        <v>56813.973919999982</v>
      </c>
      <c r="G10" s="307">
        <f>E10/$E$14</f>
        <v>0.12180805519078593</v>
      </c>
      <c r="H10" s="307">
        <f>(E10-I10)/I10</f>
        <v>0.16888232455780858</v>
      </c>
      <c r="I10" s="313">
        <v>4460.8353299999999</v>
      </c>
      <c r="J10" s="129">
        <v>48606.927429999996</v>
      </c>
      <c r="K10" s="307">
        <f>I10/$I$14</f>
        <v>0.12291434076753623</v>
      </c>
      <c r="L10" s="93"/>
      <c r="N10" s="93"/>
      <c r="O10" s="93"/>
      <c r="P10" s="93"/>
    </row>
    <row r="11" spans="1:16" ht="11.15" customHeight="1">
      <c r="A11" s="443"/>
      <c r="B11" s="443"/>
      <c r="C11" s="154" t="s">
        <v>6</v>
      </c>
      <c r="D11" s="313">
        <v>10689</v>
      </c>
      <c r="E11" s="129">
        <v>10144.476769999999</v>
      </c>
      <c r="F11" s="129">
        <v>110534.22641</v>
      </c>
      <c r="G11" s="307">
        <f>E11/$E$14</f>
        <v>0.23698381037461688</v>
      </c>
      <c r="H11" s="307">
        <f t="shared" ref="H11:H13" si="0">(E11-I11)/I11</f>
        <v>0.20556681750101494</v>
      </c>
      <c r="I11" s="313">
        <v>8414.6947500000006</v>
      </c>
      <c r="J11" s="129">
        <v>91672.97666</v>
      </c>
      <c r="K11" s="307">
        <f>I11/$I$14</f>
        <v>0.23185941229449017</v>
      </c>
      <c r="L11" s="93"/>
      <c r="N11" s="93"/>
      <c r="O11" s="93"/>
      <c r="P11" s="93"/>
    </row>
    <row r="12" spans="1:16" ht="11.15" customHeight="1">
      <c r="A12" s="443"/>
      <c r="B12" s="443"/>
      <c r="C12" s="154" t="s">
        <v>7</v>
      </c>
      <c r="D12" s="313">
        <v>107018</v>
      </c>
      <c r="E12" s="129">
        <v>16239.46207</v>
      </c>
      <c r="F12" s="129">
        <v>176944.25407999998</v>
      </c>
      <c r="G12" s="307">
        <f>E12/$E$14</f>
        <v>0.37936797402540295</v>
      </c>
      <c r="H12" s="307">
        <f t="shared" si="0"/>
        <v>0.22838242391845215</v>
      </c>
      <c r="I12" s="313">
        <v>13220.20061</v>
      </c>
      <c r="J12" s="129">
        <v>144001.43704999998</v>
      </c>
      <c r="K12" s="307">
        <f>I12/$I$14</f>
        <v>0.36427084224889567</v>
      </c>
      <c r="L12" s="93"/>
      <c r="N12" s="93"/>
      <c r="O12" s="93"/>
      <c r="P12" s="93"/>
    </row>
    <row r="13" spans="1:16" ht="11.15" customHeight="1">
      <c r="A13" s="443"/>
      <c r="B13" s="443"/>
      <c r="C13" s="154" t="s">
        <v>93</v>
      </c>
      <c r="D13" s="313">
        <v>15</v>
      </c>
      <c r="E13" s="129">
        <v>154.881</v>
      </c>
      <c r="F13" s="129">
        <v>1687.5638599999997</v>
      </c>
      <c r="G13" s="307">
        <f>E13/$E$14</f>
        <v>3.6181550184210278E-3</v>
      </c>
      <c r="H13" s="307">
        <f t="shared" si="0"/>
        <v>-9.1020599800457694E-2</v>
      </c>
      <c r="I13" s="313">
        <v>170.39</v>
      </c>
      <c r="J13" s="129">
        <v>1857.28836</v>
      </c>
      <c r="K13" s="307">
        <f>I13/$I$14</f>
        <v>4.6949445505267053E-3</v>
      </c>
      <c r="L13" s="93"/>
      <c r="N13" s="93"/>
      <c r="O13" s="93"/>
      <c r="P13" s="93"/>
    </row>
    <row r="14" spans="1:16" ht="11.15" customHeight="1">
      <c r="A14" s="444"/>
      <c r="B14" s="444"/>
      <c r="C14" s="318" t="s">
        <v>0</v>
      </c>
      <c r="D14" s="321">
        <v>118123</v>
      </c>
      <c r="E14" s="319">
        <v>42806.623599999999</v>
      </c>
      <c r="F14" s="319">
        <v>466419.06572999997</v>
      </c>
      <c r="G14" s="320">
        <f>SUM(G9:G13)</f>
        <v>0.99999999999999989</v>
      </c>
      <c r="H14" s="320">
        <f>(E14-I14)/I14</f>
        <v>0.17949835199992875</v>
      </c>
      <c r="I14" s="321">
        <v>36292.228410000003</v>
      </c>
      <c r="J14" s="319">
        <v>395379.77189999993</v>
      </c>
      <c r="K14" s="320">
        <f>SUM(K9:K13)</f>
        <v>1</v>
      </c>
      <c r="L14" s="93"/>
    </row>
    <row r="15" spans="1:16" ht="11.15" customHeight="1">
      <c r="A15" s="442" t="str">
        <f>'3.1'!E5</f>
        <v>Únor</v>
      </c>
      <c r="B15" s="442"/>
      <c r="C15" s="164" t="s">
        <v>4</v>
      </c>
      <c r="D15" s="312">
        <v>89</v>
      </c>
      <c r="E15" s="308">
        <v>9148.8190799999993</v>
      </c>
      <c r="F15" s="308">
        <v>99613.714350000009</v>
      </c>
      <c r="G15" s="309">
        <f>E15/$E$20</f>
        <v>0.31636522920175275</v>
      </c>
      <c r="H15" s="309">
        <f>(E15-I15)/I15</f>
        <v>-4.5491125362489601E-2</v>
      </c>
      <c r="I15" s="312">
        <v>9584.8444400000008</v>
      </c>
      <c r="J15" s="308">
        <v>103922.30547999998</v>
      </c>
      <c r="K15" s="309">
        <f>I15/$I$20</f>
        <v>0.2747095945868942</v>
      </c>
      <c r="L15" s="93"/>
      <c r="M15" s="93"/>
    </row>
    <row r="16" spans="1:16" ht="11.15" customHeight="1">
      <c r="A16" s="443"/>
      <c r="B16" s="443"/>
      <c r="C16" s="154" t="s">
        <v>5</v>
      </c>
      <c r="D16" s="313">
        <v>312</v>
      </c>
      <c r="E16" s="129">
        <v>3477.7440999999999</v>
      </c>
      <c r="F16" s="129">
        <v>37867.913140000004</v>
      </c>
      <c r="G16" s="307">
        <f>E16/$E$20</f>
        <v>0.12026003571398018</v>
      </c>
      <c r="H16" s="307">
        <f>(E16-I16)/I16</f>
        <v>-0.18982521054085436</v>
      </c>
      <c r="I16" s="313">
        <v>4292.5849400000006</v>
      </c>
      <c r="J16" s="129">
        <v>46542.327989999983</v>
      </c>
      <c r="K16" s="307">
        <f>I16/$I$20</f>
        <v>0.12302904611326251</v>
      </c>
      <c r="L16" s="97"/>
      <c r="M16" s="93"/>
    </row>
    <row r="17" spans="1:20" ht="11.15" customHeight="1">
      <c r="A17" s="443"/>
      <c r="B17" s="443"/>
      <c r="C17" s="154" t="s">
        <v>6</v>
      </c>
      <c r="D17" s="313">
        <v>10679</v>
      </c>
      <c r="E17" s="129">
        <v>6240.7527700000001</v>
      </c>
      <c r="F17" s="129">
        <v>67949.778260000006</v>
      </c>
      <c r="G17" s="307">
        <f>E17/$E$20</f>
        <v>0.2158045932713453</v>
      </c>
      <c r="H17" s="307">
        <f t="shared" ref="H17:H20" si="1">(E17-I17)/I17</f>
        <v>-0.2139656297850053</v>
      </c>
      <c r="I17" s="313">
        <v>7939.5418399999999</v>
      </c>
      <c r="J17" s="129">
        <v>86080.516259999989</v>
      </c>
      <c r="K17" s="307">
        <f>I17/$I$20</f>
        <v>0.22755385689619853</v>
      </c>
      <c r="L17" s="93"/>
      <c r="M17" s="93"/>
      <c r="N17" s="93"/>
      <c r="O17" s="93"/>
    </row>
    <row r="18" spans="1:20" ht="11.15" customHeight="1">
      <c r="A18" s="443"/>
      <c r="B18" s="443"/>
      <c r="C18" s="154" t="s">
        <v>7</v>
      </c>
      <c r="D18" s="313">
        <v>106922</v>
      </c>
      <c r="E18" s="129">
        <v>9901.2224499999993</v>
      </c>
      <c r="F18" s="129">
        <v>107803.47697999999</v>
      </c>
      <c r="G18" s="307">
        <f>E18/$E$20</f>
        <v>0.3423832608756528</v>
      </c>
      <c r="H18" s="307">
        <f t="shared" si="1"/>
        <v>-0.23327473534254495</v>
      </c>
      <c r="I18" s="313">
        <v>12913.650960000001</v>
      </c>
      <c r="J18" s="129">
        <v>140003.35381</v>
      </c>
      <c r="K18" s="307">
        <f>I18/$I$20</f>
        <v>0.37011595149667942</v>
      </c>
      <c r="L18" s="93"/>
      <c r="M18" s="93"/>
      <c r="N18" s="93"/>
      <c r="O18" s="93"/>
    </row>
    <row r="19" spans="1:20" ht="11.15" customHeight="1">
      <c r="A19" s="443"/>
      <c r="B19" s="443"/>
      <c r="C19" s="154" t="s">
        <v>93</v>
      </c>
      <c r="D19" s="313">
        <v>15</v>
      </c>
      <c r="E19" s="129">
        <v>149.99700000000001</v>
      </c>
      <c r="F19" s="129">
        <v>1633.32854</v>
      </c>
      <c r="G19" s="307">
        <f>E19/$E$20</f>
        <v>5.1868809372690441E-3</v>
      </c>
      <c r="H19" s="307">
        <f t="shared" si="1"/>
        <v>-6.3706672159697317E-2</v>
      </c>
      <c r="I19" s="313">
        <v>160.203</v>
      </c>
      <c r="J19" s="129">
        <v>1736.96848</v>
      </c>
      <c r="K19" s="307">
        <f>I19/$I$20</f>
        <v>4.5915509069653941E-3</v>
      </c>
      <c r="L19" s="93"/>
      <c r="M19" s="93"/>
      <c r="N19" s="93"/>
      <c r="O19" s="93"/>
    </row>
    <row r="20" spans="1:20" ht="11.15" customHeight="1">
      <c r="A20" s="444"/>
      <c r="B20" s="444"/>
      <c r="C20" s="318" t="s">
        <v>0</v>
      </c>
      <c r="D20" s="321">
        <v>118017</v>
      </c>
      <c r="E20" s="319">
        <v>28918.535399999997</v>
      </c>
      <c r="F20" s="319">
        <v>314868.21127000003</v>
      </c>
      <c r="G20" s="320">
        <f>SUM(G15:G19)</f>
        <v>1</v>
      </c>
      <c r="H20" s="320">
        <f t="shared" si="1"/>
        <v>-0.17117078054730039</v>
      </c>
      <c r="I20" s="321">
        <v>34890.82518</v>
      </c>
      <c r="J20" s="319">
        <v>378285.47201999993</v>
      </c>
      <c r="K20" s="320">
        <f>SUM(K15:K19)</f>
        <v>1.0000000000000002</v>
      </c>
      <c r="L20" s="93"/>
      <c r="M20" s="93"/>
      <c r="N20" s="93"/>
      <c r="O20" s="93"/>
    </row>
    <row r="21" spans="1:20" ht="11.15" customHeight="1">
      <c r="A21" s="442" t="str">
        <f>'3.1'!F5</f>
        <v>Březen</v>
      </c>
      <c r="B21" s="442"/>
      <c r="C21" s="164" t="s">
        <v>4</v>
      </c>
      <c r="D21" s="312">
        <v>88</v>
      </c>
      <c r="E21" s="308">
        <v>9225.8838099999994</v>
      </c>
      <c r="F21" s="308">
        <v>100321.82368000002</v>
      </c>
      <c r="G21" s="309">
        <f>E21/$E$26</f>
        <v>0.35025178887868302</v>
      </c>
      <c r="H21" s="309">
        <f>(E21-I21)/I21</f>
        <v>-1.4904153980154648E-2</v>
      </c>
      <c r="I21" s="312">
        <v>9365.4681899999996</v>
      </c>
      <c r="J21" s="308">
        <v>101566.93921999997</v>
      </c>
      <c r="K21" s="309">
        <f>I21/$I$26</f>
        <v>0.30845041857432098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5" customHeight="1">
      <c r="A22" s="443"/>
      <c r="B22" s="443"/>
      <c r="C22" s="154" t="s">
        <v>5</v>
      </c>
      <c r="D22" s="313">
        <v>308</v>
      </c>
      <c r="E22" s="129">
        <v>3140.6264899999996</v>
      </c>
      <c r="F22" s="129">
        <v>34156.680579999986</v>
      </c>
      <c r="G22" s="307">
        <f>E22/$E$26</f>
        <v>0.11923085841705168</v>
      </c>
      <c r="H22" s="307">
        <f t="shared" ref="H22:H26" si="2">(E22-I22)/I22</f>
        <v>-0.15499413438069343</v>
      </c>
      <c r="I22" s="313">
        <v>3716.6919399999997</v>
      </c>
      <c r="J22" s="129">
        <v>40316.475489999997</v>
      </c>
      <c r="K22" s="307">
        <f>I22/$I$26</f>
        <v>0.12240874255799537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5" customHeight="1">
      <c r="A23" s="443"/>
      <c r="B23" s="443"/>
      <c r="C23" s="154" t="s">
        <v>6</v>
      </c>
      <c r="D23" s="313">
        <v>10668</v>
      </c>
      <c r="E23" s="129">
        <v>5485.7711599999993</v>
      </c>
      <c r="F23" s="129">
        <v>59653.678620000006</v>
      </c>
      <c r="G23" s="307">
        <f>E23/$E$26</f>
        <v>0.20826201605600841</v>
      </c>
      <c r="H23" s="307">
        <f t="shared" si="2"/>
        <v>-0.17010979044696109</v>
      </c>
      <c r="I23" s="313">
        <v>6610.2372299999997</v>
      </c>
      <c r="J23" s="129">
        <v>71672.174320000006</v>
      </c>
      <c r="K23" s="307">
        <f>I23/$I$26</f>
        <v>0.21770726237115753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5" customHeight="1">
      <c r="A24" s="443"/>
      <c r="B24" s="443"/>
      <c r="C24" s="154" t="s">
        <v>7</v>
      </c>
      <c r="D24" s="313">
        <v>106801</v>
      </c>
      <c r="E24" s="129">
        <v>8329.7861400000002</v>
      </c>
      <c r="F24" s="129">
        <v>90572.46332000001</v>
      </c>
      <c r="G24" s="307">
        <f>E24/$E$26</f>
        <v>0.31623230430774962</v>
      </c>
      <c r="H24" s="307">
        <f t="shared" si="2"/>
        <v>-0.20545004562131086</v>
      </c>
      <c r="I24" s="313">
        <v>10483.65316</v>
      </c>
      <c r="J24" s="129">
        <v>113629.51388</v>
      </c>
      <c r="K24" s="307">
        <f>I24/$I$26</f>
        <v>0.34527768818250643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5" customHeight="1">
      <c r="A25" s="443"/>
      <c r="B25" s="443"/>
      <c r="C25" s="154" t="s">
        <v>93</v>
      </c>
      <c r="D25" s="313">
        <v>15</v>
      </c>
      <c r="E25" s="129">
        <v>158.65100000000001</v>
      </c>
      <c r="F25" s="129">
        <v>1725.6361400000001</v>
      </c>
      <c r="G25" s="307">
        <f>E25/$E$26</f>
        <v>6.0230323405072181E-3</v>
      </c>
      <c r="H25" s="307">
        <f t="shared" si="2"/>
        <v>-0.15119495374804046</v>
      </c>
      <c r="I25" s="313">
        <v>186.911</v>
      </c>
      <c r="J25" s="129">
        <v>2028.2064300000002</v>
      </c>
      <c r="K25" s="307">
        <f>I25/$I$26</f>
        <v>6.155888314019772E-3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5" customHeight="1">
      <c r="A26" s="444"/>
      <c r="B26" s="444"/>
      <c r="C26" s="318" t="s">
        <v>0</v>
      </c>
      <c r="D26" s="321">
        <v>117880</v>
      </c>
      <c r="E26" s="319">
        <v>26340.7186</v>
      </c>
      <c r="F26" s="319">
        <v>286430.28234000009</v>
      </c>
      <c r="G26" s="320">
        <f>SUM(G21:G25)</f>
        <v>1</v>
      </c>
      <c r="H26" s="320">
        <f t="shared" si="2"/>
        <v>-0.13247202244585254</v>
      </c>
      <c r="I26" s="321">
        <v>30362.961519999997</v>
      </c>
      <c r="J26" s="319">
        <v>329213.30933999998</v>
      </c>
      <c r="K26" s="320">
        <f>SUM(K21:K25)</f>
        <v>1.0000000000000002</v>
      </c>
    </row>
    <row r="27" spans="1:20" ht="11.15" customHeight="1">
      <c r="A27" s="511" t="str">
        <f>'3.1'!G5</f>
        <v>I. čtvrtletí</v>
      </c>
      <c r="B27" s="442"/>
      <c r="C27" s="164" t="s">
        <v>4</v>
      </c>
      <c r="D27" s="312">
        <f>D21</f>
        <v>88</v>
      </c>
      <c r="E27" s="308">
        <f>E9+E15+E21</f>
        <v>29428.31508</v>
      </c>
      <c r="F27" s="308">
        <f>F9+F15+F21</f>
        <v>320374.58549000003</v>
      </c>
      <c r="G27" s="309">
        <f>E27/$E$32</f>
        <v>0.3000872046445644</v>
      </c>
      <c r="H27" s="309">
        <f>(E27-I27)/I27</f>
        <v>1.5595257265792667E-2</v>
      </c>
      <c r="I27" s="312">
        <f>I9+I15+I21</f>
        <v>28976.42035</v>
      </c>
      <c r="J27" s="308">
        <f>J9+J15+J21</f>
        <v>314730.38709999993</v>
      </c>
      <c r="K27" s="309">
        <f>I27/$I$32</f>
        <v>0.28535260904734877</v>
      </c>
    </row>
    <row r="28" spans="1:20" ht="11.15" customHeight="1">
      <c r="A28" s="443"/>
      <c r="B28" s="443"/>
      <c r="C28" s="154" t="s">
        <v>5</v>
      </c>
      <c r="D28" s="313">
        <f>D22</f>
        <v>308</v>
      </c>
      <c r="E28" s="129">
        <f t="shared" ref="E28:F31" si="3">E10+E16+E22</f>
        <v>11832.562159999998</v>
      </c>
      <c r="F28" s="129">
        <f t="shared" si="3"/>
        <v>128838.56763999996</v>
      </c>
      <c r="G28" s="307">
        <f>E28/$E$32</f>
        <v>0.12065932054637524</v>
      </c>
      <c r="H28" s="307">
        <f t="shared" ref="H28:H31" si="4">(E28-I28)/I28</f>
        <v>-5.1126248045205172E-2</v>
      </c>
      <c r="I28" s="313">
        <f t="shared" ref="I28:J28" si="5">I10+I16+I22</f>
        <v>12470.112209999999</v>
      </c>
      <c r="J28" s="129">
        <f t="shared" si="5"/>
        <v>135465.73090999998</v>
      </c>
      <c r="K28" s="307">
        <f>I28/$I$32</f>
        <v>0.12280257572384023</v>
      </c>
    </row>
    <row r="29" spans="1:20" ht="11.15" customHeight="1">
      <c r="A29" s="443"/>
      <c r="B29" s="443"/>
      <c r="C29" s="154" t="s">
        <v>6</v>
      </c>
      <c r="D29" s="313">
        <f>D23</f>
        <v>10668</v>
      </c>
      <c r="E29" s="129">
        <f t="shared" si="3"/>
        <v>21871.000700000001</v>
      </c>
      <c r="F29" s="129">
        <f t="shared" si="3"/>
        <v>238137.68329000002</v>
      </c>
      <c r="G29" s="307">
        <f>E29/$E$32</f>
        <v>0.22302355554507375</v>
      </c>
      <c r="H29" s="307">
        <f t="shared" si="4"/>
        <v>-4.7615857805881082E-2</v>
      </c>
      <c r="I29" s="313">
        <f t="shared" ref="I29:J29" si="6">I11+I17+I23</f>
        <v>22964.473819999999</v>
      </c>
      <c r="J29" s="129">
        <f t="shared" si="6"/>
        <v>249425.66723999998</v>
      </c>
      <c r="K29" s="307">
        <f>I29/$I$32</f>
        <v>0.22614844900731626</v>
      </c>
    </row>
    <row r="30" spans="1:20" ht="11.15" customHeight="1">
      <c r="A30" s="443"/>
      <c r="B30" s="443"/>
      <c r="C30" s="154" t="s">
        <v>7</v>
      </c>
      <c r="D30" s="313">
        <f>D24</f>
        <v>106801</v>
      </c>
      <c r="E30" s="129">
        <f t="shared" si="3"/>
        <v>34470.470659999999</v>
      </c>
      <c r="F30" s="129">
        <f t="shared" si="3"/>
        <v>375320.19438</v>
      </c>
      <c r="G30" s="307">
        <f>E30/$E$32</f>
        <v>0.35150320890005476</v>
      </c>
      <c r="H30" s="307">
        <f t="shared" si="4"/>
        <v>-5.8634090056960624E-2</v>
      </c>
      <c r="I30" s="313">
        <f t="shared" ref="I30:J30" si="7">I12+I18+I24</f>
        <v>36617.504730000001</v>
      </c>
      <c r="J30" s="129">
        <f t="shared" si="7"/>
        <v>397634.30473999993</v>
      </c>
      <c r="K30" s="307">
        <f>I30/$I$32</f>
        <v>0.36060011503488337</v>
      </c>
    </row>
    <row r="31" spans="1:20" ht="11.15" customHeight="1">
      <c r="A31" s="443"/>
      <c r="B31" s="443"/>
      <c r="C31" s="154" t="s">
        <v>93</v>
      </c>
      <c r="D31" s="313">
        <f>D25</f>
        <v>15</v>
      </c>
      <c r="E31" s="129">
        <f>E13+E19+E25</f>
        <v>463.52900000000005</v>
      </c>
      <c r="F31" s="129">
        <f t="shared" si="3"/>
        <v>5046.5285399999993</v>
      </c>
      <c r="G31" s="307">
        <f>E31/$E$32</f>
        <v>4.72671036393193E-3</v>
      </c>
      <c r="H31" s="307">
        <f t="shared" si="4"/>
        <v>-0.10429871073460276</v>
      </c>
      <c r="I31" s="313">
        <f>I13+I19+I25</f>
        <v>517.50399999999991</v>
      </c>
      <c r="J31" s="129">
        <f t="shared" ref="J31" si="8">J13+J19+J25</f>
        <v>5622.4632700000002</v>
      </c>
      <c r="K31" s="307">
        <f>I31/$I$32</f>
        <v>5.0962511866114325E-3</v>
      </c>
    </row>
    <row r="32" spans="1:20" ht="11.15" customHeight="1">
      <c r="A32" s="444"/>
      <c r="B32" s="444"/>
      <c r="C32" s="318" t="s">
        <v>0</v>
      </c>
      <c r="D32" s="321">
        <f>SUM(D27:D31)</f>
        <v>117880</v>
      </c>
      <c r="E32" s="319">
        <f>SUM(E27:E31)</f>
        <v>98065.877599999993</v>
      </c>
      <c r="F32" s="319">
        <f>SUM(F27:F31)</f>
        <v>1067717.5593400002</v>
      </c>
      <c r="G32" s="320">
        <f>SUM(G27:G31)</f>
        <v>1</v>
      </c>
      <c r="H32" s="320">
        <f>(E32-I32)/I32</f>
        <v>-3.4271532036290464E-2</v>
      </c>
      <c r="I32" s="321">
        <f>SUM(I27:I31)</f>
        <v>101546.01510999999</v>
      </c>
      <c r="J32" s="319">
        <f>SUM(J27:J31)</f>
        <v>1102878.5532599997</v>
      </c>
      <c r="K32" s="320">
        <f>SUM(K27:K31)</f>
        <v>1.0000000000000002</v>
      </c>
    </row>
    <row r="33" spans="1:11" ht="10" customHeight="1">
      <c r="A33" s="358"/>
      <c r="B33" s="359"/>
      <c r="C33" s="360"/>
      <c r="D33" s="361"/>
      <c r="E33" s="361"/>
      <c r="F33" s="361"/>
      <c r="G33" s="362"/>
      <c r="H33" s="363"/>
      <c r="I33" s="361"/>
      <c r="J33" s="361"/>
      <c r="K33" s="362"/>
    </row>
    <row r="34" spans="1:11" ht="13" customHeight="1">
      <c r="A34" s="536" t="s">
        <v>47</v>
      </c>
      <c r="B34" s="536"/>
      <c r="C34" s="536"/>
      <c r="D34" s="501">
        <f>D4</f>
        <v>2024</v>
      </c>
      <c r="E34" s="353"/>
      <c r="F34" s="342"/>
      <c r="G34" s="342"/>
      <c r="H34" s="342"/>
      <c r="I34" s="501">
        <f>D34-1</f>
        <v>2023</v>
      </c>
      <c r="J34" s="502"/>
      <c r="K34" s="502"/>
    </row>
    <row r="35" spans="1:11" ht="25" customHeight="1">
      <c r="A35" s="304"/>
      <c r="B35" s="272"/>
      <c r="C35" s="150"/>
      <c r="D35" s="503"/>
      <c r="E35" s="355"/>
      <c r="F35" s="356"/>
      <c r="G35" s="356"/>
      <c r="H35" s="357"/>
      <c r="I35" s="503"/>
      <c r="J35" s="504"/>
      <c r="K35" s="504"/>
    </row>
    <row r="36" spans="1:11" ht="25" customHeight="1">
      <c r="A36" s="130"/>
      <c r="B36" s="131"/>
      <c r="C36" s="352"/>
      <c r="D36" s="364" t="s">
        <v>159</v>
      </c>
      <c r="E36" s="499" t="s">
        <v>60</v>
      </c>
      <c r="F36" s="499"/>
      <c r="G36" s="500" t="s">
        <v>33</v>
      </c>
      <c r="H36" s="500" t="s">
        <v>268</v>
      </c>
      <c r="I36" s="498" t="s">
        <v>60</v>
      </c>
      <c r="J36" s="499"/>
      <c r="K36" s="500" t="s">
        <v>33</v>
      </c>
    </row>
    <row r="37" spans="1:11" ht="25" customHeight="1">
      <c r="A37" s="130"/>
      <c r="B37" s="306"/>
      <c r="C37" s="306"/>
      <c r="D37" s="365"/>
      <c r="E37" s="499"/>
      <c r="F37" s="499"/>
      <c r="G37" s="500"/>
      <c r="H37" s="500"/>
      <c r="I37" s="498"/>
      <c r="J37" s="499"/>
      <c r="K37" s="500"/>
    </row>
    <row r="38" spans="1:11" ht="15" customHeight="1">
      <c r="A38" s="537" t="s">
        <v>158</v>
      </c>
      <c r="B38" s="537"/>
      <c r="C38" s="366" t="s">
        <v>184</v>
      </c>
      <c r="D38" s="343"/>
      <c r="E38" s="219" t="s">
        <v>259</v>
      </c>
      <c r="F38" s="219" t="s">
        <v>260</v>
      </c>
      <c r="G38" s="487"/>
      <c r="H38" s="487"/>
      <c r="I38" s="221" t="s">
        <v>259</v>
      </c>
      <c r="J38" s="219" t="s">
        <v>260</v>
      </c>
      <c r="K38" s="487"/>
    </row>
    <row r="39" spans="1:11" ht="11.15" customHeight="1">
      <c r="A39" s="442" t="str">
        <f>'3.1'!D5</f>
        <v>Leden</v>
      </c>
      <c r="B39" s="442"/>
      <c r="C39" s="164" t="s">
        <v>4</v>
      </c>
      <c r="D39" s="312">
        <v>71</v>
      </c>
      <c r="E39" s="308">
        <v>14996.671</v>
      </c>
      <c r="F39" s="308">
        <v>163403.79808999997</v>
      </c>
      <c r="G39" s="309">
        <f>E39/$E$44</f>
        <v>0.27658112265222717</v>
      </c>
      <c r="H39" s="309">
        <f>(E39-I39)/I39</f>
        <v>0.17616032208222204</v>
      </c>
      <c r="I39" s="312">
        <v>12750.532999999999</v>
      </c>
      <c r="J39" s="308">
        <v>138831.25814000002</v>
      </c>
      <c r="K39" s="309">
        <f>I39/$I$44</f>
        <v>0.28358086498556578</v>
      </c>
    </row>
    <row r="40" spans="1:11" ht="11.15" customHeight="1">
      <c r="A40" s="443"/>
      <c r="B40" s="443"/>
      <c r="C40" s="154" t="s">
        <v>5</v>
      </c>
      <c r="D40" s="313">
        <v>298</v>
      </c>
      <c r="E40" s="129">
        <v>4589.4500000000007</v>
      </c>
      <c r="F40" s="129">
        <v>50006.89117999997</v>
      </c>
      <c r="G40" s="307">
        <f t="shared" ref="G40" si="9">E40/$E$44</f>
        <v>8.4642467208640118E-2</v>
      </c>
      <c r="H40" s="307">
        <f>(E40-I40)/I40</f>
        <v>0.21465210073980928</v>
      </c>
      <c r="I40" s="313">
        <v>3778.4070000000002</v>
      </c>
      <c r="J40" s="129">
        <v>41140.822869999982</v>
      </c>
      <c r="K40" s="307">
        <f t="shared" ref="K40:K43" si="10">I40/$I$44</f>
        <v>8.4034441958427672E-2</v>
      </c>
    </row>
    <row r="41" spans="1:11" ht="11.15" customHeight="1">
      <c r="A41" s="443"/>
      <c r="B41" s="443"/>
      <c r="C41" s="154" t="s">
        <v>6</v>
      </c>
      <c r="D41" s="313">
        <v>10659</v>
      </c>
      <c r="E41" s="129">
        <v>11405.581</v>
      </c>
      <c r="F41" s="129">
        <v>124275.73851000001</v>
      </c>
      <c r="G41" s="307">
        <f>E41/$E$44</f>
        <v>0.21035124378476475</v>
      </c>
      <c r="H41" s="307">
        <f t="shared" ref="H41:H43" si="11">(E41-I41)/I41</f>
        <v>0.2017614048249238</v>
      </c>
      <c r="I41" s="313">
        <v>9490.7199999999993</v>
      </c>
      <c r="J41" s="129">
        <v>103337.6556</v>
      </c>
      <c r="K41" s="307">
        <f t="shared" si="10"/>
        <v>0.21108032008825112</v>
      </c>
    </row>
    <row r="42" spans="1:11" ht="11.15" customHeight="1">
      <c r="A42" s="443"/>
      <c r="B42" s="443"/>
      <c r="C42" s="154" t="s">
        <v>7</v>
      </c>
      <c r="D42" s="313">
        <v>141752</v>
      </c>
      <c r="E42" s="129">
        <v>23026.5</v>
      </c>
      <c r="F42" s="129">
        <v>250896.9</v>
      </c>
      <c r="G42" s="307">
        <f>E42/$E$44</f>
        <v>0.42467393068445047</v>
      </c>
      <c r="H42" s="307">
        <f t="shared" si="11"/>
        <v>0.22817825426034083</v>
      </c>
      <c r="I42" s="313">
        <v>18748.5</v>
      </c>
      <c r="J42" s="129">
        <v>204139.1</v>
      </c>
      <c r="K42" s="307">
        <f t="shared" si="10"/>
        <v>0.41697988995298318</v>
      </c>
    </row>
    <row r="43" spans="1:11" ht="11.15" customHeight="1">
      <c r="A43" s="443"/>
      <c r="B43" s="443"/>
      <c r="C43" s="154" t="s">
        <v>93</v>
      </c>
      <c r="D43" s="313">
        <v>11</v>
      </c>
      <c r="E43" s="129">
        <v>203.398</v>
      </c>
      <c r="F43" s="129">
        <v>2216.2281300000004</v>
      </c>
      <c r="G43" s="307">
        <f>E43/$E$44</f>
        <v>3.7512356699175237E-3</v>
      </c>
      <c r="H43" s="307">
        <f t="shared" si="11"/>
        <v>4.6070767331824719E-2</v>
      </c>
      <c r="I43" s="313">
        <v>194.44</v>
      </c>
      <c r="J43" s="129">
        <v>2117.1243499999996</v>
      </c>
      <c r="K43" s="307">
        <f t="shared" si="10"/>
        <v>4.3244830147722776E-3</v>
      </c>
    </row>
    <row r="44" spans="1:11" ht="11.15" customHeight="1">
      <c r="A44" s="444"/>
      <c r="B44" s="444"/>
      <c r="C44" s="318" t="s">
        <v>0</v>
      </c>
      <c r="D44" s="321">
        <v>152791</v>
      </c>
      <c r="E44" s="319">
        <v>54221.599999999999</v>
      </c>
      <c r="F44" s="319">
        <v>590799.55590999988</v>
      </c>
      <c r="G44" s="320">
        <f>SUM(G39:G43)</f>
        <v>1</v>
      </c>
      <c r="H44" s="320">
        <f>(E44-I44)/I44</f>
        <v>0.20592670352693127</v>
      </c>
      <c r="I44" s="321">
        <v>44962.6</v>
      </c>
      <c r="J44" s="319">
        <v>489565.96096</v>
      </c>
      <c r="K44" s="320">
        <f>SUM(K39:K43)</f>
        <v>1</v>
      </c>
    </row>
    <row r="45" spans="1:11" ht="11.15" customHeight="1">
      <c r="A45" s="442" t="str">
        <f>'3.1'!E5</f>
        <v>Únor</v>
      </c>
      <c r="B45" s="442"/>
      <c r="C45" s="164" t="s">
        <v>4</v>
      </c>
      <c r="D45" s="312">
        <v>71</v>
      </c>
      <c r="E45" s="308">
        <v>12566.17</v>
      </c>
      <c r="F45" s="308">
        <v>136811.22651000001</v>
      </c>
      <c r="G45" s="309">
        <f>E45/$E$50</f>
        <v>0.3428714481388711</v>
      </c>
      <c r="H45" s="309">
        <f>(E45-I45)/I45</f>
        <v>-1.6618346025457718E-2</v>
      </c>
      <c r="I45" s="312">
        <v>12778.528</v>
      </c>
      <c r="J45" s="308">
        <v>138525.44242000006</v>
      </c>
      <c r="K45" s="309">
        <f>I45/$I$50</f>
        <v>0.28994268547805213</v>
      </c>
    </row>
    <row r="46" spans="1:11" ht="11.15" customHeight="1">
      <c r="A46" s="443"/>
      <c r="B46" s="443"/>
      <c r="C46" s="154" t="s">
        <v>5</v>
      </c>
      <c r="D46" s="313">
        <v>298</v>
      </c>
      <c r="E46" s="129">
        <v>2877.1779999999999</v>
      </c>
      <c r="F46" s="129">
        <v>31324.279559999999</v>
      </c>
      <c r="G46" s="307">
        <f t="shared" ref="G46:G49" si="12">E46/$E$50</f>
        <v>7.8504603026483086E-2</v>
      </c>
      <c r="H46" s="307">
        <f>(E46-I46)/I46</f>
        <v>-0.24274985077015235</v>
      </c>
      <c r="I46" s="313">
        <v>3799.5079999999998</v>
      </c>
      <c r="J46" s="129">
        <v>41188.424400000004</v>
      </c>
      <c r="K46" s="307">
        <f t="shared" ref="K46:K49" si="13">I46/$I$50</f>
        <v>8.6210207702745012E-2</v>
      </c>
    </row>
    <row r="47" spans="1:11" ht="11.15" customHeight="1">
      <c r="A47" s="443"/>
      <c r="B47" s="443"/>
      <c r="C47" s="154" t="s">
        <v>6</v>
      </c>
      <c r="D47" s="313">
        <v>10650</v>
      </c>
      <c r="E47" s="129">
        <v>7005.8860000000004</v>
      </c>
      <c r="F47" s="129">
        <v>76275.019910000003</v>
      </c>
      <c r="G47" s="307">
        <f t="shared" si="12"/>
        <v>0.19115755065511952</v>
      </c>
      <c r="H47" s="307">
        <f t="shared" ref="H47:H49" si="14">(E47-I47)/I47</f>
        <v>-0.21701341526178117</v>
      </c>
      <c r="I47" s="313">
        <v>8947.6450000000004</v>
      </c>
      <c r="J47" s="129">
        <v>96996.992810000011</v>
      </c>
      <c r="K47" s="307">
        <f t="shared" si="13"/>
        <v>0.20302058421785873</v>
      </c>
    </row>
    <row r="48" spans="1:11" ht="11.15" customHeight="1">
      <c r="A48" s="443"/>
      <c r="B48" s="443"/>
      <c r="C48" s="154" t="s">
        <v>7</v>
      </c>
      <c r="D48" s="313">
        <v>141618</v>
      </c>
      <c r="E48" s="129">
        <v>14012.1</v>
      </c>
      <c r="F48" s="129">
        <v>152553.4</v>
      </c>
      <c r="G48" s="307">
        <f t="shared" si="12"/>
        <v>0.38232405088158733</v>
      </c>
      <c r="H48" s="307">
        <f t="shared" si="14"/>
        <v>-0.23702981726308453</v>
      </c>
      <c r="I48" s="313">
        <v>18365.2</v>
      </c>
      <c r="J48" s="129">
        <v>199087.6</v>
      </c>
      <c r="K48" s="307">
        <f t="shared" si="13"/>
        <v>0.41670334856577557</v>
      </c>
    </row>
    <row r="49" spans="1:11" ht="11.15" customHeight="1">
      <c r="A49" s="443"/>
      <c r="B49" s="443"/>
      <c r="C49" s="154" t="s">
        <v>93</v>
      </c>
      <c r="D49" s="313">
        <v>11</v>
      </c>
      <c r="E49" s="129">
        <v>188.46600000000001</v>
      </c>
      <c r="F49" s="129">
        <v>2051.87032</v>
      </c>
      <c r="G49" s="307">
        <f t="shared" si="12"/>
        <v>5.14234729793887E-3</v>
      </c>
      <c r="H49" s="307">
        <f t="shared" si="14"/>
        <v>3.7128753735162612E-2</v>
      </c>
      <c r="I49" s="313">
        <v>181.71899999999999</v>
      </c>
      <c r="J49" s="129">
        <v>1969.9163099999998</v>
      </c>
      <c r="K49" s="307">
        <f t="shared" si="13"/>
        <v>4.1231740355685848E-3</v>
      </c>
    </row>
    <row r="50" spans="1:11" ht="11.15" customHeight="1">
      <c r="A50" s="444"/>
      <c r="B50" s="444"/>
      <c r="C50" s="318" t="s">
        <v>0</v>
      </c>
      <c r="D50" s="321">
        <v>152648</v>
      </c>
      <c r="E50" s="319">
        <v>36649.800000000003</v>
      </c>
      <c r="F50" s="319">
        <v>399015.79629999999</v>
      </c>
      <c r="G50" s="320">
        <f>SUM(G45:G49)</f>
        <v>0.99999999999999978</v>
      </c>
      <c r="H50" s="320">
        <f t="shared" ref="H50" si="15">(E50-I50)/I50</f>
        <v>-0.16842210352917678</v>
      </c>
      <c r="I50" s="321">
        <v>44072.6</v>
      </c>
      <c r="J50" s="319">
        <v>477768.37594000006</v>
      </c>
      <c r="K50" s="320">
        <f>SUM(K45:K49)</f>
        <v>1</v>
      </c>
    </row>
    <row r="51" spans="1:11" ht="11.15" customHeight="1">
      <c r="A51" s="442" t="str">
        <f>'3.1'!F5</f>
        <v>Březen</v>
      </c>
      <c r="B51" s="442"/>
      <c r="C51" s="164" t="s">
        <v>4</v>
      </c>
      <c r="D51" s="312">
        <v>72</v>
      </c>
      <c r="E51" s="308">
        <v>11913.020999999999</v>
      </c>
      <c r="F51" s="308">
        <v>129509.41178000002</v>
      </c>
      <c r="G51" s="309">
        <f>E51/$E$56</f>
        <v>0.36467501339251546</v>
      </c>
      <c r="H51" s="309">
        <f>(E51-I51)/I51</f>
        <v>-0.11855036455088555</v>
      </c>
      <c r="I51" s="312">
        <v>13515.26</v>
      </c>
      <c r="J51" s="308">
        <v>146373.45749999999</v>
      </c>
      <c r="K51" s="309">
        <f>I51/$I$56</f>
        <v>0.34427994273574375</v>
      </c>
    </row>
    <row r="52" spans="1:11" ht="11.15" customHeight="1">
      <c r="A52" s="443"/>
      <c r="B52" s="443"/>
      <c r="C52" s="154" t="s">
        <v>5</v>
      </c>
      <c r="D52" s="313">
        <v>299</v>
      </c>
      <c r="E52" s="129">
        <v>2608.7389999999996</v>
      </c>
      <c r="F52" s="129">
        <v>28360.473149999994</v>
      </c>
      <c r="G52" s="307">
        <f t="shared" ref="G52:G55" si="16">E52/$E$56</f>
        <v>7.9857319966327375E-2</v>
      </c>
      <c r="H52" s="307">
        <f t="shared" ref="H52:H55" si="17">(E52-I52)/I52</f>
        <v>-0.17635111348958657</v>
      </c>
      <c r="I52" s="313">
        <v>3167.2949999999996</v>
      </c>
      <c r="J52" s="129">
        <v>34302.37930000003</v>
      </c>
      <c r="K52" s="307">
        <f t="shared" ref="K52:K55" si="18">I52/$I$56</f>
        <v>8.0681847128890413E-2</v>
      </c>
    </row>
    <row r="53" spans="1:11" ht="11.15" customHeight="1">
      <c r="A53" s="443"/>
      <c r="B53" s="443"/>
      <c r="C53" s="154" t="s">
        <v>6</v>
      </c>
      <c r="D53" s="313">
        <v>10650</v>
      </c>
      <c r="E53" s="129">
        <v>6179.4030000000002</v>
      </c>
      <c r="F53" s="129">
        <v>67178.218299999993</v>
      </c>
      <c r="G53" s="307">
        <f t="shared" si="16"/>
        <v>0.18916057243437667</v>
      </c>
      <c r="H53" s="307">
        <f t="shared" si="17"/>
        <v>-0.17225043049145336</v>
      </c>
      <c r="I53" s="313">
        <v>7465.3049999999994</v>
      </c>
      <c r="J53" s="129">
        <v>80851.124859999996</v>
      </c>
      <c r="K53" s="307">
        <f t="shared" si="18"/>
        <v>0.19016687639785407</v>
      </c>
    </row>
    <row r="54" spans="1:11" ht="10.5" customHeight="1">
      <c r="A54" s="443"/>
      <c r="B54" s="443"/>
      <c r="C54" s="154" t="s">
        <v>7</v>
      </c>
      <c r="D54" s="313">
        <v>141464</v>
      </c>
      <c r="E54" s="129">
        <v>11762.6</v>
      </c>
      <c r="F54" s="129">
        <v>127874.5</v>
      </c>
      <c r="G54" s="307">
        <f t="shared" si="16"/>
        <v>0.36007040636718451</v>
      </c>
      <c r="H54" s="307">
        <f t="shared" si="17"/>
        <v>-0.21023513139695707</v>
      </c>
      <c r="I54" s="313">
        <v>14893.8</v>
      </c>
      <c r="J54" s="129">
        <v>161303.29999999999</v>
      </c>
      <c r="K54" s="307">
        <f t="shared" si="18"/>
        <v>0.37939607607383208</v>
      </c>
    </row>
    <row r="55" spans="1:11" ht="11.15" customHeight="1">
      <c r="A55" s="443"/>
      <c r="B55" s="443"/>
      <c r="C55" s="154" t="s">
        <v>93</v>
      </c>
      <c r="D55" s="313">
        <v>11</v>
      </c>
      <c r="E55" s="129">
        <v>203.73699999999999</v>
      </c>
      <c r="F55" s="129">
        <v>2214.87131</v>
      </c>
      <c r="G55" s="307">
        <f t="shared" si="16"/>
        <v>6.2366878395959287E-3</v>
      </c>
      <c r="H55" s="307">
        <f t="shared" si="17"/>
        <v>-5.2121522285288935E-2</v>
      </c>
      <c r="I55" s="313">
        <v>214.94</v>
      </c>
      <c r="J55" s="129">
        <v>2327.8330699999997</v>
      </c>
      <c r="K55" s="307">
        <f t="shared" si="18"/>
        <v>5.4752576636794819E-3</v>
      </c>
    </row>
    <row r="56" spans="1:11" ht="11.15" customHeight="1">
      <c r="A56" s="444"/>
      <c r="B56" s="444"/>
      <c r="C56" s="318" t="s">
        <v>0</v>
      </c>
      <c r="D56" s="321">
        <v>152496</v>
      </c>
      <c r="E56" s="319">
        <v>32667.5</v>
      </c>
      <c r="F56" s="319">
        <v>355137.47454000002</v>
      </c>
      <c r="G56" s="320">
        <f>SUM(G51:G55)</f>
        <v>0.99999999999999989</v>
      </c>
      <c r="H56" s="320">
        <f>(E56-I56)/I56</f>
        <v>-0.16784693529240954</v>
      </c>
      <c r="I56" s="321">
        <v>39256.600000000006</v>
      </c>
      <c r="J56" s="319">
        <v>425158.09473000001</v>
      </c>
      <c r="K56" s="320">
        <f>SUM(K51:K55)</f>
        <v>0.99999999999999978</v>
      </c>
    </row>
    <row r="57" spans="1:11" ht="11.15" customHeight="1">
      <c r="A57" s="511" t="str">
        <f>'3.1'!G5</f>
        <v>I. čtvrtletí</v>
      </c>
      <c r="B57" s="442"/>
      <c r="C57" s="164" t="s">
        <v>4</v>
      </c>
      <c r="D57" s="312">
        <f>D51</f>
        <v>72</v>
      </c>
      <c r="E57" s="308">
        <f>E39+E45+E51</f>
        <v>39475.862000000001</v>
      </c>
      <c r="F57" s="308">
        <f>F39+F45+F51</f>
        <v>429724.43638000003</v>
      </c>
      <c r="G57" s="309">
        <f>E57/$E$62</f>
        <v>0.31954195803912777</v>
      </c>
      <c r="H57" s="309">
        <f>(E57-I57)/I57</f>
        <v>1.1052593282387915E-2</v>
      </c>
      <c r="I57" s="312">
        <f>I39+I45+I51</f>
        <v>39044.321000000004</v>
      </c>
      <c r="J57" s="308">
        <f>J39+J45+J51</f>
        <v>423730.15806000005</v>
      </c>
      <c r="K57" s="309">
        <f>I57/$I$62</f>
        <v>0.30433995781491885</v>
      </c>
    </row>
    <row r="58" spans="1:11" ht="11.15" customHeight="1">
      <c r="A58" s="443"/>
      <c r="B58" s="443"/>
      <c r="C58" s="154" t="s">
        <v>5</v>
      </c>
      <c r="D58" s="313">
        <f>D52</f>
        <v>299</v>
      </c>
      <c r="E58" s="129">
        <f t="shared" ref="E58:F59" si="19">E40+E46+E52</f>
        <v>10075.367</v>
      </c>
      <c r="F58" s="129">
        <f t="shared" si="19"/>
        <v>109691.64388999996</v>
      </c>
      <c r="G58" s="307">
        <f t="shared" ref="G58:G61" si="20">E58/$E$62</f>
        <v>8.1556230466678925E-2</v>
      </c>
      <c r="H58" s="307">
        <f t="shared" ref="H58:H61" si="21">(E58-I58)/I58</f>
        <v>-6.2338753733058638E-2</v>
      </c>
      <c r="I58" s="313">
        <f t="shared" ref="I58:J58" si="22">I40+I46+I52</f>
        <v>10745.21</v>
      </c>
      <c r="J58" s="129">
        <f t="shared" si="22"/>
        <v>116631.62657000002</v>
      </c>
      <c r="K58" s="307">
        <f t="shared" ref="K58:K61" si="23">I58/$I$62</f>
        <v>8.375601558322511E-2</v>
      </c>
    </row>
    <row r="59" spans="1:11" ht="11.15" customHeight="1">
      <c r="A59" s="443"/>
      <c r="B59" s="443"/>
      <c r="C59" s="154" t="s">
        <v>6</v>
      </c>
      <c r="D59" s="313">
        <f>D53</f>
        <v>10650</v>
      </c>
      <c r="E59" s="129">
        <f>E41+E47+E53</f>
        <v>24590.870000000003</v>
      </c>
      <c r="F59" s="129">
        <f t="shared" si="19"/>
        <v>267728.97672000004</v>
      </c>
      <c r="G59" s="307">
        <f t="shared" si="20"/>
        <v>0.19905365840233322</v>
      </c>
      <c r="H59" s="307">
        <f t="shared" si="21"/>
        <v>-5.0680077378996713E-2</v>
      </c>
      <c r="I59" s="313">
        <f>I41+I47+I53</f>
        <v>25903.67</v>
      </c>
      <c r="J59" s="129">
        <f t="shared" ref="J59" si="24">J41+J47+J53</f>
        <v>281185.77327000001</v>
      </c>
      <c r="K59" s="307">
        <f t="shared" si="23"/>
        <v>0.20191212532679406</v>
      </c>
    </row>
    <row r="60" spans="1:11" ht="11.15" customHeight="1">
      <c r="A60" s="443"/>
      <c r="B60" s="443"/>
      <c r="C60" s="154" t="s">
        <v>7</v>
      </c>
      <c r="D60" s="313">
        <f>D54</f>
        <v>141464</v>
      </c>
      <c r="E60" s="129">
        <f t="shared" ref="E60:F61" si="25">E42+E48+E54</f>
        <v>48801.2</v>
      </c>
      <c r="F60" s="129">
        <f t="shared" si="25"/>
        <v>531324.80000000005</v>
      </c>
      <c r="G60" s="307">
        <f t="shared" si="20"/>
        <v>0.39502699149822446</v>
      </c>
      <c r="H60" s="307">
        <f t="shared" si="21"/>
        <v>-6.1650723453348127E-2</v>
      </c>
      <c r="I60" s="313">
        <f t="shared" ref="I60:J60" si="26">I42+I48+I54</f>
        <v>52007.5</v>
      </c>
      <c r="J60" s="129">
        <f t="shared" si="26"/>
        <v>564530</v>
      </c>
      <c r="K60" s="307">
        <f t="shared" si="23"/>
        <v>0.40538444390054545</v>
      </c>
    </row>
    <row r="61" spans="1:11" ht="11.15" customHeight="1">
      <c r="A61" s="443"/>
      <c r="B61" s="443"/>
      <c r="C61" s="154" t="s">
        <v>93</v>
      </c>
      <c r="D61" s="313">
        <f>D55</f>
        <v>11</v>
      </c>
      <c r="E61" s="129">
        <f>E43+E49+E55</f>
        <v>595.601</v>
      </c>
      <c r="F61" s="129">
        <f t="shared" si="25"/>
        <v>6482.96976</v>
      </c>
      <c r="G61" s="307">
        <f t="shared" si="20"/>
        <v>4.8211615936356892E-3</v>
      </c>
      <c r="H61" s="307">
        <f t="shared" si="21"/>
        <v>7.6163214622255613E-3</v>
      </c>
      <c r="I61" s="313">
        <f>I43+I49+I55</f>
        <v>591.09899999999993</v>
      </c>
      <c r="J61" s="129">
        <f t="shared" ref="J61" si="27">J43+J49+J55</f>
        <v>6414.8737299999993</v>
      </c>
      <c r="K61" s="307">
        <f t="shared" si="23"/>
        <v>4.6074573745165312E-3</v>
      </c>
    </row>
    <row r="62" spans="1:11" ht="11.15" customHeight="1">
      <c r="A62" s="444"/>
      <c r="B62" s="444"/>
      <c r="C62" s="318" t="s">
        <v>0</v>
      </c>
      <c r="D62" s="321">
        <f>SUM(D57:D61)</f>
        <v>152496</v>
      </c>
      <c r="E62" s="319">
        <f>SUM(E57:E61)</f>
        <v>123538.9</v>
      </c>
      <c r="F62" s="319">
        <f>SUM(F57:F61)</f>
        <v>1344952.8267500002</v>
      </c>
      <c r="G62" s="320">
        <f>SUM(G57:G61)</f>
        <v>1.0000000000000002</v>
      </c>
      <c r="H62" s="320">
        <f>(E62-I62)/I62</f>
        <v>-3.7047574357831202E-2</v>
      </c>
      <c r="I62" s="321">
        <f>SUM(I57:I61)</f>
        <v>128291.8</v>
      </c>
      <c r="J62" s="319">
        <f>SUM(J57:J61)</f>
        <v>1392492.4316300002</v>
      </c>
      <c r="K62" s="320">
        <f>SUM(K57:K61)</f>
        <v>1</v>
      </c>
    </row>
    <row r="63" spans="1:11" ht="15" customHeight="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</row>
    <row r="64" spans="1:11" ht="15" customHeight="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</row>
    <row r="65" spans="1:11" ht="15" customHeight="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</row>
    <row r="66" spans="1:11" ht="15" customHeight="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</row>
    <row r="67" spans="1:11" ht="15" customHeight="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</row>
    <row r="68" spans="1:11" ht="15" customHeight="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15" customHeight="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ht="15" customHeigh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</row>
    <row r="71" spans="1:11" ht="15" customHeigh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</row>
    <row r="72" spans="1:11" ht="15" customHeigh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</row>
    <row r="73" spans="1:11" ht="15" customHeigh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</row>
    <row r="74" spans="1:11" ht="15" customHeigh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</row>
    <row r="75" spans="1:11" ht="15" customHeigh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</row>
    <row r="76" spans="1:11" ht="15" customHeigh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</row>
    <row r="77" spans="1:11" ht="15" customHeigh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</row>
    <row r="78" spans="1:11" ht="15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</row>
    <row r="79" spans="1:11" ht="15" customHeight="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</row>
    <row r="80" spans="1:11" ht="15" customHeight="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</row>
    <row r="81" spans="1:11" ht="15" customHeight="1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</row>
    <row r="82" spans="1:11" ht="15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</row>
    <row r="83" spans="1:11" ht="15" customHeight="1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</row>
    <row r="84" spans="1:11" ht="15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</row>
    <row r="85" spans="1:11" ht="15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</row>
    <row r="86" spans="1:11" ht="15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</row>
    <row r="87" spans="1:11" ht="15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</row>
    <row r="88" spans="1:11" ht="15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</row>
    <row r="89" spans="1:11" ht="15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</row>
    <row r="90" spans="1:11" ht="15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</row>
    <row r="91" spans="1:11" ht="15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</row>
    <row r="92" spans="1:11" ht="1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</row>
    <row r="93" spans="1:11" ht="15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</row>
    <row r="94" spans="1:11" ht="15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</row>
    <row r="95" spans="1:11" ht="15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</row>
    <row r="96" spans="1:11" ht="15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1:11" ht="15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</row>
    <row r="98" spans="1:11" ht="15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</row>
    <row r="99" spans="1:11" ht="15" customHeight="1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</row>
    <row r="100" spans="1:11" ht="15" customHeight="1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</row>
    <row r="101" spans="1:11" ht="15" customHeight="1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</row>
    <row r="102" spans="1:11" ht="15" customHeight="1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</row>
    <row r="103" spans="1:11" ht="15" customHeight="1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I34:K35"/>
    <mergeCell ref="A51:B56"/>
    <mergeCell ref="I36:J37"/>
    <mergeCell ref="K36:K38"/>
    <mergeCell ref="A57:B62"/>
    <mergeCell ref="A39:B44"/>
    <mergeCell ref="A45:B50"/>
    <mergeCell ref="A27:B32"/>
    <mergeCell ref="H36:H38"/>
    <mergeCell ref="A38:B38"/>
    <mergeCell ref="E36:F37"/>
    <mergeCell ref="G36:G38"/>
    <mergeCell ref="A34:C34"/>
    <mergeCell ref="D34:D35"/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16.26953125" style="84" customWidth="1"/>
    <col min="2" max="2" width="10.26953125" style="84" customWidth="1"/>
    <col min="3" max="3" width="10" style="84" customWidth="1"/>
    <col min="4" max="4" width="10.7265625" style="84" customWidth="1"/>
    <col min="5" max="6" width="8.54296875" style="84" customWidth="1"/>
    <col min="7" max="10" width="6.7265625" style="84" customWidth="1"/>
    <col min="11" max="11" width="8.1796875" style="84" customWidth="1"/>
    <col min="12" max="13" width="9.1796875" style="84"/>
    <col min="14" max="14" width="11.1796875" style="84" customWidth="1"/>
    <col min="15" max="16384" width="9.1796875" style="84"/>
  </cols>
  <sheetData>
    <row r="1" spans="1:11" s="104" customFormat="1" ht="18">
      <c r="A1" s="515" t="str">
        <f>"6.8 Spotřeba zemního plynu a teplota ovzduší podle krajů: "&amp;LOWER(A3)</f>
        <v>6.8 Spotřeba zemního plynu a teplota ovzduší podle krajů: leden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49999999999999" customHeight="1">
      <c r="A3" s="483" t="str">
        <f>'3.1'!D5</f>
        <v>Leden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</row>
    <row r="4" spans="1:11" ht="20.149999999999999" customHeight="1">
      <c r="A4" s="128"/>
      <c r="B4" s="252">
        <f>'3.1'!A4</f>
        <v>2024</v>
      </c>
      <c r="C4" s="538" t="s">
        <v>60</v>
      </c>
      <c r="D4" s="539"/>
      <c r="E4" s="539"/>
      <c r="F4" s="540"/>
      <c r="G4" s="541" t="s">
        <v>186</v>
      </c>
      <c r="H4" s="541"/>
      <c r="I4" s="541"/>
      <c r="J4" s="541"/>
      <c r="K4" s="541"/>
    </row>
    <row r="5" spans="1:11" ht="49.5" customHeight="1">
      <c r="A5" s="272"/>
      <c r="B5" s="500" t="s">
        <v>185</v>
      </c>
      <c r="C5" s="345"/>
      <c r="D5" s="346"/>
      <c r="E5" s="500" t="s">
        <v>277</v>
      </c>
      <c r="F5" s="52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87"/>
      <c r="C6" s="221" t="s">
        <v>259</v>
      </c>
      <c r="D6" s="219" t="s">
        <v>260</v>
      </c>
      <c r="E6" s="487"/>
      <c r="F6" s="52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5" customHeight="1">
      <c r="A7" s="154" t="s">
        <v>8</v>
      </c>
      <c r="B7" s="129">
        <f>'6.1'!D14</f>
        <v>102432</v>
      </c>
      <c r="C7" s="313">
        <f>'6.1'!E14</f>
        <v>35627.365400000002</v>
      </c>
      <c r="D7" s="129">
        <f>'6.1'!F14</f>
        <v>388181.77879999997</v>
      </c>
      <c r="E7" s="307">
        <f>D7/$D$21</f>
        <v>3.4242463252951015E-2</v>
      </c>
      <c r="F7" s="332">
        <f>'6.1'!H14</f>
        <v>0.13903643304255869</v>
      </c>
      <c r="G7" s="326">
        <v>-0.64193548387096777</v>
      </c>
      <c r="H7" s="327">
        <v>8.1999999999999993</v>
      </c>
      <c r="I7" s="327">
        <v>-11.4</v>
      </c>
      <c r="J7" s="327">
        <v>-1.899999999999999</v>
      </c>
      <c r="K7" s="326">
        <v>1.2580645161290311</v>
      </c>
    </row>
    <row r="8" spans="1:11" ht="14.15" customHeight="1">
      <c r="A8" s="154" t="s">
        <v>9</v>
      </c>
      <c r="B8" s="129">
        <f>'6.1'!D44</f>
        <v>373539</v>
      </c>
      <c r="C8" s="313">
        <f>'6.1'!E44</f>
        <v>142922.29999999999</v>
      </c>
      <c r="D8" s="129">
        <f>'6.1'!F44</f>
        <v>1557281.35445</v>
      </c>
      <c r="E8" s="307">
        <f t="shared" ref="E8:E20" si="0">D8/$D$21</f>
        <v>0.137371593584598</v>
      </c>
      <c r="F8" s="332">
        <f>'6.1'!H44</f>
        <v>0.17425279385835901</v>
      </c>
      <c r="G8" s="326">
        <v>0.50967741935483879</v>
      </c>
      <c r="H8" s="327">
        <v>7.7</v>
      </c>
      <c r="I8" s="327">
        <v>-8.9</v>
      </c>
      <c r="J8" s="327">
        <v>-1.7000000000000008</v>
      </c>
      <c r="K8" s="326">
        <v>2.2096774193548399</v>
      </c>
    </row>
    <row r="9" spans="1:11" ht="14.15" customHeight="1">
      <c r="A9" s="154" t="s">
        <v>10</v>
      </c>
      <c r="B9" s="129">
        <f>'6.2'!D14</f>
        <v>82120</v>
      </c>
      <c r="C9" s="313">
        <f>'6.2'!E14</f>
        <v>27212.799999999999</v>
      </c>
      <c r="D9" s="129">
        <f>'6.2'!F14</f>
        <v>296509.99501000001</v>
      </c>
      <c r="E9" s="307">
        <f t="shared" si="0"/>
        <v>2.6155871199440787E-2</v>
      </c>
      <c r="F9" s="332">
        <f>'6.2'!H14</f>
        <v>0.18952139912838606</v>
      </c>
      <c r="G9" s="326">
        <v>-0.89032258064516134</v>
      </c>
      <c r="H9" s="327">
        <v>6.6</v>
      </c>
      <c r="I9" s="327">
        <v>-7.8</v>
      </c>
      <c r="J9" s="327">
        <v>-2</v>
      </c>
      <c r="K9" s="326">
        <v>1.1096774193548387</v>
      </c>
    </row>
    <row r="10" spans="1:11" ht="14.15" customHeight="1">
      <c r="A10" s="154" t="s">
        <v>92</v>
      </c>
      <c r="B10" s="129">
        <f>'6.2'!D44</f>
        <v>115179</v>
      </c>
      <c r="C10" s="313">
        <f>'6.2'!E44</f>
        <v>45162.6</v>
      </c>
      <c r="D10" s="129">
        <f>'6.2'!F44</f>
        <v>492093.33069999999</v>
      </c>
      <c r="E10" s="307">
        <f t="shared" si="0"/>
        <v>4.340875516003747E-2</v>
      </c>
      <c r="F10" s="332">
        <f>'6.2'!H44</f>
        <v>0.2110825371201169</v>
      </c>
      <c r="G10" s="326">
        <v>-0.86451612903225805</v>
      </c>
      <c r="H10" s="327">
        <v>7.1</v>
      </c>
      <c r="I10" s="327">
        <v>-9.1999999999999993</v>
      </c>
      <c r="J10" s="327">
        <v>-2.2999999999999985</v>
      </c>
      <c r="K10" s="326">
        <v>1.4354838709677404</v>
      </c>
    </row>
    <row r="11" spans="1:11" ht="14.15" customHeight="1">
      <c r="A11" s="154" t="s">
        <v>11</v>
      </c>
      <c r="B11" s="129">
        <f>'6.3'!D14</f>
        <v>90954</v>
      </c>
      <c r="C11" s="313">
        <f>'6.3'!E14</f>
        <v>43539.142</v>
      </c>
      <c r="D11" s="129">
        <f>'6.3'!F14</f>
        <v>474398.70804</v>
      </c>
      <c r="E11" s="307">
        <f t="shared" si="0"/>
        <v>4.1847869257347889E-2</v>
      </c>
      <c r="F11" s="332">
        <f>'6.3'!H14</f>
        <v>0.21858368341949033</v>
      </c>
      <c r="G11" s="326">
        <v>-0.54838709677419339</v>
      </c>
      <c r="H11" s="327">
        <v>7.2</v>
      </c>
      <c r="I11" s="327">
        <v>-9.9</v>
      </c>
      <c r="J11" s="327">
        <v>-1.7000000000000008</v>
      </c>
      <c r="K11" s="326">
        <v>1.1516129032258076</v>
      </c>
    </row>
    <row r="12" spans="1:11" ht="14.15" customHeight="1">
      <c r="A12" s="154" t="s">
        <v>12</v>
      </c>
      <c r="B12" s="129">
        <f>'6.3'!D44</f>
        <v>368738</v>
      </c>
      <c r="C12" s="313">
        <f>'6.3'!E44</f>
        <v>109104.401</v>
      </c>
      <c r="D12" s="129">
        <f>'6.3'!F44</f>
        <v>1188570.5760600001</v>
      </c>
      <c r="E12" s="307">
        <f t="shared" si="0"/>
        <v>0.10484671485634754</v>
      </c>
      <c r="F12" s="332">
        <f>'6.3'!H44</f>
        <v>0.19528236152325018</v>
      </c>
      <c r="G12" s="326">
        <v>-0.26774193548387121</v>
      </c>
      <c r="H12" s="327">
        <v>8</v>
      </c>
      <c r="I12" s="327">
        <v>-14.6</v>
      </c>
      <c r="J12" s="327">
        <v>-1.899999999999999</v>
      </c>
      <c r="K12" s="326">
        <v>1.6322580645161278</v>
      </c>
    </row>
    <row r="13" spans="1:11" ht="14.15" customHeight="1">
      <c r="A13" s="154" t="s">
        <v>13</v>
      </c>
      <c r="B13" s="129">
        <f>'6.4'!D14</f>
        <v>182580</v>
      </c>
      <c r="C13" s="313">
        <f>'6.4'!E14</f>
        <v>64485.3</v>
      </c>
      <c r="D13" s="129">
        <f>'6.4'!F14</f>
        <v>702631.13861000014</v>
      </c>
      <c r="E13" s="307">
        <f t="shared" si="0"/>
        <v>6.1980809657292607E-2</v>
      </c>
      <c r="F13" s="332">
        <f>'6.4'!H14</f>
        <v>0.1606258369209948</v>
      </c>
      <c r="G13" s="326">
        <v>-0.53225806451612923</v>
      </c>
      <c r="H13" s="327">
        <v>7.7</v>
      </c>
      <c r="I13" s="327">
        <v>-11.4</v>
      </c>
      <c r="J13" s="327">
        <v>-2.5</v>
      </c>
      <c r="K13" s="326">
        <v>1.9677419354838708</v>
      </c>
    </row>
    <row r="14" spans="1:11" ht="14.15" customHeight="1">
      <c r="A14" s="154" t="s">
        <v>14</v>
      </c>
      <c r="B14" s="129">
        <f>'6.4'!D44</f>
        <v>133474</v>
      </c>
      <c r="C14" s="313">
        <f>'6.4'!E44</f>
        <v>45997.1</v>
      </c>
      <c r="D14" s="129">
        <f>'6.4'!F44</f>
        <v>501184.45275</v>
      </c>
      <c r="E14" s="307">
        <f t="shared" si="0"/>
        <v>4.4210705250759291E-2</v>
      </c>
      <c r="F14" s="332">
        <f>'6.4'!H44</f>
        <v>0.16717839670327428</v>
      </c>
      <c r="G14" s="326">
        <v>-0.23870967741935459</v>
      </c>
      <c r="H14" s="327">
        <v>8.1</v>
      </c>
      <c r="I14" s="327">
        <v>-9.5</v>
      </c>
      <c r="J14" s="327">
        <v>-1.6000000000000008</v>
      </c>
      <c r="K14" s="326">
        <v>1.3612903225806461</v>
      </c>
    </row>
    <row r="15" spans="1:11" ht="14.15" customHeight="1">
      <c r="A15" s="154" t="s">
        <v>15</v>
      </c>
      <c r="B15" s="129">
        <f>'6.5'!D14</f>
        <v>156324</v>
      </c>
      <c r="C15" s="313">
        <f>'6.5'!E14</f>
        <v>47776.4</v>
      </c>
      <c r="D15" s="129">
        <f>'6.5'!F14</f>
        <v>520572.39757000003</v>
      </c>
      <c r="E15" s="307">
        <f t="shared" si="0"/>
        <v>4.5920963238914744E-2</v>
      </c>
      <c r="F15" s="332">
        <f>'6.5'!H14</f>
        <v>0.14437506137886288</v>
      </c>
      <c r="G15" s="326">
        <v>-0.22903225806451624</v>
      </c>
      <c r="H15" s="327">
        <v>8</v>
      </c>
      <c r="I15" s="327">
        <v>-8.4</v>
      </c>
      <c r="J15" s="327">
        <v>-1.6000000000000008</v>
      </c>
      <c r="K15" s="326">
        <v>1.3709677419354844</v>
      </c>
    </row>
    <row r="16" spans="1:11" ht="14.15" customHeight="1">
      <c r="A16" s="154" t="s">
        <v>1</v>
      </c>
      <c r="B16" s="129">
        <f>'6.5'!D44</f>
        <v>402026</v>
      </c>
      <c r="C16" s="313">
        <f>'6.5'!E44</f>
        <v>125160.37680209799</v>
      </c>
      <c r="D16" s="129">
        <f>'6.5'!F44</f>
        <v>1364882.2313489451</v>
      </c>
      <c r="E16" s="307">
        <f t="shared" si="0"/>
        <v>0.12039959679728285</v>
      </c>
      <c r="F16" s="332">
        <f>'6.5'!H44</f>
        <v>0.21491265588363082</v>
      </c>
      <c r="G16" s="326">
        <v>1.2096774193548385</v>
      </c>
      <c r="H16" s="327">
        <v>9.6999999999999993</v>
      </c>
      <c r="I16" s="327">
        <v>-7.5</v>
      </c>
      <c r="J16" s="327">
        <v>-0.60000000000000009</v>
      </c>
      <c r="K16" s="326">
        <v>1.8096774193548386</v>
      </c>
    </row>
    <row r="17" spans="1:16" ht="14.15" customHeight="1">
      <c r="A17" s="154" t="s">
        <v>16</v>
      </c>
      <c r="B17" s="129">
        <f>'6.6'!D14</f>
        <v>254930</v>
      </c>
      <c r="C17" s="313">
        <f>'6.6'!E14</f>
        <v>132519.61700000003</v>
      </c>
      <c r="D17" s="129">
        <f>'6.6'!F14</f>
        <v>1443955.0810669998</v>
      </c>
      <c r="E17" s="307">
        <f t="shared" si="0"/>
        <v>0.12737480609007051</v>
      </c>
      <c r="F17" s="332">
        <f>'6.6'!H14</f>
        <v>0.15077187082692586</v>
      </c>
      <c r="G17" s="326">
        <v>0.2741935483870967</v>
      </c>
      <c r="H17" s="327">
        <v>8.8000000000000007</v>
      </c>
      <c r="I17" s="327">
        <v>-9.6</v>
      </c>
      <c r="J17" s="327">
        <v>-1</v>
      </c>
      <c r="K17" s="326">
        <v>1.2741935483870968</v>
      </c>
      <c r="L17" s="93"/>
      <c r="N17" s="93"/>
      <c r="O17" s="93"/>
      <c r="P17" s="93"/>
    </row>
    <row r="18" spans="1:16" ht="14.15" customHeight="1">
      <c r="A18" s="154" t="s">
        <v>17</v>
      </c>
      <c r="B18" s="129">
        <f>'6.6'!D44</f>
        <v>217024</v>
      </c>
      <c r="C18" s="313">
        <f>'6.6'!E44</f>
        <v>123724.105</v>
      </c>
      <c r="D18" s="129">
        <f>'6.6'!F44</f>
        <v>1348789.4549129999</v>
      </c>
      <c r="E18" s="307">
        <f t="shared" si="0"/>
        <v>0.11898001366422259</v>
      </c>
      <c r="F18" s="332">
        <f>'6.6'!H44</f>
        <v>0.27147355555833919</v>
      </c>
      <c r="G18" s="326">
        <v>-0.20322580645161273</v>
      </c>
      <c r="H18" s="327">
        <v>8.1</v>
      </c>
      <c r="I18" s="327">
        <v>-8.8000000000000007</v>
      </c>
      <c r="J18" s="327">
        <v>-0.80000000000000038</v>
      </c>
      <c r="K18" s="326">
        <v>0.59677419354838768</v>
      </c>
      <c r="L18" s="93"/>
      <c r="N18" s="93"/>
      <c r="O18" s="93"/>
      <c r="P18" s="93"/>
    </row>
    <row r="19" spans="1:16" ht="14.15" customHeight="1">
      <c r="A19" s="154" t="s">
        <v>18</v>
      </c>
      <c r="B19" s="129">
        <f>'6.7'!D14</f>
        <v>118123</v>
      </c>
      <c r="C19" s="313">
        <f>'6.7'!E14</f>
        <v>42806.623599999999</v>
      </c>
      <c r="D19" s="129">
        <f>'6.7'!F14</f>
        <v>466419.06572999997</v>
      </c>
      <c r="E19" s="307">
        <f t="shared" si="0"/>
        <v>4.114396551045757E-2</v>
      </c>
      <c r="F19" s="332">
        <f>'6.7'!H14</f>
        <v>0.17949835199992875</v>
      </c>
      <c r="G19" s="326">
        <v>-0.71290322580645138</v>
      </c>
      <c r="H19" s="327">
        <v>7.3</v>
      </c>
      <c r="I19" s="327">
        <v>-9</v>
      </c>
      <c r="J19" s="327">
        <v>-2.5</v>
      </c>
      <c r="K19" s="326">
        <v>1.7870967741935486</v>
      </c>
      <c r="L19" s="93"/>
      <c r="N19" s="93"/>
      <c r="O19" s="93"/>
      <c r="P19" s="93"/>
    </row>
    <row r="20" spans="1:16" ht="14.15" customHeight="1">
      <c r="A20" s="204" t="s">
        <v>19</v>
      </c>
      <c r="B20" s="310">
        <f>'6.7'!D44</f>
        <v>152791</v>
      </c>
      <c r="C20" s="314">
        <f>'6.7'!E44</f>
        <v>54221.599999999999</v>
      </c>
      <c r="D20" s="310">
        <f>'6.7'!F44</f>
        <v>590799.55590999988</v>
      </c>
      <c r="E20" s="311">
        <f t="shared" si="0"/>
        <v>5.2115872480277145E-2</v>
      </c>
      <c r="F20" s="333">
        <f>'6.7'!H44</f>
        <v>0.20592670352693127</v>
      </c>
      <c r="G20" s="328">
        <v>-0.6032258064516125</v>
      </c>
      <c r="H20" s="329">
        <v>7</v>
      </c>
      <c r="I20" s="329">
        <v>-11.7</v>
      </c>
      <c r="J20" s="329">
        <v>-1.6000000000000008</v>
      </c>
      <c r="K20" s="328">
        <v>0.99677419354838825</v>
      </c>
      <c r="L20" s="93"/>
    </row>
    <row r="21" spans="1:16" ht="14.15" customHeight="1">
      <c r="A21" s="154" t="s">
        <v>0</v>
      </c>
      <c r="B21" s="156">
        <f>SUM(B7:B20)</f>
        <v>2750234</v>
      </c>
      <c r="C21" s="313">
        <f>SUM(C7:C20)</f>
        <v>1040259.7308020979</v>
      </c>
      <c r="D21" s="129">
        <f>SUM(D7:D20)</f>
        <v>11336269.120958945</v>
      </c>
      <c r="E21" s="367">
        <f>SUM(E7:E20)</f>
        <v>1</v>
      </c>
      <c r="F21" s="332"/>
      <c r="G21" s="256">
        <v>-0.33870967741935487</v>
      </c>
      <c r="H21" s="256">
        <v>7.8</v>
      </c>
      <c r="I21" s="256">
        <v>-9.6</v>
      </c>
      <c r="J21" s="256">
        <v>-1.2258064516129035</v>
      </c>
      <c r="K21" s="256">
        <v>0.8870967741935486</v>
      </c>
    </row>
    <row r="22" spans="1:16" ht="14.15" customHeight="1">
      <c r="A22" s="204" t="s">
        <v>94</v>
      </c>
      <c r="B22" s="368"/>
      <c r="C22" s="314">
        <f>'5.1'!E13</f>
        <v>11535.517484905689</v>
      </c>
      <c r="D22" s="310">
        <f>'5.1'!F13</f>
        <v>125887.13796399999</v>
      </c>
      <c r="E22" s="368"/>
      <c r="F22" s="333">
        <f>'5.1'!H13</f>
        <v>-0.36453302620081668</v>
      </c>
      <c r="G22" s="262">
        <v>-0.33870967741935487</v>
      </c>
      <c r="H22" s="262">
        <v>7.8</v>
      </c>
      <c r="I22" s="262">
        <v>-9.6</v>
      </c>
      <c r="J22" s="262">
        <v>-1.2258064516129035</v>
      </c>
      <c r="K22" s="262">
        <v>0.8870967741935486</v>
      </c>
    </row>
    <row r="23" spans="1:16" ht="14.15" customHeight="1">
      <c r="A23" s="204" t="s">
        <v>55</v>
      </c>
      <c r="B23" s="161">
        <f>B21+B22</f>
        <v>2750234</v>
      </c>
      <c r="C23" s="314">
        <f>C21+C22</f>
        <v>1051795.2482870037</v>
      </c>
      <c r="D23" s="310">
        <f>D21+D22</f>
        <v>11462156.258922946</v>
      </c>
      <c r="E23" s="368"/>
      <c r="F23" s="333">
        <f>'5.1'!H14</f>
        <v>0.17943405384902478</v>
      </c>
      <c r="G23" s="262">
        <v>-0.33870967741935487</v>
      </c>
      <c r="H23" s="262">
        <v>7.8</v>
      </c>
      <c r="I23" s="262">
        <v>-9.6</v>
      </c>
      <c r="J23" s="262">
        <v>-1.2258064516129035</v>
      </c>
      <c r="K23" s="262">
        <v>0.8870967741935486</v>
      </c>
    </row>
    <row r="24" spans="1:16" ht="15" customHeight="1">
      <c r="A24" s="101"/>
      <c r="B24" s="94"/>
      <c r="C24" s="523" t="s">
        <v>242</v>
      </c>
      <c r="D24" s="523"/>
      <c r="E24" s="523"/>
      <c r="F24" s="523"/>
      <c r="G24" s="526" t="s">
        <v>240</v>
      </c>
      <c r="H24" s="526"/>
      <c r="I24" s="526"/>
      <c r="J24" s="526"/>
      <c r="K24" s="526"/>
    </row>
    <row r="25" spans="1:16" ht="15" customHeight="1">
      <c r="A25" s="94"/>
      <c r="B25" s="94"/>
      <c r="C25" s="523"/>
      <c r="D25" s="523"/>
      <c r="E25" s="523"/>
      <c r="F25" s="523"/>
      <c r="G25" s="526" t="s">
        <v>241</v>
      </c>
      <c r="H25" s="526"/>
      <c r="I25" s="526"/>
      <c r="J25" s="526"/>
      <c r="K25" s="52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8" t="s">
        <v>255</v>
      </c>
      <c r="B29" s="488"/>
      <c r="C29" s="488"/>
      <c r="D29" s="488"/>
      <c r="E29" s="488"/>
      <c r="F29" s="488" t="s">
        <v>61</v>
      </c>
      <c r="G29" s="488"/>
      <c r="H29" s="488"/>
      <c r="I29" s="488"/>
      <c r="J29" s="488"/>
      <c r="K29" s="488"/>
    </row>
    <row r="30" spans="1:16" ht="15" customHeight="1">
      <c r="A30" s="120"/>
      <c r="B30" s="524"/>
      <c r="C30" s="524"/>
      <c r="D30" s="120"/>
      <c r="E30" s="120"/>
      <c r="F30" s="120"/>
      <c r="G30" s="120"/>
      <c r="H30" s="524"/>
      <c r="I30" s="52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B30:C30"/>
    <mergeCell ref="H30:I30"/>
    <mergeCell ref="F29:K29"/>
    <mergeCell ref="A29:E29"/>
    <mergeCell ref="B5:B6"/>
    <mergeCell ref="G25:K25"/>
    <mergeCell ref="G24:K24"/>
    <mergeCell ref="A1:K1"/>
    <mergeCell ref="A3:K3"/>
    <mergeCell ref="C24:F25"/>
    <mergeCell ref="C4:F4"/>
    <mergeCell ref="G4:K4"/>
    <mergeCell ref="A2:B2"/>
    <mergeCell ref="F5:F6"/>
    <mergeCell ref="E5:E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16.26953125" style="84" customWidth="1"/>
    <col min="2" max="2" width="10.26953125" style="84" customWidth="1"/>
    <col min="3" max="3" width="10" style="84" customWidth="1"/>
    <col min="4" max="4" width="10.7265625" style="84" customWidth="1"/>
    <col min="5" max="6" width="8.54296875" style="84" customWidth="1"/>
    <col min="7" max="10" width="6.7265625" style="84" customWidth="1"/>
    <col min="11" max="11" width="8.1796875" style="84" customWidth="1"/>
    <col min="12" max="13" width="9.1796875" style="84"/>
    <col min="14" max="14" width="11.1796875" style="84" customWidth="1"/>
    <col min="15" max="16384" width="9.1796875" style="84"/>
  </cols>
  <sheetData>
    <row r="1" spans="1:11" s="104" customFormat="1" ht="18">
      <c r="A1" s="515" t="str">
        <f>"6.9 Spotřeba zemního plynu a teplota ovzduší podle krajů: "&amp;LOWER(A3)</f>
        <v>6.9 Spotřeba zemního plynu a teplota ovzduší podle krajů: únor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49999999999999" customHeight="1">
      <c r="A3" s="483" t="str">
        <f>'3.1'!E5</f>
        <v>Únor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</row>
    <row r="4" spans="1:11" ht="20.149999999999999" customHeight="1">
      <c r="A4" s="128"/>
      <c r="B4" s="252">
        <f>'3.1'!A4</f>
        <v>2024</v>
      </c>
      <c r="C4" s="538" t="s">
        <v>60</v>
      </c>
      <c r="D4" s="539"/>
      <c r="E4" s="539"/>
      <c r="F4" s="540"/>
      <c r="G4" s="541" t="s">
        <v>186</v>
      </c>
      <c r="H4" s="541"/>
      <c r="I4" s="541"/>
      <c r="J4" s="541"/>
      <c r="K4" s="541"/>
    </row>
    <row r="5" spans="1:11" ht="49.5" customHeight="1">
      <c r="A5" s="272"/>
      <c r="B5" s="500" t="s">
        <v>185</v>
      </c>
      <c r="C5" s="345"/>
      <c r="D5" s="346"/>
      <c r="E5" s="500" t="s">
        <v>277</v>
      </c>
      <c r="F5" s="52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87"/>
      <c r="C6" s="221" t="s">
        <v>259</v>
      </c>
      <c r="D6" s="219" t="s">
        <v>260</v>
      </c>
      <c r="E6" s="487"/>
      <c r="F6" s="52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5" customHeight="1">
      <c r="A7" s="154" t="s">
        <v>8</v>
      </c>
      <c r="B7" s="129">
        <f>'6.1'!D20</f>
        <v>102348</v>
      </c>
      <c r="C7" s="313">
        <f>'6.1'!E20</f>
        <v>24547.655930000004</v>
      </c>
      <c r="D7" s="129">
        <f>'6.1'!F20</f>
        <v>267414.60471000004</v>
      </c>
      <c r="E7" s="307">
        <f>D7/$D$21</f>
        <v>3.5451188271767582E-2</v>
      </c>
      <c r="F7" s="332">
        <f>'6.1'!H20</f>
        <v>-0.17339687760935091</v>
      </c>
      <c r="G7" s="326">
        <v>5.6035714285714286</v>
      </c>
      <c r="H7" s="327">
        <v>8.1999999999999993</v>
      </c>
      <c r="I7" s="327">
        <v>1.7</v>
      </c>
      <c r="J7" s="327">
        <v>-0.80000000000000038</v>
      </c>
      <c r="K7" s="326">
        <v>6.4035714285714294</v>
      </c>
    </row>
    <row r="8" spans="1:11" ht="14.15" customHeight="1">
      <c r="A8" s="154" t="s">
        <v>9</v>
      </c>
      <c r="B8" s="129">
        <f>'6.1'!D50</f>
        <v>373184</v>
      </c>
      <c r="C8" s="313">
        <f>'6.1'!E50</f>
        <v>92278.900000000009</v>
      </c>
      <c r="D8" s="129">
        <f>'6.1'!F50</f>
        <v>1004665.28059</v>
      </c>
      <c r="E8" s="307">
        <f t="shared" ref="E8:E20" si="0">D8/$D$21</f>
        <v>0.13318860445535122</v>
      </c>
      <c r="F8" s="332">
        <f>'6.1'!H50</f>
        <v>-0.19497700841585314</v>
      </c>
      <c r="G8" s="326">
        <v>6.8928571428571432</v>
      </c>
      <c r="H8" s="327">
        <v>11</v>
      </c>
      <c r="I8" s="327">
        <v>1.8</v>
      </c>
      <c r="J8" s="327">
        <v>-0.10000000000000005</v>
      </c>
      <c r="K8" s="326">
        <v>6.9928571428571429</v>
      </c>
    </row>
    <row r="9" spans="1:11" ht="14.15" customHeight="1">
      <c r="A9" s="154" t="s">
        <v>10</v>
      </c>
      <c r="B9" s="129">
        <f>'6.2'!D20</f>
        <v>82043</v>
      </c>
      <c r="C9" s="313">
        <f>'6.2'!E20</f>
        <v>22157.200000000001</v>
      </c>
      <c r="D9" s="129">
        <f>'6.2'!F20</f>
        <v>241230.82232000001</v>
      </c>
      <c r="E9" s="307">
        <f t="shared" si="0"/>
        <v>3.1980000898955509E-2</v>
      </c>
      <c r="F9" s="332">
        <f>'6.2'!H20</f>
        <v>1.8937338471584932E-2</v>
      </c>
      <c r="G9" s="326">
        <v>4.5999999999999996</v>
      </c>
      <c r="H9" s="327">
        <v>7.8</v>
      </c>
      <c r="I9" s="327">
        <v>1.3</v>
      </c>
      <c r="J9" s="327">
        <v>-1.1000000000000005</v>
      </c>
      <c r="K9" s="326">
        <v>5.7</v>
      </c>
    </row>
    <row r="10" spans="1:11" ht="14.15" customHeight="1">
      <c r="A10" s="154" t="s">
        <v>92</v>
      </c>
      <c r="B10" s="129">
        <f>'6.2'!D50</f>
        <v>115070</v>
      </c>
      <c r="C10" s="313">
        <f>'6.2'!E50</f>
        <v>29928.5</v>
      </c>
      <c r="D10" s="129">
        <f>'6.2'!F50</f>
        <v>325839.24401999998</v>
      </c>
      <c r="E10" s="307">
        <f t="shared" si="0"/>
        <v>4.3196550160790347E-2</v>
      </c>
      <c r="F10" s="332">
        <f>'6.2'!H50</f>
        <v>-0.18018933562698247</v>
      </c>
      <c r="G10" s="326">
        <v>5.1749999999999998</v>
      </c>
      <c r="H10" s="327">
        <v>8.3000000000000007</v>
      </c>
      <c r="I10" s="327">
        <v>2.2000000000000002</v>
      </c>
      <c r="J10" s="327">
        <v>-1.1000000000000005</v>
      </c>
      <c r="K10" s="326">
        <v>6.2750000000000004</v>
      </c>
    </row>
    <row r="11" spans="1:11" ht="14.15" customHeight="1">
      <c r="A11" s="154" t="s">
        <v>11</v>
      </c>
      <c r="B11" s="129">
        <f>'6.3'!D20</f>
        <v>90869</v>
      </c>
      <c r="C11" s="313">
        <f>'6.3'!E20</f>
        <v>29707.341999999997</v>
      </c>
      <c r="D11" s="129">
        <f>'6.3'!F20</f>
        <v>323427.92209000001</v>
      </c>
      <c r="E11" s="307">
        <f t="shared" si="0"/>
        <v>4.2876880904816179E-2</v>
      </c>
      <c r="F11" s="332">
        <f>'6.3'!H20</f>
        <v>-0.13889016751258748</v>
      </c>
      <c r="G11" s="326">
        <v>5.4214285714285708</v>
      </c>
      <c r="H11" s="327">
        <v>8.6</v>
      </c>
      <c r="I11" s="327">
        <v>1.7</v>
      </c>
      <c r="J11" s="327">
        <v>-0.69999999999999962</v>
      </c>
      <c r="K11" s="326">
        <v>6.1214285714285701</v>
      </c>
    </row>
    <row r="12" spans="1:11" ht="14.15" customHeight="1">
      <c r="A12" s="154" t="s">
        <v>12</v>
      </c>
      <c r="B12" s="129">
        <f>'6.3'!D50</f>
        <v>368394</v>
      </c>
      <c r="C12" s="313">
        <f>'6.3'!E50</f>
        <v>75802.12000000001</v>
      </c>
      <c r="D12" s="129">
        <f>'6.3'!F50</f>
        <v>825035.10092999996</v>
      </c>
      <c r="E12" s="307">
        <f t="shared" si="0"/>
        <v>0.10937500861482471</v>
      </c>
      <c r="F12" s="332">
        <f>'6.3'!H50</f>
        <v>-0.16240135908180978</v>
      </c>
      <c r="G12" s="326">
        <v>6.6714285714285717</v>
      </c>
      <c r="H12" s="327">
        <v>10.6</v>
      </c>
      <c r="I12" s="327">
        <v>3</v>
      </c>
      <c r="J12" s="327">
        <v>-0.80000000000000038</v>
      </c>
      <c r="K12" s="326">
        <v>7.4714285714285724</v>
      </c>
    </row>
    <row r="13" spans="1:11" ht="14.15" customHeight="1">
      <c r="A13" s="154" t="s">
        <v>13</v>
      </c>
      <c r="B13" s="129">
        <f>'6.4'!D20</f>
        <v>182421</v>
      </c>
      <c r="C13" s="313">
        <f>'6.4'!E20</f>
        <v>41567.9</v>
      </c>
      <c r="D13" s="129">
        <f>'6.4'!F20</f>
        <v>452560.23119999998</v>
      </c>
      <c r="E13" s="307">
        <f t="shared" si="0"/>
        <v>5.9995967602385417E-2</v>
      </c>
      <c r="F13" s="332">
        <f>'6.4'!H20</f>
        <v>-0.2076297841029961</v>
      </c>
      <c r="G13" s="326">
        <v>6.0392857142857137</v>
      </c>
      <c r="H13" s="327">
        <v>9.1999999999999993</v>
      </c>
      <c r="I13" s="327">
        <v>2.2000000000000002</v>
      </c>
      <c r="J13" s="327">
        <v>-1.2</v>
      </c>
      <c r="K13" s="326">
        <v>7.2392857142857139</v>
      </c>
    </row>
    <row r="14" spans="1:11" ht="14.15" customHeight="1">
      <c r="A14" s="154" t="s">
        <v>14</v>
      </c>
      <c r="B14" s="129">
        <f>'6.4'!D50</f>
        <v>133348</v>
      </c>
      <c r="C14" s="313">
        <f>'6.4'!E50</f>
        <v>31068.1</v>
      </c>
      <c r="D14" s="129">
        <f>'6.4'!F50</f>
        <v>338247.23313999997</v>
      </c>
      <c r="E14" s="307">
        <f t="shared" si="0"/>
        <v>4.4841478861839389E-2</v>
      </c>
      <c r="F14" s="332">
        <f>'6.4'!H50</f>
        <v>-0.17902867365517097</v>
      </c>
      <c r="G14" s="326">
        <v>5.9535714285714292</v>
      </c>
      <c r="H14" s="327">
        <v>9.1</v>
      </c>
      <c r="I14" s="327">
        <v>3</v>
      </c>
      <c r="J14" s="327">
        <v>-0.3</v>
      </c>
      <c r="K14" s="326">
        <v>6.253571428571429</v>
      </c>
    </row>
    <row r="15" spans="1:11" ht="14.15" customHeight="1">
      <c r="A15" s="154" t="s">
        <v>15</v>
      </c>
      <c r="B15" s="129">
        <f>'6.5'!D20</f>
        <v>156177</v>
      </c>
      <c r="C15" s="313">
        <f>'6.5'!E20</f>
        <v>33657.600000000006</v>
      </c>
      <c r="D15" s="129">
        <f>'6.5'!F20</f>
        <v>366438.86361</v>
      </c>
      <c r="E15" s="307">
        <f t="shared" si="0"/>
        <v>4.8578846910842945E-2</v>
      </c>
      <c r="F15" s="332">
        <f>'6.5'!H20</f>
        <v>-0.1625566981580405</v>
      </c>
      <c r="G15" s="326">
        <v>5.9750000000000005</v>
      </c>
      <c r="H15" s="327">
        <v>8.8000000000000007</v>
      </c>
      <c r="I15" s="327">
        <v>1.9</v>
      </c>
      <c r="J15" s="327">
        <v>-0.6</v>
      </c>
      <c r="K15" s="326">
        <v>6.5750000000000002</v>
      </c>
    </row>
    <row r="16" spans="1:11" ht="14.15" customHeight="1">
      <c r="A16" s="154" t="s">
        <v>1</v>
      </c>
      <c r="B16" s="129">
        <f>'6.5'!D50</f>
        <v>401669</v>
      </c>
      <c r="C16" s="313">
        <f>'6.5'!E50</f>
        <v>80688.982130340999</v>
      </c>
      <c r="D16" s="129">
        <f>'6.5'!F50</f>
        <v>881073.52814804204</v>
      </c>
      <c r="E16" s="307">
        <f t="shared" si="0"/>
        <v>0.11680403006230687</v>
      </c>
      <c r="F16" s="332">
        <f>'6.5'!H50</f>
        <v>-0.17112492968586521</v>
      </c>
      <c r="G16" s="326">
        <v>7.2892857142857137</v>
      </c>
      <c r="H16" s="327">
        <v>10.6</v>
      </c>
      <c r="I16" s="327">
        <v>3.1</v>
      </c>
      <c r="J16" s="327">
        <v>0.69999999999999962</v>
      </c>
      <c r="K16" s="326">
        <v>6.5892857142857144</v>
      </c>
    </row>
    <row r="17" spans="1:16" ht="14.15" customHeight="1">
      <c r="A17" s="154" t="s">
        <v>16</v>
      </c>
      <c r="B17" s="129">
        <f>'6.6'!D20</f>
        <v>254691</v>
      </c>
      <c r="C17" s="313">
        <f>'6.6'!E20</f>
        <v>92269.438999999998</v>
      </c>
      <c r="D17" s="129">
        <f>'6.6'!F20</f>
        <v>1004644.307627</v>
      </c>
      <c r="E17" s="307">
        <f t="shared" si="0"/>
        <v>0.13318582406696991</v>
      </c>
      <c r="F17" s="332">
        <f>'6.6'!H20</f>
        <v>-0.13115867188108976</v>
      </c>
      <c r="G17" s="326">
        <v>6.3571428571428594</v>
      </c>
      <c r="H17" s="327">
        <v>9.8000000000000007</v>
      </c>
      <c r="I17" s="327">
        <v>2.9</v>
      </c>
      <c r="J17" s="327">
        <v>0.20000000000000009</v>
      </c>
      <c r="K17" s="326">
        <v>6.1571428571428592</v>
      </c>
      <c r="L17" s="93"/>
      <c r="N17" s="93"/>
      <c r="O17" s="93"/>
      <c r="P17" s="93"/>
    </row>
    <row r="18" spans="1:16" ht="14.15" customHeight="1">
      <c r="A18" s="154" t="s">
        <v>17</v>
      </c>
      <c r="B18" s="129">
        <f>'6.6'!D50</f>
        <v>216828</v>
      </c>
      <c r="C18" s="313">
        <f>'6.6'!E50</f>
        <v>73329.33600000001</v>
      </c>
      <c r="D18" s="129">
        <f>'6.6'!F50</f>
        <v>798716.32555900002</v>
      </c>
      <c r="E18" s="307">
        <f t="shared" si="0"/>
        <v>0.10588592520529473</v>
      </c>
      <c r="F18" s="332">
        <f>'6.6'!H50</f>
        <v>-0.28383695215435717</v>
      </c>
      <c r="G18" s="326">
        <v>6.1928571428571431</v>
      </c>
      <c r="H18" s="327">
        <v>9.6999999999999993</v>
      </c>
      <c r="I18" s="327">
        <v>1.6</v>
      </c>
      <c r="J18" s="327">
        <v>0.40000000000000019</v>
      </c>
      <c r="K18" s="326">
        <v>5.7928571428571427</v>
      </c>
      <c r="L18" s="93"/>
      <c r="N18" s="93"/>
      <c r="O18" s="93"/>
      <c r="P18" s="93"/>
    </row>
    <row r="19" spans="1:16" ht="14.15" customHeight="1">
      <c r="A19" s="154" t="s">
        <v>18</v>
      </c>
      <c r="B19" s="129">
        <f>'6.7'!D20</f>
        <v>118017</v>
      </c>
      <c r="C19" s="313">
        <f>'6.7'!E20</f>
        <v>28918.535399999997</v>
      </c>
      <c r="D19" s="129">
        <f>'6.7'!F20</f>
        <v>314868.21127000003</v>
      </c>
      <c r="E19" s="307">
        <f t="shared" si="0"/>
        <v>4.1742118949085354E-2</v>
      </c>
      <c r="F19" s="332">
        <f>'6.7'!H20</f>
        <v>-0.17117078054730039</v>
      </c>
      <c r="G19" s="326">
        <v>5.4285714285714288</v>
      </c>
      <c r="H19" s="327">
        <v>8.3000000000000007</v>
      </c>
      <c r="I19" s="327">
        <v>2.2000000000000002</v>
      </c>
      <c r="J19" s="327">
        <v>-1.2999999999999998</v>
      </c>
      <c r="K19" s="326">
        <v>6.7285714285714286</v>
      </c>
      <c r="L19" s="93"/>
      <c r="N19" s="93"/>
      <c r="O19" s="93"/>
      <c r="P19" s="93"/>
    </row>
    <row r="20" spans="1:16" ht="14.15" customHeight="1">
      <c r="A20" s="204" t="s">
        <v>19</v>
      </c>
      <c r="B20" s="310">
        <f>'6.7'!D50</f>
        <v>152648</v>
      </c>
      <c r="C20" s="314">
        <f>'6.7'!E50</f>
        <v>36649.800000000003</v>
      </c>
      <c r="D20" s="310">
        <f>'6.7'!F50</f>
        <v>399015.79629999999</v>
      </c>
      <c r="E20" s="311">
        <f t="shared" si="0"/>
        <v>5.2897575034769911E-2</v>
      </c>
      <c r="F20" s="333">
        <f>'6.7'!H50</f>
        <v>-0.16842210352917678</v>
      </c>
      <c r="G20" s="328">
        <v>6.0678571428571431</v>
      </c>
      <c r="H20" s="329">
        <v>10.8</v>
      </c>
      <c r="I20" s="329">
        <v>1.2</v>
      </c>
      <c r="J20" s="329">
        <v>-0.10000000000000005</v>
      </c>
      <c r="K20" s="328">
        <v>6.1678571428571427</v>
      </c>
      <c r="L20" s="93"/>
    </row>
    <row r="21" spans="1:16" ht="14.15" customHeight="1">
      <c r="A21" s="154" t="s">
        <v>0</v>
      </c>
      <c r="B21" s="156">
        <f>SUM(B7:B20)</f>
        <v>2747707</v>
      </c>
      <c r="C21" s="313">
        <f>SUM(C7:C20)</f>
        <v>692571.41046034114</v>
      </c>
      <c r="D21" s="129">
        <f>SUM(D7:D20)</f>
        <v>7543177.4715140415</v>
      </c>
      <c r="E21" s="367">
        <f>SUM(E7:E20)</f>
        <v>0.99999999999999989</v>
      </c>
      <c r="F21" s="332"/>
      <c r="G21" s="256">
        <v>5.8928571428571415</v>
      </c>
      <c r="H21" s="256">
        <v>8.6</v>
      </c>
      <c r="I21" s="256">
        <v>2.8</v>
      </c>
      <c r="J21" s="256">
        <v>-0.15517241379310354</v>
      </c>
      <c r="K21" s="256">
        <v>6.0480295566502447</v>
      </c>
    </row>
    <row r="22" spans="1:16" ht="14.15" customHeight="1">
      <c r="A22" s="204" t="s">
        <v>94</v>
      </c>
      <c r="B22" s="368"/>
      <c r="C22" s="314">
        <f>'5.1'!E20</f>
        <v>15315.787542063999</v>
      </c>
      <c r="D22" s="310">
        <f>'5.1'!F20</f>
        <v>167332.21324700001</v>
      </c>
      <c r="E22" s="368"/>
      <c r="F22" s="333">
        <f>'5.1'!H20</f>
        <v>-0.13935790995490224</v>
      </c>
      <c r="G22" s="262">
        <v>5.8928571428571415</v>
      </c>
      <c r="H22" s="262">
        <v>8.6</v>
      </c>
      <c r="I22" s="262">
        <v>2.8</v>
      </c>
      <c r="J22" s="262">
        <v>-0.15517241379310354</v>
      </c>
      <c r="K22" s="262">
        <v>6.0480295566502447</v>
      </c>
    </row>
    <row r="23" spans="1:16" ht="14.15" customHeight="1">
      <c r="A23" s="204" t="s">
        <v>55</v>
      </c>
      <c r="B23" s="161">
        <f>B21+B22</f>
        <v>2747707</v>
      </c>
      <c r="C23" s="314">
        <f t="shared" ref="C23:D23" si="1">C21+C22</f>
        <v>707887.19800240512</v>
      </c>
      <c r="D23" s="310">
        <f t="shared" si="1"/>
        <v>7710509.6847610418</v>
      </c>
      <c r="E23" s="368"/>
      <c r="F23" s="333">
        <f>'5.1'!H21</f>
        <v>-0.17760914907186512</v>
      </c>
      <c r="G23" s="262">
        <v>5.8928571428571415</v>
      </c>
      <c r="H23" s="262">
        <v>8.6</v>
      </c>
      <c r="I23" s="262">
        <v>2.8</v>
      </c>
      <c r="J23" s="262">
        <v>-0.15517241379310354</v>
      </c>
      <c r="K23" s="262">
        <v>6.0480295566502447</v>
      </c>
    </row>
    <row r="24" spans="1:16" ht="15" customHeight="1">
      <c r="A24" s="101"/>
      <c r="B24" s="94"/>
      <c r="C24" s="523" t="s">
        <v>242</v>
      </c>
      <c r="D24" s="523"/>
      <c r="E24" s="523"/>
      <c r="F24" s="523"/>
      <c r="G24" s="526" t="s">
        <v>240</v>
      </c>
      <c r="H24" s="526"/>
      <c r="I24" s="526"/>
      <c r="J24" s="526"/>
      <c r="K24" s="526"/>
    </row>
    <row r="25" spans="1:16" ht="15" customHeight="1">
      <c r="A25" s="94"/>
      <c r="B25" s="94"/>
      <c r="C25" s="523"/>
      <c r="D25" s="523"/>
      <c r="E25" s="523"/>
      <c r="F25" s="523"/>
      <c r="G25" s="526" t="s">
        <v>241</v>
      </c>
      <c r="H25" s="526"/>
      <c r="I25" s="526"/>
      <c r="J25" s="526"/>
      <c r="K25" s="52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8" t="s">
        <v>255</v>
      </c>
      <c r="B29" s="488"/>
      <c r="C29" s="488"/>
      <c r="D29" s="488"/>
      <c r="E29" s="488"/>
      <c r="F29" s="488" t="s">
        <v>61</v>
      </c>
      <c r="G29" s="488"/>
      <c r="H29" s="488"/>
      <c r="I29" s="488"/>
      <c r="J29" s="488"/>
      <c r="K29" s="488"/>
    </row>
    <row r="30" spans="1:16" ht="15" customHeight="1">
      <c r="A30" s="120"/>
      <c r="B30" s="524"/>
      <c r="C30" s="524"/>
      <c r="D30" s="120"/>
      <c r="E30" s="120"/>
      <c r="F30" s="120"/>
      <c r="G30" s="120"/>
      <c r="H30" s="524"/>
      <c r="I30" s="52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E1" sqref="E1"/>
    </sheetView>
  </sheetViews>
  <sheetFormatPr defaultColWidth="9.1796875" defaultRowHeight="10"/>
  <cols>
    <col min="1" max="1" width="90.26953125" style="4" customWidth="1"/>
    <col min="2" max="2" width="9.1796875" style="2" customWidth="1"/>
    <col min="3" max="4" width="9.1796875" style="4" customWidth="1"/>
    <col min="5" max="5" width="9.1796875" style="4"/>
    <col min="6" max="6" width="9.1796875" style="4" customWidth="1"/>
    <col min="7" max="8" width="9.1796875" style="4"/>
    <col min="9" max="9" width="9.1796875" style="4" customWidth="1"/>
    <col min="10" max="16384" width="9.1796875" style="4"/>
  </cols>
  <sheetData>
    <row r="1" spans="1:4" ht="20">
      <c r="A1" s="45" t="s">
        <v>244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29" t="s">
        <v>319</v>
      </c>
      <c r="B3" s="429"/>
    </row>
    <row r="4" spans="1:4" ht="11.25" customHeight="1">
      <c r="A4" s="429"/>
      <c r="B4" s="429"/>
    </row>
    <row r="5" spans="1:4" ht="11.25" customHeight="1">
      <c r="A5" s="429"/>
      <c r="B5" s="429"/>
      <c r="C5" s="7"/>
      <c r="D5" s="7"/>
    </row>
    <row r="6" spans="1:4" ht="11.25" customHeight="1">
      <c r="A6" s="429"/>
      <c r="B6" s="429"/>
      <c r="C6" s="7"/>
      <c r="D6" s="7"/>
    </row>
    <row r="7" spans="1:4" ht="11.25" customHeight="1">
      <c r="A7" s="429"/>
      <c r="B7" s="429"/>
      <c r="C7" s="8"/>
      <c r="D7" s="7"/>
    </row>
    <row r="8" spans="1:4" ht="11.25" customHeight="1">
      <c r="A8" s="429"/>
      <c r="B8" s="429"/>
      <c r="C8" s="7"/>
      <c r="D8" s="7"/>
    </row>
    <row r="9" spans="1:4" ht="11.25" customHeight="1">
      <c r="A9" s="429"/>
      <c r="B9" s="429"/>
      <c r="C9" s="7"/>
      <c r="D9" s="7"/>
    </row>
    <row r="10" spans="1:4" ht="11.25" customHeight="1">
      <c r="A10" s="429"/>
      <c r="B10" s="429"/>
      <c r="C10" s="7"/>
      <c r="D10" s="7"/>
    </row>
    <row r="11" spans="1:4" ht="11.25" customHeight="1">
      <c r="A11" s="429"/>
      <c r="B11" s="429"/>
      <c r="C11" s="7"/>
      <c r="D11" s="7"/>
    </row>
    <row r="12" spans="1:4" ht="11.25" customHeight="1">
      <c r="A12" s="429"/>
      <c r="B12" s="429"/>
      <c r="C12" s="7"/>
      <c r="D12" s="7"/>
    </row>
    <row r="13" spans="1:4" ht="11.25" customHeight="1">
      <c r="A13" s="429"/>
      <c r="B13" s="429"/>
      <c r="C13" s="7"/>
      <c r="D13" s="7"/>
    </row>
    <row r="14" spans="1:4" ht="11.25" customHeight="1">
      <c r="A14" s="429"/>
      <c r="B14" s="429"/>
      <c r="C14" s="7"/>
      <c r="D14" s="7"/>
    </row>
    <row r="15" spans="1:4" ht="11.25" customHeight="1">
      <c r="A15" s="429"/>
      <c r="B15" s="429"/>
      <c r="C15" s="7"/>
      <c r="D15" s="7"/>
    </row>
    <row r="16" spans="1:4" ht="11.25" customHeight="1">
      <c r="A16" s="429"/>
      <c r="B16" s="429"/>
      <c r="C16" s="7"/>
      <c r="D16" s="7"/>
    </row>
    <row r="17" spans="1:6" ht="11.25" customHeight="1">
      <c r="A17" s="429"/>
      <c r="B17" s="429"/>
      <c r="C17" s="7"/>
      <c r="D17" s="7"/>
    </row>
    <row r="18" spans="1:6" ht="11.25" customHeight="1">
      <c r="A18" s="429"/>
      <c r="B18" s="429"/>
      <c r="C18" s="7"/>
      <c r="D18" s="7"/>
      <c r="F18" s="2"/>
    </row>
    <row r="19" spans="1:6" ht="11.25" customHeight="1">
      <c r="A19" s="429"/>
      <c r="B19" s="429"/>
      <c r="C19" s="7"/>
      <c r="D19" s="7"/>
      <c r="F19" s="2"/>
    </row>
    <row r="20" spans="1:6" ht="11.25" customHeight="1">
      <c r="A20" s="429"/>
      <c r="B20" s="429"/>
      <c r="C20" s="7"/>
      <c r="D20" s="7"/>
      <c r="F20" s="2"/>
    </row>
    <row r="21" spans="1:6" ht="11.25" customHeight="1">
      <c r="A21" s="429"/>
      <c r="B21" s="429"/>
      <c r="C21" s="7"/>
      <c r="D21" s="7"/>
      <c r="F21" s="2"/>
    </row>
    <row r="22" spans="1:6" ht="11.25" customHeight="1">
      <c r="A22" s="429"/>
      <c r="B22" s="429"/>
      <c r="C22" s="7"/>
      <c r="D22" s="7"/>
      <c r="F22" s="2"/>
    </row>
    <row r="23" spans="1:6" ht="11.25" customHeight="1">
      <c r="A23" s="429"/>
      <c r="B23" s="429"/>
      <c r="C23" s="7"/>
      <c r="D23" s="7"/>
      <c r="F23" s="2"/>
    </row>
    <row r="24" spans="1:6" ht="11.25" customHeight="1">
      <c r="A24" s="429"/>
      <c r="B24" s="429"/>
      <c r="C24" s="7"/>
      <c r="D24" s="7"/>
      <c r="F24" s="2"/>
    </row>
    <row r="25" spans="1:6" ht="11.25" customHeight="1">
      <c r="A25" s="429"/>
      <c r="B25" s="429"/>
      <c r="C25" s="7"/>
      <c r="D25" s="7"/>
      <c r="F25" s="2"/>
    </row>
    <row r="26" spans="1:6" ht="11.25" customHeight="1">
      <c r="A26" s="429"/>
      <c r="B26" s="429"/>
      <c r="C26" s="7"/>
      <c r="D26" s="7"/>
      <c r="F26" s="2"/>
    </row>
    <row r="27" spans="1:6" ht="11.25" customHeight="1">
      <c r="A27" s="429"/>
      <c r="B27" s="429"/>
      <c r="C27" s="7"/>
      <c r="D27" s="7"/>
      <c r="F27" s="2"/>
    </row>
    <row r="28" spans="1:6" ht="11.25" customHeight="1">
      <c r="A28" s="429"/>
      <c r="B28" s="429"/>
      <c r="C28" s="9"/>
      <c r="D28" s="9"/>
      <c r="F28" s="2"/>
    </row>
    <row r="29" spans="1:6" ht="11.25" customHeight="1">
      <c r="A29" s="429"/>
      <c r="B29" s="429"/>
      <c r="C29" s="7"/>
      <c r="D29" s="7"/>
      <c r="F29" s="2"/>
    </row>
    <row r="30" spans="1:6" ht="11.25" customHeight="1">
      <c r="A30" s="429"/>
      <c r="B30" s="429"/>
      <c r="C30" s="7"/>
      <c r="D30" s="7"/>
    </row>
    <row r="31" spans="1:6" ht="11.25" customHeight="1">
      <c r="A31" s="429"/>
      <c r="B31" s="429"/>
      <c r="C31" s="7"/>
      <c r="D31" s="7"/>
    </row>
    <row r="32" spans="1:6" ht="11.25" customHeight="1">
      <c r="A32" s="429"/>
      <c r="B32" s="429"/>
      <c r="C32" s="7"/>
      <c r="D32" s="7"/>
    </row>
    <row r="33" spans="1:4" ht="11.25" customHeight="1">
      <c r="A33" s="429"/>
      <c r="B33" s="429"/>
      <c r="C33" s="7"/>
      <c r="D33" s="7"/>
    </row>
    <row r="34" spans="1:4" ht="11.25" customHeight="1">
      <c r="A34" s="429"/>
      <c r="B34" s="429"/>
      <c r="C34" s="7"/>
      <c r="D34" s="7"/>
    </row>
    <row r="35" spans="1:4" ht="11.25" customHeight="1">
      <c r="A35" s="429"/>
      <c r="B35" s="429"/>
      <c r="C35" s="7"/>
      <c r="D35" s="7"/>
    </row>
    <row r="36" spans="1:4" ht="11.25" customHeight="1">
      <c r="A36" s="429"/>
      <c r="B36" s="429"/>
      <c r="C36" s="7"/>
      <c r="D36" s="7"/>
    </row>
    <row r="37" spans="1:4" ht="11.25" customHeight="1">
      <c r="A37" s="429"/>
      <c r="B37" s="429"/>
      <c r="C37" s="10"/>
      <c r="D37" s="10"/>
    </row>
    <row r="38" spans="1:4" ht="11.25" customHeight="1">
      <c r="A38" s="429"/>
      <c r="B38" s="429"/>
    </row>
    <row r="39" spans="1:4" ht="11.25" customHeight="1">
      <c r="A39" s="429"/>
      <c r="B39" s="429"/>
    </row>
    <row r="40" spans="1:4" ht="11.25" customHeight="1">
      <c r="A40" s="429"/>
      <c r="B40" s="429"/>
    </row>
    <row r="41" spans="1:4" ht="11.25" customHeight="1">
      <c r="A41" s="429"/>
      <c r="B41" s="429"/>
    </row>
    <row r="42" spans="1:4" ht="11.25" customHeight="1">
      <c r="A42" s="429"/>
      <c r="B42" s="429"/>
    </row>
    <row r="43" spans="1:4" ht="11.25" customHeight="1">
      <c r="A43" s="429"/>
      <c r="B43" s="429"/>
    </row>
    <row r="44" spans="1:4" ht="11.25" customHeight="1">
      <c r="A44" s="429"/>
      <c r="B44" s="429"/>
    </row>
    <row r="45" spans="1:4" ht="11.25" customHeight="1">
      <c r="A45" s="429"/>
      <c r="B45" s="429"/>
    </row>
    <row r="46" spans="1:4" ht="11.25" customHeight="1">
      <c r="A46" s="429"/>
      <c r="B46" s="429"/>
    </row>
    <row r="47" spans="1:4" ht="11.25" customHeight="1">
      <c r="A47" s="429"/>
      <c r="B47" s="429"/>
    </row>
    <row r="48" spans="1:4" ht="11.25" customHeight="1">
      <c r="A48" s="429"/>
      <c r="B48" s="429"/>
    </row>
    <row r="49" spans="1:2" ht="11.25" customHeight="1">
      <c r="A49" s="429"/>
      <c r="B49" s="429"/>
    </row>
    <row r="50" spans="1:2" ht="11.25" customHeight="1">
      <c r="A50" s="429"/>
      <c r="B50" s="429"/>
    </row>
    <row r="51" spans="1:2" ht="11.25" customHeight="1">
      <c r="A51" s="429"/>
      <c r="B51" s="429"/>
    </row>
    <row r="52" spans="1:2" ht="11.25" customHeight="1">
      <c r="A52" s="429"/>
      <c r="B52" s="429"/>
    </row>
    <row r="53" spans="1:2" ht="11.25" customHeight="1">
      <c r="A53" s="429"/>
      <c r="B53" s="429"/>
    </row>
    <row r="54" spans="1:2" ht="11.25" customHeight="1">
      <c r="A54" s="429"/>
      <c r="B54" s="429"/>
    </row>
    <row r="55" spans="1:2" ht="11.25" customHeight="1">
      <c r="A55" s="429"/>
      <c r="B55" s="429"/>
    </row>
    <row r="56" spans="1:2" ht="11.25" customHeight="1">
      <c r="A56" s="429"/>
      <c r="B56" s="429"/>
    </row>
    <row r="57" spans="1:2" ht="11.25" customHeight="1">
      <c r="A57" s="429"/>
      <c r="B57" s="429"/>
    </row>
    <row r="58" spans="1:2" ht="11.25" customHeight="1">
      <c r="A58" s="429"/>
      <c r="B58" s="429"/>
    </row>
    <row r="59" spans="1:2" ht="11.25" customHeight="1">
      <c r="A59" s="429"/>
      <c r="B59" s="429"/>
    </row>
    <row r="60" spans="1:2" ht="11.25" customHeight="1">
      <c r="A60" s="429"/>
      <c r="B60" s="429"/>
    </row>
    <row r="61" spans="1:2" ht="11.25" customHeight="1">
      <c r="A61" s="429"/>
      <c r="B61" s="429"/>
    </row>
    <row r="62" spans="1:2" ht="11.25" customHeight="1">
      <c r="A62" s="429"/>
      <c r="B62" s="429"/>
    </row>
    <row r="63" spans="1:2" ht="11.25" customHeight="1">
      <c r="A63" s="429"/>
      <c r="B63" s="429"/>
    </row>
    <row r="64" spans="1:2" ht="11.25" customHeight="1">
      <c r="A64" s="429"/>
      <c r="B64" s="429"/>
    </row>
    <row r="65" spans="1:2" ht="11.25" customHeight="1">
      <c r="A65" s="429"/>
      <c r="B65" s="429"/>
    </row>
    <row r="66" spans="1:2" ht="11.25" customHeight="1">
      <c r="A66" s="429"/>
      <c r="B66" s="429"/>
    </row>
    <row r="67" spans="1:2" ht="11.25" customHeight="1">
      <c r="A67" s="429"/>
      <c r="B67" s="429"/>
    </row>
    <row r="68" spans="1:2" ht="11.25" customHeight="1">
      <c r="A68" s="429"/>
      <c r="B68" s="429"/>
    </row>
    <row r="69" spans="1:2" ht="11.25" customHeight="1">
      <c r="A69" s="429"/>
      <c r="B69" s="429"/>
    </row>
    <row r="70" spans="1:2" ht="11.25" customHeight="1">
      <c r="A70" s="429"/>
      <c r="B70" s="429"/>
    </row>
    <row r="71" spans="1:2" ht="11.25" customHeight="1">
      <c r="A71" s="429"/>
      <c r="B71" s="429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16.26953125" style="84" customWidth="1"/>
    <col min="2" max="2" width="10.26953125" style="84" customWidth="1"/>
    <col min="3" max="3" width="10" style="84" customWidth="1"/>
    <col min="4" max="4" width="10.7265625" style="84" customWidth="1"/>
    <col min="5" max="6" width="8.54296875" style="84" customWidth="1"/>
    <col min="7" max="10" width="6.7265625" style="84" customWidth="1"/>
    <col min="11" max="11" width="8.1796875" style="84" customWidth="1"/>
    <col min="12" max="13" width="9.1796875" style="84"/>
    <col min="14" max="14" width="11.1796875" style="84" customWidth="1"/>
    <col min="15" max="16384" width="9.1796875" style="84"/>
  </cols>
  <sheetData>
    <row r="1" spans="1:11" s="104" customFormat="1" ht="18">
      <c r="A1" s="515" t="str">
        <f>"6.10 Spotřeba zemního plynu a teplota ovzduší podle krajů: "&amp;LOWER(A3)</f>
        <v>6.10 Spotřeba zemního plynu a teplota ovzduší podle krajů: březen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49999999999999" customHeight="1">
      <c r="A3" s="483" t="str">
        <f>'3.1'!F5</f>
        <v>Březen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</row>
    <row r="4" spans="1:11" ht="20.149999999999999" customHeight="1">
      <c r="A4" s="128"/>
      <c r="B4" s="252">
        <f>'3.1'!A4</f>
        <v>2024</v>
      </c>
      <c r="C4" s="538" t="s">
        <v>60</v>
      </c>
      <c r="D4" s="539"/>
      <c r="E4" s="539"/>
      <c r="F4" s="540"/>
      <c r="G4" s="541" t="s">
        <v>186</v>
      </c>
      <c r="H4" s="541"/>
      <c r="I4" s="541"/>
      <c r="J4" s="541"/>
      <c r="K4" s="541"/>
    </row>
    <row r="5" spans="1:11" ht="49.5" customHeight="1">
      <c r="A5" s="272"/>
      <c r="B5" s="500" t="s">
        <v>185</v>
      </c>
      <c r="C5" s="345"/>
      <c r="D5" s="346"/>
      <c r="E5" s="500" t="s">
        <v>277</v>
      </c>
      <c r="F5" s="52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87"/>
      <c r="C6" s="221" t="s">
        <v>259</v>
      </c>
      <c r="D6" s="219" t="s">
        <v>260</v>
      </c>
      <c r="E6" s="487"/>
      <c r="F6" s="52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5" customHeight="1">
      <c r="A7" s="154" t="s">
        <v>8</v>
      </c>
      <c r="B7" s="129">
        <f>'6.1'!D26</f>
        <v>102290</v>
      </c>
      <c r="C7" s="313">
        <f>'6.1'!E26</f>
        <v>22271.741390000003</v>
      </c>
      <c r="D7" s="129">
        <f>'6.1'!F26</f>
        <v>242627.97526000001</v>
      </c>
      <c r="E7" s="307">
        <f>D7/$D$21</f>
        <v>3.4704633300570803E-2</v>
      </c>
      <c r="F7" s="332">
        <f>'6.1'!H26</f>
        <v>-0.15104525975882468</v>
      </c>
      <c r="G7" s="326">
        <v>6.7387096774193553</v>
      </c>
      <c r="H7" s="327">
        <v>14.2</v>
      </c>
      <c r="I7" s="327">
        <v>2.4</v>
      </c>
      <c r="J7" s="327">
        <v>3.0999999999999988</v>
      </c>
      <c r="K7" s="326">
        <v>3.6387096774193566</v>
      </c>
    </row>
    <row r="8" spans="1:11" ht="14.15" customHeight="1">
      <c r="A8" s="154" t="s">
        <v>9</v>
      </c>
      <c r="B8" s="129">
        <f>'6.1'!D56</f>
        <v>372773</v>
      </c>
      <c r="C8" s="313">
        <f>'6.1'!E56</f>
        <v>82104.899999999994</v>
      </c>
      <c r="D8" s="129">
        <f>'6.1'!F56</f>
        <v>892581.53393999976</v>
      </c>
      <c r="E8" s="307">
        <f t="shared" ref="E8:E20" si="0">D8/$D$21</f>
        <v>0.12767165366258384</v>
      </c>
      <c r="F8" s="332">
        <f>'6.1'!H56</f>
        <v>-0.16444747934649653</v>
      </c>
      <c r="G8" s="326">
        <v>8.5903225806451609</v>
      </c>
      <c r="H8" s="327">
        <v>16.399999999999999</v>
      </c>
      <c r="I8" s="327">
        <v>1.9</v>
      </c>
      <c r="J8" s="327">
        <v>4.2000000000000011</v>
      </c>
      <c r="K8" s="326">
        <v>4.3903225806451598</v>
      </c>
    </row>
    <row r="9" spans="1:11" ht="14.15" customHeight="1">
      <c r="A9" s="154" t="s">
        <v>10</v>
      </c>
      <c r="B9" s="129">
        <f>'6.2'!D26</f>
        <v>81946</v>
      </c>
      <c r="C9" s="313">
        <f>'6.2'!E26</f>
        <v>21028.700000000004</v>
      </c>
      <c r="D9" s="129">
        <f>'6.2'!F26</f>
        <v>228608.55879000004</v>
      </c>
      <c r="E9" s="307">
        <f t="shared" si="0"/>
        <v>3.2699346370413808E-2</v>
      </c>
      <c r="F9" s="332">
        <f>'6.2'!H26</f>
        <v>6.9308491434324923E-2</v>
      </c>
      <c r="G9" s="326">
        <v>5.6419354838709701</v>
      </c>
      <c r="H9" s="327">
        <v>12.8</v>
      </c>
      <c r="I9" s="327">
        <v>0.6</v>
      </c>
      <c r="J9" s="327">
        <v>2.7000000000000015</v>
      </c>
      <c r="K9" s="326">
        <v>2.9419354838709686</v>
      </c>
    </row>
    <row r="10" spans="1:11" ht="14.15" customHeight="1">
      <c r="A10" s="154" t="s">
        <v>92</v>
      </c>
      <c r="B10" s="129">
        <f>'6.2'!D56</f>
        <v>114945</v>
      </c>
      <c r="C10" s="313">
        <f>'6.2'!E56</f>
        <v>26538.7</v>
      </c>
      <c r="D10" s="129">
        <f>'6.2'!F56</f>
        <v>288507.89970000001</v>
      </c>
      <c r="E10" s="307">
        <f t="shared" si="0"/>
        <v>4.1267132747890699E-2</v>
      </c>
      <c r="F10" s="332">
        <f>'6.2'!H56</f>
        <v>-0.17242680420729639</v>
      </c>
      <c r="G10" s="326">
        <v>7.0580645161290319</v>
      </c>
      <c r="H10" s="327">
        <v>14.1</v>
      </c>
      <c r="I10" s="327">
        <v>0.7</v>
      </c>
      <c r="J10" s="327">
        <v>2.5999999999999992</v>
      </c>
      <c r="K10" s="326">
        <v>4.4580645161290331</v>
      </c>
    </row>
    <row r="11" spans="1:11" ht="14.15" customHeight="1">
      <c r="A11" s="154" t="s">
        <v>11</v>
      </c>
      <c r="B11" s="129">
        <f>'6.3'!D26</f>
        <v>90771</v>
      </c>
      <c r="C11" s="313">
        <f>'6.3'!E26</f>
        <v>25966.998999999996</v>
      </c>
      <c r="D11" s="129">
        <f>'6.3'!F26</f>
        <v>282290.85813999997</v>
      </c>
      <c r="E11" s="307">
        <f t="shared" si="0"/>
        <v>4.0377869474259531E-2</v>
      </c>
      <c r="F11" s="332">
        <f>'6.3'!H26</f>
        <v>-0.15475310209236634</v>
      </c>
      <c r="G11" s="326">
        <v>7.1516129032258071</v>
      </c>
      <c r="H11" s="327">
        <v>13.5</v>
      </c>
      <c r="I11" s="327">
        <v>0.9</v>
      </c>
      <c r="J11" s="327">
        <v>2.7999999999999985</v>
      </c>
      <c r="K11" s="326">
        <v>4.3516129032258082</v>
      </c>
    </row>
    <row r="12" spans="1:11" ht="14.15" customHeight="1">
      <c r="A12" s="154" t="s">
        <v>12</v>
      </c>
      <c r="B12" s="129">
        <f>'6.3'!D56</f>
        <v>367984</v>
      </c>
      <c r="C12" s="313">
        <f>'6.3'!E56</f>
        <v>72255.428</v>
      </c>
      <c r="D12" s="129">
        <f>'6.3'!F56</f>
        <v>785297.65408999997</v>
      </c>
      <c r="E12" s="307">
        <f t="shared" si="0"/>
        <v>0.11232615318900116</v>
      </c>
      <c r="F12" s="332">
        <f>'6.3'!H56</f>
        <v>-7.8971373075314433E-2</v>
      </c>
      <c r="G12" s="326">
        <v>7.9354838709677402</v>
      </c>
      <c r="H12" s="327">
        <v>18</v>
      </c>
      <c r="I12" s="327">
        <v>0.3</v>
      </c>
      <c r="J12" s="327">
        <v>2.9000000000000008</v>
      </c>
      <c r="K12" s="326">
        <v>5.0354838709677399</v>
      </c>
    </row>
    <row r="13" spans="1:11" ht="14.15" customHeight="1">
      <c r="A13" s="154" t="s">
        <v>13</v>
      </c>
      <c r="B13" s="129">
        <f>'6.4'!D26</f>
        <v>182238</v>
      </c>
      <c r="C13" s="313">
        <f>'6.4'!E26</f>
        <v>37252.699000000001</v>
      </c>
      <c r="D13" s="129">
        <f>'6.4'!F26</f>
        <v>404946.7372899999</v>
      </c>
      <c r="E13" s="307">
        <f t="shared" si="0"/>
        <v>5.7922125463282924E-2</v>
      </c>
      <c r="F13" s="332">
        <f>'6.4'!H26</f>
        <v>-0.18552862468161394</v>
      </c>
      <c r="G13" s="326">
        <v>7.6032258064516123</v>
      </c>
      <c r="H13" s="327">
        <v>15.7</v>
      </c>
      <c r="I13" s="327">
        <v>0.6</v>
      </c>
      <c r="J13" s="327">
        <v>2.5</v>
      </c>
      <c r="K13" s="326">
        <v>5.1032258064516123</v>
      </c>
    </row>
    <row r="14" spans="1:11" ht="14.15" customHeight="1">
      <c r="A14" s="154" t="s">
        <v>14</v>
      </c>
      <c r="B14" s="129">
        <f>'6.4'!D56</f>
        <v>133202</v>
      </c>
      <c r="C14" s="313">
        <f>'6.4'!E56</f>
        <v>28315.599999999999</v>
      </c>
      <c r="D14" s="129">
        <f>'6.4'!F56</f>
        <v>307825.95036000008</v>
      </c>
      <c r="E14" s="307">
        <f t="shared" si="0"/>
        <v>4.4030317263273659E-2</v>
      </c>
      <c r="F14" s="332">
        <f>'6.4'!H56</f>
        <v>-0.15300860284528034</v>
      </c>
      <c r="G14" s="326">
        <v>7.5612903225806445</v>
      </c>
      <c r="H14" s="327">
        <v>15.5</v>
      </c>
      <c r="I14" s="327">
        <v>1.7</v>
      </c>
      <c r="J14" s="327">
        <v>3.5999999999999979</v>
      </c>
      <c r="K14" s="326">
        <v>3.9612903225806466</v>
      </c>
    </row>
    <row r="15" spans="1:11" ht="14.15" customHeight="1">
      <c r="A15" s="154" t="s">
        <v>15</v>
      </c>
      <c r="B15" s="129">
        <f>'6.5'!D26</f>
        <v>156008</v>
      </c>
      <c r="C15" s="313">
        <f>'6.5'!E26</f>
        <v>30774.300000000003</v>
      </c>
      <c r="D15" s="129">
        <f>'6.5'!F26</f>
        <v>334555.80345999997</v>
      </c>
      <c r="E15" s="307">
        <f t="shared" si="0"/>
        <v>4.7853659353234858E-2</v>
      </c>
      <c r="F15" s="332">
        <f>'6.5'!H26</f>
        <v>-0.13879980522860438</v>
      </c>
      <c r="G15" s="326">
        <v>6.9258064516129032</v>
      </c>
      <c r="H15" s="327">
        <v>14.3</v>
      </c>
      <c r="I15" s="327">
        <v>2.2999999999999998</v>
      </c>
      <c r="J15" s="327">
        <v>3.4000000000000017</v>
      </c>
      <c r="K15" s="326">
        <v>3.5258064516129015</v>
      </c>
    </row>
    <row r="16" spans="1:11" ht="14.15" customHeight="1">
      <c r="A16" s="154" t="s">
        <v>1</v>
      </c>
      <c r="B16" s="129">
        <f>'6.5'!D56</f>
        <v>401241</v>
      </c>
      <c r="C16" s="313">
        <f>'6.5'!E56</f>
        <v>70604.677185768</v>
      </c>
      <c r="D16" s="129">
        <f>'6.5'!F56</f>
        <v>769051.58851394395</v>
      </c>
      <c r="E16" s="307">
        <f t="shared" si="0"/>
        <v>0.11000237437582074</v>
      </c>
      <c r="F16" s="332">
        <f>'6.5'!H56</f>
        <v>-0.16243564333022698</v>
      </c>
      <c r="G16" s="326">
        <v>8.9064516129032274</v>
      </c>
      <c r="H16" s="327">
        <v>15.9</v>
      </c>
      <c r="I16" s="327">
        <v>3.9</v>
      </c>
      <c r="J16" s="327">
        <v>4.599999999999997</v>
      </c>
      <c r="K16" s="326">
        <v>4.3064516129032304</v>
      </c>
    </row>
    <row r="17" spans="1:16" ht="14.15" customHeight="1">
      <c r="A17" s="154" t="s">
        <v>16</v>
      </c>
      <c r="B17" s="129">
        <f>'6.6'!D26</f>
        <v>254413</v>
      </c>
      <c r="C17" s="313">
        <f>'6.6'!E26</f>
        <v>85679.387999999992</v>
      </c>
      <c r="D17" s="129">
        <f>'6.6'!F26</f>
        <v>931554.07286400034</v>
      </c>
      <c r="E17" s="307">
        <f t="shared" si="0"/>
        <v>0.13324614551868696</v>
      </c>
      <c r="F17" s="332">
        <f>'6.6'!H26</f>
        <v>-0.16744627956846397</v>
      </c>
      <c r="G17" s="326">
        <v>7.7677419354838717</v>
      </c>
      <c r="H17" s="327">
        <v>14.6</v>
      </c>
      <c r="I17" s="327">
        <v>2.4</v>
      </c>
      <c r="J17" s="327">
        <v>4.2999999999999989</v>
      </c>
      <c r="K17" s="326">
        <v>3.4677419354838728</v>
      </c>
      <c r="L17" s="93"/>
      <c r="N17" s="93"/>
      <c r="O17" s="93"/>
      <c r="P17" s="93"/>
    </row>
    <row r="18" spans="1:16" ht="14.15" customHeight="1">
      <c r="A18" s="154" t="s">
        <v>17</v>
      </c>
      <c r="B18" s="129">
        <f>'6.6'!D56</f>
        <v>216593</v>
      </c>
      <c r="C18" s="313">
        <f>'6.6'!E56</f>
        <v>80909.22099999999</v>
      </c>
      <c r="D18" s="129">
        <f>'6.6'!F56</f>
        <v>881810.78083200008</v>
      </c>
      <c r="E18" s="307">
        <f t="shared" si="0"/>
        <v>0.12613104386034008</v>
      </c>
      <c r="F18" s="332">
        <f>'6.6'!H56</f>
        <v>-0.14783187583726645</v>
      </c>
      <c r="G18" s="326">
        <v>7.3645161290322578</v>
      </c>
      <c r="H18" s="327">
        <v>13.8</v>
      </c>
      <c r="I18" s="327">
        <v>2.8</v>
      </c>
      <c r="J18" s="327">
        <v>4.2999999999999989</v>
      </c>
      <c r="K18" s="326">
        <v>3.0645161290322589</v>
      </c>
      <c r="L18" s="93"/>
      <c r="N18" s="93"/>
      <c r="O18" s="93"/>
      <c r="P18" s="93"/>
    </row>
    <row r="19" spans="1:16" ht="14.15" customHeight="1">
      <c r="A19" s="154" t="s">
        <v>18</v>
      </c>
      <c r="B19" s="129">
        <f>'6.7'!D26</f>
        <v>117880</v>
      </c>
      <c r="C19" s="313">
        <f>'6.7'!E26</f>
        <v>26340.7186</v>
      </c>
      <c r="D19" s="129">
        <f>'6.7'!F26</f>
        <v>286430.28234000009</v>
      </c>
      <c r="E19" s="307">
        <f t="shared" si="0"/>
        <v>4.0969957830033717E-2</v>
      </c>
      <c r="F19" s="332">
        <f>'6.7'!H26</f>
        <v>-0.13247202244585254</v>
      </c>
      <c r="G19" s="326">
        <v>6.6064516129032258</v>
      </c>
      <c r="H19" s="327">
        <v>13.1</v>
      </c>
      <c r="I19" s="327">
        <v>1.2</v>
      </c>
      <c r="J19" s="327">
        <v>2.5</v>
      </c>
      <c r="K19" s="326">
        <v>4.1064516129032258</v>
      </c>
      <c r="L19" s="93"/>
      <c r="N19" s="93"/>
      <c r="O19" s="93"/>
      <c r="P19" s="93"/>
    </row>
    <row r="20" spans="1:16" ht="14.15" customHeight="1">
      <c r="A20" s="204" t="s">
        <v>19</v>
      </c>
      <c r="B20" s="310">
        <f>'6.7'!D56</f>
        <v>152496</v>
      </c>
      <c r="C20" s="314">
        <f>'6.7'!E56</f>
        <v>32667.5</v>
      </c>
      <c r="D20" s="310">
        <f>'6.7'!F56</f>
        <v>355137.47454000002</v>
      </c>
      <c r="E20" s="311">
        <f t="shared" si="0"/>
        <v>5.0797587590607089E-2</v>
      </c>
      <c r="F20" s="333">
        <f>'6.7'!H56</f>
        <v>-0.16784693529240954</v>
      </c>
      <c r="G20" s="328">
        <v>7.4580645161290331</v>
      </c>
      <c r="H20" s="329">
        <v>17</v>
      </c>
      <c r="I20" s="329">
        <v>-0.3</v>
      </c>
      <c r="J20" s="329">
        <v>3.9000000000000021</v>
      </c>
      <c r="K20" s="328">
        <v>3.558064516129031</v>
      </c>
      <c r="L20" s="93"/>
    </row>
    <row r="21" spans="1:16" ht="14.15" customHeight="1">
      <c r="A21" s="154" t="s">
        <v>0</v>
      </c>
      <c r="B21" s="156">
        <f>SUM(B7:B20)</f>
        <v>2744780</v>
      </c>
      <c r="C21" s="313">
        <f>SUM(C7:C20)</f>
        <v>642710.57217576797</v>
      </c>
      <c r="D21" s="129">
        <f>SUM(D7:D20)</f>
        <v>6991227.170119945</v>
      </c>
      <c r="E21" s="367">
        <f>SUM(E7:E20)</f>
        <v>0.99999999999999978</v>
      </c>
      <c r="F21" s="332"/>
      <c r="G21" s="256">
        <v>7.2451612903225797</v>
      </c>
      <c r="H21" s="256">
        <v>14.6</v>
      </c>
      <c r="I21" s="256">
        <v>2.2000000000000002</v>
      </c>
      <c r="J21" s="256">
        <v>3.512903225806451</v>
      </c>
      <c r="K21" s="256">
        <v>3.7322580645161287</v>
      </c>
    </row>
    <row r="22" spans="1:16" ht="14.15" customHeight="1">
      <c r="A22" s="204" t="s">
        <v>94</v>
      </c>
      <c r="B22" s="368"/>
      <c r="C22" s="314">
        <f>'5.1'!E27</f>
        <v>12229.335791310668</v>
      </c>
      <c r="D22" s="310">
        <f>'5.1'!F27</f>
        <v>133208.90361600008</v>
      </c>
      <c r="E22" s="368"/>
      <c r="F22" s="333">
        <f>'5.1'!H27</f>
        <v>-0.28842925169640748</v>
      </c>
      <c r="G22" s="262">
        <v>7.2451612903225797</v>
      </c>
      <c r="H22" s="262">
        <v>14.6</v>
      </c>
      <c r="I22" s="262">
        <v>2.2000000000000002</v>
      </c>
      <c r="J22" s="262">
        <v>3.512903225806451</v>
      </c>
      <c r="K22" s="262">
        <v>3.7322580645161287</v>
      </c>
    </row>
    <row r="23" spans="1:16" ht="14.15" customHeight="1">
      <c r="A23" s="204" t="s">
        <v>55</v>
      </c>
      <c r="B23" s="161">
        <f>B21+B22</f>
        <v>2744780</v>
      </c>
      <c r="C23" s="314">
        <f t="shared" ref="C23:D23" si="1">C21+C22</f>
        <v>654939.90796707862</v>
      </c>
      <c r="D23" s="310">
        <f t="shared" si="1"/>
        <v>7124436.0737359449</v>
      </c>
      <c r="E23" s="368"/>
      <c r="F23" s="333">
        <f>'5.1'!H28</f>
        <v>-0.1486193897621986</v>
      </c>
      <c r="G23" s="262">
        <v>7.2451612903225797</v>
      </c>
      <c r="H23" s="262">
        <v>14.6</v>
      </c>
      <c r="I23" s="262">
        <v>2.2000000000000002</v>
      </c>
      <c r="J23" s="262">
        <v>3.512903225806451</v>
      </c>
      <c r="K23" s="262">
        <v>3.7322580645161287</v>
      </c>
    </row>
    <row r="24" spans="1:16" ht="15" customHeight="1">
      <c r="A24" s="101"/>
      <c r="B24" s="94"/>
      <c r="C24" s="523" t="s">
        <v>242</v>
      </c>
      <c r="D24" s="523"/>
      <c r="E24" s="523"/>
      <c r="F24" s="523"/>
      <c r="G24" s="526" t="s">
        <v>240</v>
      </c>
      <c r="H24" s="526"/>
      <c r="I24" s="526"/>
      <c r="J24" s="526"/>
      <c r="K24" s="526"/>
    </row>
    <row r="25" spans="1:16" ht="15" customHeight="1">
      <c r="A25" s="94"/>
      <c r="B25" s="94"/>
      <c r="C25" s="523"/>
      <c r="D25" s="523"/>
      <c r="E25" s="523"/>
      <c r="F25" s="523"/>
      <c r="G25" s="526" t="s">
        <v>241</v>
      </c>
      <c r="H25" s="526"/>
      <c r="I25" s="526"/>
      <c r="J25" s="526"/>
      <c r="K25" s="52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8" t="s">
        <v>255</v>
      </c>
      <c r="B29" s="488"/>
      <c r="C29" s="488"/>
      <c r="D29" s="488"/>
      <c r="E29" s="488"/>
      <c r="F29" s="488" t="s">
        <v>61</v>
      </c>
      <c r="G29" s="488"/>
      <c r="H29" s="488"/>
      <c r="I29" s="488"/>
      <c r="J29" s="488"/>
      <c r="K29" s="488"/>
    </row>
    <row r="30" spans="1:16" ht="15" customHeight="1">
      <c r="A30" s="120"/>
      <c r="B30" s="524"/>
      <c r="C30" s="524"/>
      <c r="D30" s="120"/>
      <c r="E30" s="120"/>
      <c r="F30" s="120"/>
      <c r="G30" s="120"/>
      <c r="H30" s="524"/>
      <c r="I30" s="52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E1" sqref="E1"/>
    </sheetView>
  </sheetViews>
  <sheetFormatPr defaultColWidth="9.1796875" defaultRowHeight="12.5"/>
  <cols>
    <col min="1" max="1" width="16.26953125" style="84" customWidth="1"/>
    <col min="2" max="2" width="10.26953125" style="84" customWidth="1"/>
    <col min="3" max="3" width="10" style="84" customWidth="1"/>
    <col min="4" max="4" width="10.7265625" style="84" customWidth="1"/>
    <col min="5" max="6" width="8.54296875" style="84" customWidth="1"/>
    <col min="7" max="10" width="6.7265625" style="84" customWidth="1"/>
    <col min="11" max="11" width="8.1796875" style="84" customWidth="1"/>
    <col min="12" max="13" width="9.1796875" style="84"/>
    <col min="14" max="14" width="11.1796875" style="84" customWidth="1"/>
    <col min="15" max="16384" width="9.1796875" style="84"/>
  </cols>
  <sheetData>
    <row r="1" spans="1:11" s="104" customFormat="1" ht="18">
      <c r="A1" s="515" t="str">
        <f>"6.11 Spotřeba zemního plynu a teplota ovzduší podle krajů: "&amp;(A3)</f>
        <v>6.11 Spotřeba zemního plynu a teplota ovzduší podle krajů: I. čtvrtletí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6" customHeight="1">
      <c r="A2" s="519"/>
      <c r="B2" s="519"/>
      <c r="C2" s="300"/>
      <c r="D2" s="301"/>
      <c r="E2" s="302"/>
      <c r="F2" s="302"/>
      <c r="G2" s="302"/>
      <c r="H2" s="302"/>
      <c r="I2" s="76"/>
      <c r="J2" s="76"/>
      <c r="K2" s="76"/>
    </row>
    <row r="3" spans="1:11" ht="20.149999999999999" customHeight="1">
      <c r="A3" s="542" t="str">
        <f>'3.1'!G5</f>
        <v>I. čtvrtletí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</row>
    <row r="4" spans="1:11" ht="20.149999999999999" customHeight="1">
      <c r="A4" s="128"/>
      <c r="B4" s="252">
        <f>'3.1'!A4</f>
        <v>2024</v>
      </c>
      <c r="C4" s="538" t="s">
        <v>60</v>
      </c>
      <c r="D4" s="539"/>
      <c r="E4" s="539"/>
      <c r="F4" s="540"/>
      <c r="G4" s="541" t="s">
        <v>186</v>
      </c>
      <c r="H4" s="541"/>
      <c r="I4" s="541"/>
      <c r="J4" s="541"/>
      <c r="K4" s="541"/>
    </row>
    <row r="5" spans="1:11" ht="49.5" customHeight="1">
      <c r="A5" s="272"/>
      <c r="B5" s="500" t="s">
        <v>185</v>
      </c>
      <c r="C5" s="345"/>
      <c r="D5" s="346"/>
      <c r="E5" s="500" t="s">
        <v>277</v>
      </c>
      <c r="F5" s="520" t="s">
        <v>280</v>
      </c>
      <c r="G5" s="369" t="s">
        <v>62</v>
      </c>
      <c r="H5" s="369" t="s">
        <v>173</v>
      </c>
      <c r="I5" s="369" t="s">
        <v>174</v>
      </c>
      <c r="J5" s="369" t="s">
        <v>282</v>
      </c>
      <c r="K5" s="369" t="s">
        <v>283</v>
      </c>
    </row>
    <row r="6" spans="1:11" ht="15" customHeight="1">
      <c r="A6" s="219" t="s">
        <v>187</v>
      </c>
      <c r="B6" s="487"/>
      <c r="C6" s="221" t="s">
        <v>259</v>
      </c>
      <c r="D6" s="219" t="s">
        <v>260</v>
      </c>
      <c r="E6" s="487"/>
      <c r="F6" s="521"/>
      <c r="G6" s="219" t="s">
        <v>228</v>
      </c>
      <c r="H6" s="219" t="s">
        <v>228</v>
      </c>
      <c r="I6" s="219" t="s">
        <v>228</v>
      </c>
      <c r="J6" s="219" t="s">
        <v>228</v>
      </c>
      <c r="K6" s="219" t="s">
        <v>228</v>
      </c>
    </row>
    <row r="7" spans="1:11" ht="14.15" customHeight="1">
      <c r="A7" s="154" t="s">
        <v>8</v>
      </c>
      <c r="B7" s="129">
        <f>'6.1'!D32</f>
        <v>102290</v>
      </c>
      <c r="C7" s="313">
        <f>'6.1'!E32</f>
        <v>82446.762720000013</v>
      </c>
      <c r="D7" s="129">
        <f>'6.1'!F32</f>
        <v>898224.35877000005</v>
      </c>
      <c r="E7" s="307">
        <f>D7/$D$21</f>
        <v>3.4719789944889869E-2</v>
      </c>
      <c r="F7" s="332">
        <f>'6.1'!H32</f>
        <v>-5.461638996062685E-2</v>
      </c>
      <c r="G7" s="326">
        <f>AVERAGE('6.8'!G7,'6.9'!G7,'6.10'!G7)</f>
        <v>3.9001152073732719</v>
      </c>
      <c r="H7" s="327">
        <f>MAX('6.8'!H7,'6.9'!H7,'6.10'!H7)</f>
        <v>14.2</v>
      </c>
      <c r="I7" s="327">
        <f>MIN('6.8'!I7,'6.9'!I7,'6.10'!I7)</f>
        <v>-11.4</v>
      </c>
      <c r="J7" s="327">
        <f>AVERAGE('6.8'!J7,'6.9'!J7,'6.10'!J7)</f>
        <v>0.13333333333333316</v>
      </c>
      <c r="K7" s="326">
        <f>G7-J7</f>
        <v>3.7667818740399386</v>
      </c>
    </row>
    <row r="8" spans="1:11" ht="14.15" customHeight="1">
      <c r="A8" s="154" t="s">
        <v>9</v>
      </c>
      <c r="B8" s="129">
        <f>'6.1'!D62</f>
        <v>372773</v>
      </c>
      <c r="C8" s="313">
        <f>'6.1'!E62</f>
        <v>317306.09999999998</v>
      </c>
      <c r="D8" s="129">
        <f>'6.1'!F62</f>
        <v>3454528.1689799996</v>
      </c>
      <c r="E8" s="307">
        <f t="shared" ref="E8:E20" si="0">D8/$D$21</f>
        <v>0.1335306610365514</v>
      </c>
      <c r="F8" s="332">
        <f>'6.1'!H62</f>
        <v>-5.1703717650434237E-2</v>
      </c>
      <c r="G8" s="326">
        <f>AVERAGE('6.8'!G8,'6.9'!G8,'6.10'!G8)</f>
        <v>5.3309523809523816</v>
      </c>
      <c r="H8" s="327">
        <f>MAX('6.8'!H8,'6.9'!H8,'6.10'!H8)</f>
        <v>16.399999999999999</v>
      </c>
      <c r="I8" s="327">
        <f>MIN('6.8'!I8,'6.9'!I8,'6.10'!I8)</f>
        <v>-8.9</v>
      </c>
      <c r="J8" s="327">
        <f>AVERAGE('6.8'!J8,'6.9'!J8,'6.10'!J8)</f>
        <v>0.80000000000000016</v>
      </c>
      <c r="K8" s="326">
        <f t="shared" ref="K8:K23" si="1">G8-J8</f>
        <v>4.5309523809523817</v>
      </c>
    </row>
    <row r="9" spans="1:11" ht="14.15" customHeight="1">
      <c r="A9" s="154" t="s">
        <v>10</v>
      </c>
      <c r="B9" s="129">
        <f>'6.2'!D32</f>
        <v>81946</v>
      </c>
      <c r="C9" s="313">
        <f>'6.2'!E32</f>
        <v>70398.7</v>
      </c>
      <c r="D9" s="129">
        <f>'6.2'!F32</f>
        <v>766349.37612000015</v>
      </c>
      <c r="E9" s="307">
        <f t="shared" si="0"/>
        <v>2.9622319973285134E-2</v>
      </c>
      <c r="F9" s="332">
        <f>'6.2'!H32</f>
        <v>9.5048547011737899E-2</v>
      </c>
      <c r="G9" s="326">
        <f>AVERAGE('6.8'!G9,'6.9'!G9,'6.10'!G9)</f>
        <v>3.1172043010752692</v>
      </c>
      <c r="H9" s="327">
        <f>MAX('6.8'!H9,'6.9'!H9,'6.10'!H9)</f>
        <v>12.8</v>
      </c>
      <c r="I9" s="327">
        <f>MIN('6.8'!I9,'6.9'!I9,'6.10'!I9)</f>
        <v>-7.8</v>
      </c>
      <c r="J9" s="327">
        <f>AVERAGE('6.8'!J9,'6.9'!J9,'6.10'!J9)</f>
        <v>-0.133333333333333</v>
      </c>
      <c r="K9" s="326">
        <f t="shared" si="1"/>
        <v>3.2505376344086021</v>
      </c>
    </row>
    <row r="10" spans="1:11" ht="14.15" customHeight="1">
      <c r="A10" s="154" t="s">
        <v>92</v>
      </c>
      <c r="B10" s="129">
        <f>'6.2'!D62</f>
        <v>114945</v>
      </c>
      <c r="C10" s="313">
        <f>'6.2'!E62</f>
        <v>101629.8</v>
      </c>
      <c r="D10" s="129">
        <f>'6.2'!F62</f>
        <v>1106440.4744199999</v>
      </c>
      <c r="E10" s="307">
        <f t="shared" si="0"/>
        <v>4.2768135247402431E-2</v>
      </c>
      <c r="F10" s="332">
        <f>'6.2'!H62</f>
        <v>-4.0012922020142616E-2</v>
      </c>
      <c r="G10" s="326">
        <f>AVERAGE('6.8'!G10,'6.9'!G10,'6.10'!G10)</f>
        <v>3.7895161290322577</v>
      </c>
      <c r="H10" s="327">
        <f>MAX('6.8'!H10,'6.9'!H10,'6.10'!H10)</f>
        <v>14.1</v>
      </c>
      <c r="I10" s="327">
        <f>MIN('6.8'!I10,'6.9'!I10,'6.10'!I10)</f>
        <v>-9.1999999999999993</v>
      </c>
      <c r="J10" s="327">
        <f>AVERAGE('6.8'!J10,'6.9'!J10,'6.10'!J10)</f>
        <v>-0.26666666666666661</v>
      </c>
      <c r="K10" s="326">
        <f t="shared" si="1"/>
        <v>4.0561827956989243</v>
      </c>
    </row>
    <row r="11" spans="1:11" ht="14.15" customHeight="1">
      <c r="A11" s="154" t="s">
        <v>11</v>
      </c>
      <c r="B11" s="129">
        <f>'6.3'!D32</f>
        <v>90771</v>
      </c>
      <c r="C11" s="313">
        <f>'6.3'!E32</f>
        <v>99213.482999999993</v>
      </c>
      <c r="D11" s="129">
        <f>'6.3'!F32</f>
        <v>1080117.4882700001</v>
      </c>
      <c r="E11" s="307">
        <f t="shared" si="0"/>
        <v>4.1750651652210535E-2</v>
      </c>
      <c r="F11" s="332">
        <f>'6.3'!H32</f>
        <v>-1.7195912011364122E-2</v>
      </c>
      <c r="G11" s="326">
        <f>AVERAGE('6.8'!G11,'6.9'!G11,'6.10'!G11)</f>
        <v>4.0082181259600622</v>
      </c>
      <c r="H11" s="327">
        <f>MAX('6.8'!H11,'6.9'!H11,'6.10'!H11)</f>
        <v>13.5</v>
      </c>
      <c r="I11" s="327">
        <f>MIN('6.8'!I11,'6.9'!I11,'6.10'!I11)</f>
        <v>-9.9</v>
      </c>
      <c r="J11" s="327">
        <f>AVERAGE('6.8'!J11,'6.9'!J11,'6.10'!J11)</f>
        <v>0.13333333333333272</v>
      </c>
      <c r="K11" s="326">
        <f t="shared" si="1"/>
        <v>3.8748847926267294</v>
      </c>
    </row>
    <row r="12" spans="1:11" ht="14.15" customHeight="1">
      <c r="A12" s="154" t="s">
        <v>12</v>
      </c>
      <c r="B12" s="129">
        <f>'6.3'!D62</f>
        <v>367984</v>
      </c>
      <c r="C12" s="313">
        <f>'6.3'!E62</f>
        <v>257161.94899999999</v>
      </c>
      <c r="D12" s="129">
        <f>'6.3'!F62</f>
        <v>2798903.3310799999</v>
      </c>
      <c r="E12" s="307">
        <f t="shared" si="0"/>
        <v>0.10818826586290947</v>
      </c>
      <c r="F12" s="332">
        <f>'6.3'!H62</f>
        <v>-1.1787169282649369E-2</v>
      </c>
      <c r="G12" s="326">
        <f>AVERAGE('6.8'!G12,'6.9'!G12,'6.10'!G12)</f>
        <v>4.7797235023041473</v>
      </c>
      <c r="H12" s="327">
        <f>MAX('6.8'!H12,'6.9'!H12,'6.10'!H12)</f>
        <v>18</v>
      </c>
      <c r="I12" s="327">
        <f>MIN('6.8'!I12,'6.9'!I12,'6.10'!I12)</f>
        <v>-14.6</v>
      </c>
      <c r="J12" s="327">
        <f>AVERAGE('6.8'!J12,'6.9'!J12,'6.10'!J12)</f>
        <v>6.6666666666667165E-2</v>
      </c>
      <c r="K12" s="326">
        <f t="shared" si="1"/>
        <v>4.71305683563748</v>
      </c>
    </row>
    <row r="13" spans="1:11" ht="14.15" customHeight="1">
      <c r="A13" s="154" t="s">
        <v>13</v>
      </c>
      <c r="B13" s="129">
        <f>'6.4'!D32</f>
        <v>182238</v>
      </c>
      <c r="C13" s="313">
        <f>'6.4'!E32</f>
        <v>143305.899</v>
      </c>
      <c r="D13" s="129">
        <f>'6.4'!F32</f>
        <v>1560138.1071000001</v>
      </c>
      <c r="E13" s="307">
        <f t="shared" si="0"/>
        <v>6.0305275441099801E-2</v>
      </c>
      <c r="F13" s="332">
        <f>'6.4'!H32</f>
        <v>-6.7986700008779918E-2</v>
      </c>
      <c r="G13" s="326">
        <f>AVERAGE('6.8'!G13,'6.9'!G13,'6.10'!G13)</f>
        <v>4.370084485407066</v>
      </c>
      <c r="H13" s="327">
        <f>MAX('6.8'!H13,'6.9'!H13,'6.10'!H13)</f>
        <v>15.7</v>
      </c>
      <c r="I13" s="327">
        <f>MIN('6.8'!I13,'6.9'!I13,'6.10'!I13)</f>
        <v>-11.4</v>
      </c>
      <c r="J13" s="327">
        <f>AVERAGE('6.8'!J13,'6.9'!J13,'6.10'!J13)</f>
        <v>-0.40000000000000008</v>
      </c>
      <c r="K13" s="326">
        <f t="shared" si="1"/>
        <v>4.7700844854070663</v>
      </c>
    </row>
    <row r="14" spans="1:11" ht="14.15" customHeight="1">
      <c r="A14" s="154" t="s">
        <v>14</v>
      </c>
      <c r="B14" s="129">
        <f>'6.4'!D62</f>
        <v>133202</v>
      </c>
      <c r="C14" s="313">
        <f>'6.4'!E62</f>
        <v>105380.8</v>
      </c>
      <c r="D14" s="129">
        <f>'6.4'!F62</f>
        <v>1147257.63625</v>
      </c>
      <c r="E14" s="307">
        <f t="shared" si="0"/>
        <v>4.4345873894820989E-2</v>
      </c>
      <c r="F14" s="332">
        <f>'6.4'!H62</f>
        <v>-4.7901794950791839E-2</v>
      </c>
      <c r="G14" s="326">
        <f>AVERAGE('6.8'!G14,'6.9'!G14,'6.10'!G14)</f>
        <v>4.4253840245775731</v>
      </c>
      <c r="H14" s="327">
        <f>MAX('6.8'!H14,'6.9'!H14,'6.10'!H14)</f>
        <v>15.5</v>
      </c>
      <c r="I14" s="327">
        <f>MIN('6.8'!I14,'6.9'!I14,'6.10'!I14)</f>
        <v>-9.5</v>
      </c>
      <c r="J14" s="327">
        <f>AVERAGE('6.8'!J14,'6.9'!J14,'6.10'!J14)</f>
        <v>0.56666666666666565</v>
      </c>
      <c r="K14" s="326">
        <f t="shared" si="1"/>
        <v>3.8587173579109075</v>
      </c>
    </row>
    <row r="15" spans="1:11" ht="14.15" customHeight="1">
      <c r="A15" s="154" t="s">
        <v>15</v>
      </c>
      <c r="B15" s="129">
        <f>'6.5'!D32</f>
        <v>156008</v>
      </c>
      <c r="C15" s="313">
        <f>'6.5'!E32</f>
        <v>112208.3</v>
      </c>
      <c r="D15" s="129">
        <f>'6.5'!F32</f>
        <v>1221567.06464</v>
      </c>
      <c r="E15" s="307">
        <f t="shared" si="0"/>
        <v>4.7218216110254355E-2</v>
      </c>
      <c r="F15" s="332">
        <f>'6.5'!H32</f>
        <v>-4.6447813450719758E-2</v>
      </c>
      <c r="G15" s="326">
        <f>AVERAGE('6.8'!G15,'6.9'!G15,'6.10'!G15)</f>
        <v>4.2239247311827954</v>
      </c>
      <c r="H15" s="327">
        <f>MAX('6.8'!H15,'6.9'!H15,'6.10'!H15)</f>
        <v>14.3</v>
      </c>
      <c r="I15" s="327">
        <f>MIN('6.8'!I15,'6.9'!I15,'6.10'!I15)</f>
        <v>-8.4</v>
      </c>
      <c r="J15" s="327">
        <f>AVERAGE('6.8'!J15,'6.9'!J15,'6.10'!J15)</f>
        <v>0.40000000000000036</v>
      </c>
      <c r="K15" s="326">
        <f t="shared" si="1"/>
        <v>3.8239247311827951</v>
      </c>
    </row>
    <row r="16" spans="1:11" ht="14.15" customHeight="1">
      <c r="A16" s="154" t="s">
        <v>1</v>
      </c>
      <c r="B16" s="129">
        <f>'6.5'!D62</f>
        <v>401241</v>
      </c>
      <c r="C16" s="313">
        <f>'6.5'!E62</f>
        <v>276454.03611820703</v>
      </c>
      <c r="D16" s="129">
        <f>'6.5'!F62</f>
        <v>3015007.3480109312</v>
      </c>
      <c r="E16" s="307">
        <f t="shared" si="0"/>
        <v>0.11654150856984667</v>
      </c>
      <c r="F16" s="332">
        <f>'6.5'!H62</f>
        <v>-2.8845177780006833E-2</v>
      </c>
      <c r="G16" s="326">
        <f>AVERAGE('6.8'!G16,'6.9'!G16,'6.10'!G16)</f>
        <v>5.8018049155145937</v>
      </c>
      <c r="H16" s="327">
        <f>MAX('6.8'!H16,'6.9'!H16,'6.10'!H16)</f>
        <v>15.9</v>
      </c>
      <c r="I16" s="327">
        <f>MIN('6.8'!I16,'6.9'!I16,'6.10'!I16)</f>
        <v>-7.5</v>
      </c>
      <c r="J16" s="327">
        <f>AVERAGE('6.8'!J16,'6.9'!J16,'6.10'!J16)</f>
        <v>1.5666666666666655</v>
      </c>
      <c r="K16" s="326">
        <f t="shared" si="1"/>
        <v>4.2351382488479281</v>
      </c>
    </row>
    <row r="17" spans="1:16" ht="14.15" customHeight="1">
      <c r="A17" s="154" t="s">
        <v>16</v>
      </c>
      <c r="B17" s="129">
        <f>'6.6'!D32</f>
        <v>254413</v>
      </c>
      <c r="C17" s="313">
        <f>'6.6'!E32</f>
        <v>310468.44399999996</v>
      </c>
      <c r="D17" s="129">
        <f>'6.6'!F32</f>
        <v>3380153.4615580002</v>
      </c>
      <c r="E17" s="307">
        <f t="shared" si="0"/>
        <v>0.13065579553809112</v>
      </c>
      <c r="F17" s="332">
        <f>'6.6'!H32</f>
        <v>-4.2552956720888636E-2</v>
      </c>
      <c r="G17" s="326">
        <f>AVERAGE('6.8'!G17,'6.9'!G17,'6.10'!G17)</f>
        <v>4.799692780337943</v>
      </c>
      <c r="H17" s="327">
        <f>MAX('6.8'!H17,'6.9'!H17,'6.10'!H17)</f>
        <v>14.6</v>
      </c>
      <c r="I17" s="327">
        <f>MIN('6.8'!I17,'6.9'!I17,'6.10'!I17)</f>
        <v>-9.6</v>
      </c>
      <c r="J17" s="327">
        <f>AVERAGE('6.8'!J17,'6.9'!J17,'6.10'!J17)</f>
        <v>1.1666666666666663</v>
      </c>
      <c r="K17" s="326">
        <f t="shared" si="1"/>
        <v>3.6330261136712769</v>
      </c>
      <c r="L17" s="93"/>
      <c r="N17" s="93"/>
      <c r="O17" s="93"/>
      <c r="P17" s="93"/>
    </row>
    <row r="18" spans="1:16" ht="14.15" customHeight="1">
      <c r="A18" s="154" t="s">
        <v>17</v>
      </c>
      <c r="B18" s="129">
        <f>'6.6'!D62</f>
        <v>216593</v>
      </c>
      <c r="C18" s="313">
        <f>'6.6'!E62</f>
        <v>277962.66199999995</v>
      </c>
      <c r="D18" s="129">
        <f>'6.6'!F62</f>
        <v>3029316.5613040002</v>
      </c>
      <c r="E18" s="307">
        <f t="shared" si="0"/>
        <v>0.11709461412188527</v>
      </c>
      <c r="F18" s="332">
        <f>'6.6'!H62</f>
        <v>-5.6617622305684692E-2</v>
      </c>
      <c r="G18" s="326">
        <f>AVERAGE('6.8'!G18,'6.9'!G18,'6.10'!G18)</f>
        <v>4.4513824884792621</v>
      </c>
      <c r="H18" s="327">
        <f>MAX('6.8'!H18,'6.9'!H18,'6.10'!H18)</f>
        <v>13.8</v>
      </c>
      <c r="I18" s="327">
        <f>MIN('6.8'!I18,'6.9'!I18,'6.10'!I18)</f>
        <v>-8.8000000000000007</v>
      </c>
      <c r="J18" s="327">
        <f>AVERAGE('6.8'!J18,'6.9'!J18,'6.10'!J18)</f>
        <v>1.2999999999999996</v>
      </c>
      <c r="K18" s="326">
        <f t="shared" si="1"/>
        <v>3.1513824884792623</v>
      </c>
      <c r="L18" s="93"/>
      <c r="N18" s="93"/>
      <c r="O18" s="93"/>
      <c r="P18" s="93"/>
    </row>
    <row r="19" spans="1:16" ht="14.15" customHeight="1">
      <c r="A19" s="154" t="s">
        <v>18</v>
      </c>
      <c r="B19" s="129">
        <f>'6.7'!D32</f>
        <v>117880</v>
      </c>
      <c r="C19" s="313">
        <f>'6.7'!E32</f>
        <v>98065.877599999993</v>
      </c>
      <c r="D19" s="129">
        <f>'6.7'!F32</f>
        <v>1067717.5593400002</v>
      </c>
      <c r="E19" s="307">
        <f t="shared" si="0"/>
        <v>4.127134720719336E-2</v>
      </c>
      <c r="F19" s="332">
        <f>'6.7'!H32</f>
        <v>-3.4271532036290464E-2</v>
      </c>
      <c r="G19" s="326">
        <f>AVERAGE('6.8'!G19,'6.9'!G19,'6.10'!G19)</f>
        <v>3.7740399385560672</v>
      </c>
      <c r="H19" s="327">
        <f>MAX('6.8'!H19,'6.9'!H19,'6.10'!H19)</f>
        <v>13.1</v>
      </c>
      <c r="I19" s="327">
        <f>MIN('6.8'!I19,'6.9'!I19,'6.10'!I19)</f>
        <v>-9</v>
      </c>
      <c r="J19" s="327">
        <f>AVERAGE('6.8'!J19,'6.9'!J19,'6.10'!J19)</f>
        <v>-0.43333333333333329</v>
      </c>
      <c r="K19" s="326">
        <f t="shared" si="1"/>
        <v>4.2073732718894004</v>
      </c>
      <c r="L19" s="93"/>
      <c r="N19" s="93"/>
      <c r="O19" s="93"/>
      <c r="P19" s="93"/>
    </row>
    <row r="20" spans="1:16" ht="14.15" customHeight="1">
      <c r="A20" s="204" t="s">
        <v>19</v>
      </c>
      <c r="B20" s="310">
        <f>'6.7'!D62</f>
        <v>152496</v>
      </c>
      <c r="C20" s="314">
        <f>'6.7'!E62</f>
        <v>123538.9</v>
      </c>
      <c r="D20" s="310">
        <f>'6.7'!F62</f>
        <v>1344952.8267500002</v>
      </c>
      <c r="E20" s="311">
        <f t="shared" si="0"/>
        <v>5.1987545399559798E-2</v>
      </c>
      <c r="F20" s="333">
        <f>'6.7'!H62</f>
        <v>-3.7047574357831202E-2</v>
      </c>
      <c r="G20" s="328">
        <f>AVERAGE('6.8'!G20,'6.9'!G20,'6.10'!G20)</f>
        <v>4.307565284178188</v>
      </c>
      <c r="H20" s="329">
        <f>MAX('6.8'!H20,'6.9'!H20,'6.10'!H20)</f>
        <v>17</v>
      </c>
      <c r="I20" s="329">
        <f>MIN('6.8'!I20,'6.9'!I20,'6.10'!I20)</f>
        <v>-11.7</v>
      </c>
      <c r="J20" s="329">
        <f>AVERAGE('6.8'!J20,'6.9'!J20,'6.10'!J20)</f>
        <v>0.73333333333333373</v>
      </c>
      <c r="K20" s="328">
        <f t="shared" si="1"/>
        <v>3.5742319508448541</v>
      </c>
      <c r="L20" s="93"/>
    </row>
    <row r="21" spans="1:16" ht="14.15" customHeight="1">
      <c r="A21" s="154" t="s">
        <v>0</v>
      </c>
      <c r="B21" s="156">
        <f>SUM(B7:B20)</f>
        <v>2744780</v>
      </c>
      <c r="C21" s="313">
        <f>SUM(C7:C20)</f>
        <v>2375541.7134382068</v>
      </c>
      <c r="D21" s="129">
        <f>SUM(D7:D20)</f>
        <v>25870673.762592927</v>
      </c>
      <c r="E21" s="367">
        <f>SUM(E7:E20)</f>
        <v>1.0000000000000002</v>
      </c>
      <c r="F21" s="332"/>
      <c r="G21" s="256">
        <f>AVERAGE('6.8'!G21,'6.9'!G21,'6.10'!G21)</f>
        <v>4.2664362519201218</v>
      </c>
      <c r="H21" s="256">
        <f>MAX('6.8'!H21,'6.9'!H21,'6.10'!H21)</f>
        <v>14.6</v>
      </c>
      <c r="I21" s="256">
        <f>MIN('6.8'!I21,'6.9'!I21,'6.10'!I21)</f>
        <v>-9.6</v>
      </c>
      <c r="J21" s="256">
        <f>AVERAGE('6.8'!J21,'6.9'!J21,'6.10'!J21)</f>
        <v>0.71064145346681462</v>
      </c>
      <c r="K21" s="256">
        <f t="shared" si="1"/>
        <v>3.5557947984533071</v>
      </c>
      <c r="M21" s="105"/>
    </row>
    <row r="22" spans="1:16" ht="14.15" customHeight="1">
      <c r="A22" s="204" t="s">
        <v>94</v>
      </c>
      <c r="B22" s="368"/>
      <c r="C22" s="314">
        <f>'5.1'!E34</f>
        <v>39080.640818280357</v>
      </c>
      <c r="D22" s="310">
        <f>'5.1'!F34</f>
        <v>426428.25482700008</v>
      </c>
      <c r="E22" s="368"/>
      <c r="F22" s="333">
        <f>'5.1'!H34</f>
        <v>-0.26450262318622852</v>
      </c>
      <c r="G22" s="262">
        <f>AVERAGE('6.8'!G22,'6.9'!G22,'6.10'!G22)</f>
        <v>4.2664362519201218</v>
      </c>
      <c r="H22" s="262">
        <f>MAX('6.8'!H22,'6.9'!H22,'6.10'!H22)</f>
        <v>14.6</v>
      </c>
      <c r="I22" s="262">
        <f>MIN('6.8'!I22,'6.9'!I22,'6.10'!I22)</f>
        <v>-9.6</v>
      </c>
      <c r="J22" s="262">
        <f>AVERAGE('6.8'!J22,'6.9'!J22,'6.10'!J22)</f>
        <v>0.71064145346681462</v>
      </c>
      <c r="K22" s="262">
        <f t="shared" si="1"/>
        <v>3.5557947984533071</v>
      </c>
    </row>
    <row r="23" spans="1:16" ht="14.15" customHeight="1">
      <c r="A23" s="204" t="s">
        <v>55</v>
      </c>
      <c r="B23" s="161">
        <f>B21+B22</f>
        <v>2744780</v>
      </c>
      <c r="C23" s="314">
        <f t="shared" ref="C23:D23" si="2">C21+C22</f>
        <v>2414622.354256487</v>
      </c>
      <c r="D23" s="310">
        <f t="shared" si="2"/>
        <v>26297102.017419927</v>
      </c>
      <c r="E23" s="368"/>
      <c r="F23" s="333">
        <f>'5.1'!H35</f>
        <v>-4.250616076603065E-2</v>
      </c>
      <c r="G23" s="262">
        <f>AVERAGE('6.8'!G23,'6.9'!G23,'6.10'!G23)</f>
        <v>4.2664362519201218</v>
      </c>
      <c r="H23" s="262">
        <f>MAX('6.8'!H23,'6.9'!H23,'6.10'!H23)</f>
        <v>14.6</v>
      </c>
      <c r="I23" s="262">
        <f>MIN('6.8'!I23,'6.9'!I23,'6.10'!I23)</f>
        <v>-9.6</v>
      </c>
      <c r="J23" s="262">
        <f>AVERAGE('6.8'!J23,'6.9'!J23,'6.10'!J23)</f>
        <v>0.71064145346681462</v>
      </c>
      <c r="K23" s="262">
        <f t="shared" si="1"/>
        <v>3.5557947984533071</v>
      </c>
    </row>
    <row r="24" spans="1:16" ht="15" customHeight="1">
      <c r="A24" s="101"/>
      <c r="B24" s="94"/>
      <c r="C24" s="523" t="s">
        <v>242</v>
      </c>
      <c r="D24" s="523"/>
      <c r="E24" s="523"/>
      <c r="F24" s="523"/>
      <c r="G24" s="526" t="s">
        <v>240</v>
      </c>
      <c r="H24" s="526"/>
      <c r="I24" s="526"/>
      <c r="J24" s="526"/>
      <c r="K24" s="526"/>
    </row>
    <row r="25" spans="1:16" ht="15" customHeight="1">
      <c r="A25" s="94"/>
      <c r="B25" s="94"/>
      <c r="C25" s="523"/>
      <c r="D25" s="523"/>
      <c r="E25" s="523"/>
      <c r="F25" s="523"/>
      <c r="G25" s="526" t="s">
        <v>241</v>
      </c>
      <c r="H25" s="526"/>
      <c r="I25" s="526"/>
      <c r="J25" s="526"/>
      <c r="K25" s="526"/>
    </row>
    <row r="26" spans="1:16" ht="30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6" ht="15" customHeight="1">
      <c r="A27" s="87"/>
      <c r="B27" s="87"/>
      <c r="C27" s="94"/>
      <c r="D27" s="99"/>
      <c r="E27" s="100"/>
      <c r="F27" s="100"/>
      <c r="G27" s="94"/>
      <c r="H27" s="101"/>
      <c r="I27" s="87"/>
      <c r="J27" s="94"/>
      <c r="K27" s="94"/>
    </row>
    <row r="28" spans="1:16" ht="18" customHeight="1">
      <c r="A28" s="94"/>
      <c r="B28" s="94"/>
      <c r="C28" s="94"/>
      <c r="D28" s="99"/>
      <c r="E28" s="100"/>
      <c r="F28" s="100"/>
      <c r="G28" s="94"/>
      <c r="H28" s="94"/>
      <c r="I28" s="94"/>
      <c r="J28" s="94"/>
      <c r="K28" s="94"/>
    </row>
    <row r="29" spans="1:16" ht="15" customHeight="1">
      <c r="A29" s="488" t="s">
        <v>255</v>
      </c>
      <c r="B29" s="488"/>
      <c r="C29" s="488"/>
      <c r="D29" s="488"/>
      <c r="E29" s="488"/>
      <c r="F29" s="488" t="s">
        <v>61</v>
      </c>
      <c r="G29" s="488"/>
      <c r="H29" s="488"/>
      <c r="I29" s="488"/>
      <c r="J29" s="488"/>
      <c r="K29" s="488"/>
    </row>
    <row r="30" spans="1:16" ht="15" customHeight="1">
      <c r="A30" s="120"/>
      <c r="B30" s="529"/>
      <c r="C30" s="529"/>
      <c r="D30" s="120"/>
      <c r="E30" s="120"/>
      <c r="F30" s="120"/>
      <c r="G30" s="120"/>
      <c r="H30" s="529"/>
      <c r="I30" s="524"/>
      <c r="J30" s="120"/>
      <c r="K30" s="120"/>
    </row>
    <row r="31" spans="1:16" ht="1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ht="1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ht="15" customHeight="1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ht="15" customHeight="1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</row>
    <row r="35" spans="1:11" ht="15" customHeigh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ht="15" customHeight="1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1" ht="15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 ht="1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1:11" ht="1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ht="15" customHeigh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zoomScaleNormal="100" zoomScaleSheetLayoutView="100" workbookViewId="0">
      <selection activeCell="E1" sqref="E1"/>
    </sheetView>
  </sheetViews>
  <sheetFormatPr defaultRowHeight="10"/>
  <cols>
    <col min="1" max="1" width="8" style="12" customWidth="1"/>
    <col min="2" max="2" width="7.7265625" style="12" customWidth="1"/>
    <col min="3" max="3" width="8.453125" style="12" customWidth="1"/>
    <col min="4" max="11" width="7.7265625" style="12" customWidth="1"/>
    <col min="12" max="13" width="8.54296875" style="12" customWidth="1"/>
    <col min="14" max="15" width="7.7265625" style="12" customWidth="1"/>
    <col min="16" max="16" width="9.1796875" style="12" customWidth="1"/>
    <col min="17" max="17" width="7.54296875" style="12" customWidth="1"/>
    <col min="18" max="18" width="8.54296875" style="12" customWidth="1"/>
    <col min="19" max="19" width="9.26953125" style="12" bestFit="1" customWidth="1"/>
    <col min="20" max="20" width="11.453125" style="12" bestFit="1" customWidth="1"/>
    <col min="21" max="259" width="9.1796875" style="12"/>
    <col min="260" max="272" width="10.7265625" style="12" customWidth="1"/>
    <col min="273" max="515" width="9.1796875" style="12"/>
    <col min="516" max="528" width="10.7265625" style="12" customWidth="1"/>
    <col min="529" max="771" width="9.1796875" style="12"/>
    <col min="772" max="784" width="10.7265625" style="12" customWidth="1"/>
    <col min="785" max="1027" width="9.1796875" style="12"/>
    <col min="1028" max="1040" width="10.7265625" style="12" customWidth="1"/>
    <col min="1041" max="1283" width="9.1796875" style="12"/>
    <col min="1284" max="1296" width="10.7265625" style="12" customWidth="1"/>
    <col min="1297" max="1539" width="9.1796875" style="12"/>
    <col min="1540" max="1552" width="10.7265625" style="12" customWidth="1"/>
    <col min="1553" max="1795" width="9.1796875" style="12"/>
    <col min="1796" max="1808" width="10.7265625" style="12" customWidth="1"/>
    <col min="1809" max="2051" width="9.1796875" style="12"/>
    <col min="2052" max="2064" width="10.7265625" style="12" customWidth="1"/>
    <col min="2065" max="2307" width="9.1796875" style="12"/>
    <col min="2308" max="2320" width="10.7265625" style="12" customWidth="1"/>
    <col min="2321" max="2563" width="9.1796875" style="12"/>
    <col min="2564" max="2576" width="10.7265625" style="12" customWidth="1"/>
    <col min="2577" max="2819" width="9.1796875" style="12"/>
    <col min="2820" max="2832" width="10.7265625" style="12" customWidth="1"/>
    <col min="2833" max="3075" width="9.1796875" style="12"/>
    <col min="3076" max="3088" width="10.7265625" style="12" customWidth="1"/>
    <col min="3089" max="3331" width="9.1796875" style="12"/>
    <col min="3332" max="3344" width="10.7265625" style="12" customWidth="1"/>
    <col min="3345" max="3587" width="9.1796875" style="12"/>
    <col min="3588" max="3600" width="10.7265625" style="12" customWidth="1"/>
    <col min="3601" max="3843" width="9.1796875" style="12"/>
    <col min="3844" max="3856" width="10.7265625" style="12" customWidth="1"/>
    <col min="3857" max="4099" width="9.1796875" style="12"/>
    <col min="4100" max="4112" width="10.7265625" style="12" customWidth="1"/>
    <col min="4113" max="4355" width="9.1796875" style="12"/>
    <col min="4356" max="4368" width="10.7265625" style="12" customWidth="1"/>
    <col min="4369" max="4611" width="9.1796875" style="12"/>
    <col min="4612" max="4624" width="10.7265625" style="12" customWidth="1"/>
    <col min="4625" max="4867" width="9.1796875" style="12"/>
    <col min="4868" max="4880" width="10.7265625" style="12" customWidth="1"/>
    <col min="4881" max="5123" width="9.1796875" style="12"/>
    <col min="5124" max="5136" width="10.7265625" style="12" customWidth="1"/>
    <col min="5137" max="5379" width="9.1796875" style="12"/>
    <col min="5380" max="5392" width="10.7265625" style="12" customWidth="1"/>
    <col min="5393" max="5635" width="9.1796875" style="12"/>
    <col min="5636" max="5648" width="10.7265625" style="12" customWidth="1"/>
    <col min="5649" max="5891" width="9.1796875" style="12"/>
    <col min="5892" max="5904" width="10.7265625" style="12" customWidth="1"/>
    <col min="5905" max="6147" width="9.1796875" style="12"/>
    <col min="6148" max="6160" width="10.7265625" style="12" customWidth="1"/>
    <col min="6161" max="6403" width="9.1796875" style="12"/>
    <col min="6404" max="6416" width="10.7265625" style="12" customWidth="1"/>
    <col min="6417" max="6659" width="9.1796875" style="12"/>
    <col min="6660" max="6672" width="10.7265625" style="12" customWidth="1"/>
    <col min="6673" max="6915" width="9.1796875" style="12"/>
    <col min="6916" max="6928" width="10.7265625" style="12" customWidth="1"/>
    <col min="6929" max="7171" width="9.1796875" style="12"/>
    <col min="7172" max="7184" width="10.7265625" style="12" customWidth="1"/>
    <col min="7185" max="7427" width="9.1796875" style="12"/>
    <col min="7428" max="7440" width="10.7265625" style="12" customWidth="1"/>
    <col min="7441" max="7683" width="9.1796875" style="12"/>
    <col min="7684" max="7696" width="10.7265625" style="12" customWidth="1"/>
    <col min="7697" max="7939" width="9.1796875" style="12"/>
    <col min="7940" max="7952" width="10.7265625" style="12" customWidth="1"/>
    <col min="7953" max="8195" width="9.1796875" style="12"/>
    <col min="8196" max="8208" width="10.7265625" style="12" customWidth="1"/>
    <col min="8209" max="8451" width="9.1796875" style="12"/>
    <col min="8452" max="8464" width="10.7265625" style="12" customWidth="1"/>
    <col min="8465" max="8707" width="9.1796875" style="12"/>
    <col min="8708" max="8720" width="10.7265625" style="12" customWidth="1"/>
    <col min="8721" max="8963" width="9.1796875" style="12"/>
    <col min="8964" max="8976" width="10.7265625" style="12" customWidth="1"/>
    <col min="8977" max="9219" width="9.1796875" style="12"/>
    <col min="9220" max="9232" width="10.7265625" style="12" customWidth="1"/>
    <col min="9233" max="9475" width="9.1796875" style="12"/>
    <col min="9476" max="9488" width="10.7265625" style="12" customWidth="1"/>
    <col min="9489" max="9731" width="9.1796875" style="12"/>
    <col min="9732" max="9744" width="10.7265625" style="12" customWidth="1"/>
    <col min="9745" max="9987" width="9.1796875" style="12"/>
    <col min="9988" max="10000" width="10.7265625" style="12" customWidth="1"/>
    <col min="10001" max="10243" width="9.1796875" style="12"/>
    <col min="10244" max="10256" width="10.7265625" style="12" customWidth="1"/>
    <col min="10257" max="10499" width="9.1796875" style="12"/>
    <col min="10500" max="10512" width="10.7265625" style="12" customWidth="1"/>
    <col min="10513" max="10755" width="9.1796875" style="12"/>
    <col min="10756" max="10768" width="10.7265625" style="12" customWidth="1"/>
    <col min="10769" max="11011" width="9.1796875" style="12"/>
    <col min="11012" max="11024" width="10.7265625" style="12" customWidth="1"/>
    <col min="11025" max="11267" width="9.1796875" style="12"/>
    <col min="11268" max="11280" width="10.7265625" style="12" customWidth="1"/>
    <col min="11281" max="11523" width="9.1796875" style="12"/>
    <col min="11524" max="11536" width="10.7265625" style="12" customWidth="1"/>
    <col min="11537" max="11779" width="9.1796875" style="12"/>
    <col min="11780" max="11792" width="10.7265625" style="12" customWidth="1"/>
    <col min="11793" max="12035" width="9.1796875" style="12"/>
    <col min="12036" max="12048" width="10.7265625" style="12" customWidth="1"/>
    <col min="12049" max="12291" width="9.1796875" style="12"/>
    <col min="12292" max="12304" width="10.7265625" style="12" customWidth="1"/>
    <col min="12305" max="12547" width="9.1796875" style="12"/>
    <col min="12548" max="12560" width="10.7265625" style="12" customWidth="1"/>
    <col min="12561" max="12803" width="9.1796875" style="12"/>
    <col min="12804" max="12816" width="10.7265625" style="12" customWidth="1"/>
    <col min="12817" max="13059" width="9.1796875" style="12"/>
    <col min="13060" max="13072" width="10.7265625" style="12" customWidth="1"/>
    <col min="13073" max="13315" width="9.1796875" style="12"/>
    <col min="13316" max="13328" width="10.7265625" style="12" customWidth="1"/>
    <col min="13329" max="13571" width="9.1796875" style="12"/>
    <col min="13572" max="13584" width="10.7265625" style="12" customWidth="1"/>
    <col min="13585" max="13827" width="9.1796875" style="12"/>
    <col min="13828" max="13840" width="10.7265625" style="12" customWidth="1"/>
    <col min="13841" max="14083" width="9.1796875" style="12"/>
    <col min="14084" max="14096" width="10.7265625" style="12" customWidth="1"/>
    <col min="14097" max="14339" width="9.1796875" style="12"/>
    <col min="14340" max="14352" width="10.7265625" style="12" customWidth="1"/>
    <col min="14353" max="14595" width="9.1796875" style="12"/>
    <col min="14596" max="14608" width="10.7265625" style="12" customWidth="1"/>
    <col min="14609" max="14851" width="9.1796875" style="12"/>
    <col min="14852" max="14864" width="10.7265625" style="12" customWidth="1"/>
    <col min="14865" max="15107" width="9.1796875" style="12"/>
    <col min="15108" max="15120" width="10.7265625" style="12" customWidth="1"/>
    <col min="15121" max="15363" width="9.1796875" style="12"/>
    <col min="15364" max="15376" width="10.7265625" style="12" customWidth="1"/>
    <col min="15377" max="15619" width="9.1796875" style="12"/>
    <col min="15620" max="15632" width="10.7265625" style="12" customWidth="1"/>
    <col min="15633" max="15875" width="9.1796875" style="12"/>
    <col min="15876" max="15888" width="10.7265625" style="12" customWidth="1"/>
    <col min="15889" max="16131" width="9.1796875" style="12"/>
    <col min="16132" max="16144" width="10.7265625" style="12" customWidth="1"/>
    <col min="16145" max="16384" width="9.1796875" style="12"/>
  </cols>
  <sheetData>
    <row r="1" spans="1:22" ht="18">
      <c r="A1" s="461" t="s">
        <v>308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</row>
    <row r="2" spans="1:22" ht="6" customHeight="1">
      <c r="A2" s="533"/>
      <c r="B2" s="534"/>
      <c r="C2" s="534"/>
      <c r="D2" s="534"/>
      <c r="E2" s="534"/>
      <c r="F2" s="534"/>
      <c r="G2" s="534"/>
      <c r="H2" s="534"/>
      <c r="I2" s="534"/>
      <c r="J2" s="208"/>
      <c r="K2" s="207"/>
      <c r="L2" s="207"/>
      <c r="M2" s="207"/>
      <c r="N2" s="207"/>
      <c r="O2" s="207"/>
      <c r="P2" s="207"/>
      <c r="Q2" s="207"/>
      <c r="R2" s="207"/>
    </row>
    <row r="3" spans="1:22" ht="35.15" customHeight="1">
      <c r="A3" s="457" t="s">
        <v>274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</row>
    <row r="4" spans="1:22" ht="85" customHeight="1">
      <c r="A4" s="218">
        <f>'3.1'!A4</f>
        <v>2024</v>
      </c>
      <c r="B4" s="370" t="s">
        <v>68</v>
      </c>
      <c r="C4" s="370" t="s">
        <v>69</v>
      </c>
      <c r="D4" s="370" t="s">
        <v>70</v>
      </c>
      <c r="E4" s="370" t="s">
        <v>91</v>
      </c>
      <c r="F4" s="370" t="s">
        <v>71</v>
      </c>
      <c r="G4" s="370" t="s">
        <v>72</v>
      </c>
      <c r="H4" s="370" t="s">
        <v>73</v>
      </c>
      <c r="I4" s="370" t="s">
        <v>74</v>
      </c>
      <c r="J4" s="370" t="s">
        <v>75</v>
      </c>
      <c r="K4" s="370" t="s">
        <v>76</v>
      </c>
      <c r="L4" s="370" t="s">
        <v>77</v>
      </c>
      <c r="M4" s="370" t="s">
        <v>78</v>
      </c>
      <c r="N4" s="370" t="s">
        <v>79</v>
      </c>
      <c r="O4" s="370" t="s">
        <v>80</v>
      </c>
      <c r="P4" s="370" t="s">
        <v>81</v>
      </c>
      <c r="Q4" s="370" t="s">
        <v>95</v>
      </c>
      <c r="R4" s="370" t="s">
        <v>82</v>
      </c>
    </row>
    <row r="5" spans="1:22" ht="20.149999999999999" customHeight="1">
      <c r="A5" s="176" t="s">
        <v>160</v>
      </c>
      <c r="B5" s="235">
        <v>35627.365400000002</v>
      </c>
      <c r="C5" s="235">
        <v>142922.29999999999</v>
      </c>
      <c r="D5" s="236">
        <v>27212.799999999999</v>
      </c>
      <c r="E5" s="236">
        <v>45162.6</v>
      </c>
      <c r="F5" s="236">
        <v>43539.142</v>
      </c>
      <c r="G5" s="236">
        <v>109104.401</v>
      </c>
      <c r="H5" s="236">
        <v>64485.3</v>
      </c>
      <c r="I5" s="236">
        <v>45997.1</v>
      </c>
      <c r="J5" s="236">
        <v>47776.4</v>
      </c>
      <c r="K5" s="235">
        <v>125160.37680209799</v>
      </c>
      <c r="L5" s="235">
        <v>132519.61700000003</v>
      </c>
      <c r="M5" s="236">
        <v>123724.105</v>
      </c>
      <c r="N5" s="236">
        <v>42806.623599999999</v>
      </c>
      <c r="O5" s="236">
        <v>54221.599999999999</v>
      </c>
      <c r="P5" s="236">
        <v>1040259.7308020979</v>
      </c>
      <c r="Q5" s="236">
        <v>11535.517484905689</v>
      </c>
      <c r="R5" s="236">
        <v>1051795.2482870037</v>
      </c>
      <c r="S5" s="56"/>
      <c r="T5" s="57"/>
      <c r="U5" s="57"/>
      <c r="V5" s="57"/>
    </row>
    <row r="6" spans="1:22" ht="20.149999999999999" customHeight="1">
      <c r="A6" s="176" t="s">
        <v>161</v>
      </c>
      <c r="B6" s="235">
        <v>24547.655930000004</v>
      </c>
      <c r="C6" s="236">
        <v>92278.900000000009</v>
      </c>
      <c r="D6" s="236">
        <v>22157.200000000001</v>
      </c>
      <c r="E6" s="236">
        <v>29928.5</v>
      </c>
      <c r="F6" s="236">
        <v>29707.341999999997</v>
      </c>
      <c r="G6" s="236">
        <v>75802.12000000001</v>
      </c>
      <c r="H6" s="236">
        <v>41567.9</v>
      </c>
      <c r="I6" s="236">
        <v>31068.1</v>
      </c>
      <c r="J6" s="236">
        <v>33657.600000000006</v>
      </c>
      <c r="K6" s="235">
        <v>80688.982130340999</v>
      </c>
      <c r="L6" s="236">
        <v>92269.438999999998</v>
      </c>
      <c r="M6" s="236">
        <v>73329.33600000001</v>
      </c>
      <c r="N6" s="236">
        <v>28918.535399999997</v>
      </c>
      <c r="O6" s="236">
        <v>36649.800000000003</v>
      </c>
      <c r="P6" s="236">
        <v>692571.41046034114</v>
      </c>
      <c r="Q6" s="236">
        <v>15315.787542063999</v>
      </c>
      <c r="R6" s="236">
        <v>707887.19800240512</v>
      </c>
      <c r="S6" s="58"/>
      <c r="T6" s="57"/>
      <c r="U6" s="57"/>
      <c r="V6" s="57"/>
    </row>
    <row r="7" spans="1:22" ht="20.149999999999999" customHeight="1">
      <c r="A7" s="179" t="s">
        <v>162</v>
      </c>
      <c r="B7" s="238">
        <v>22271.741390000003</v>
      </c>
      <c r="C7" s="239">
        <v>82104.899999999994</v>
      </c>
      <c r="D7" s="239">
        <v>21028.700000000004</v>
      </c>
      <c r="E7" s="239">
        <v>26538.7</v>
      </c>
      <c r="F7" s="239">
        <v>25966.998999999996</v>
      </c>
      <c r="G7" s="239">
        <v>72255.428</v>
      </c>
      <c r="H7" s="239">
        <v>37252.699000000001</v>
      </c>
      <c r="I7" s="239">
        <v>28315.599999999999</v>
      </c>
      <c r="J7" s="239">
        <v>30774.300000000003</v>
      </c>
      <c r="K7" s="238">
        <v>70604.677185768</v>
      </c>
      <c r="L7" s="239">
        <v>85679.387999999992</v>
      </c>
      <c r="M7" s="239">
        <v>80909.22099999999</v>
      </c>
      <c r="N7" s="239">
        <v>26340.7186</v>
      </c>
      <c r="O7" s="239">
        <v>32667.5</v>
      </c>
      <c r="P7" s="239">
        <v>642710.57217576797</v>
      </c>
      <c r="Q7" s="239">
        <v>12229.335791310668</v>
      </c>
      <c r="R7" s="239">
        <v>654939.90796707862</v>
      </c>
      <c r="S7" s="59"/>
      <c r="T7" s="57"/>
      <c r="U7" s="57"/>
      <c r="V7" s="57"/>
    </row>
    <row r="8" spans="1:22" ht="20.149999999999999" customHeight="1">
      <c r="A8" s="176" t="s">
        <v>163</v>
      </c>
      <c r="B8" s="235"/>
      <c r="C8" s="236"/>
      <c r="D8" s="236"/>
      <c r="E8" s="236"/>
      <c r="F8" s="236"/>
      <c r="G8" s="236"/>
      <c r="H8" s="236"/>
      <c r="I8" s="236"/>
      <c r="J8" s="236"/>
      <c r="K8" s="235"/>
      <c r="L8" s="236"/>
      <c r="M8" s="236"/>
      <c r="N8" s="236"/>
      <c r="O8" s="236"/>
      <c r="P8" s="236"/>
      <c r="Q8" s="236"/>
      <c r="R8" s="236"/>
      <c r="S8" s="58"/>
      <c r="T8" s="57"/>
      <c r="U8" s="57"/>
      <c r="V8" s="57"/>
    </row>
    <row r="9" spans="1:22" ht="20.149999999999999" customHeight="1">
      <c r="A9" s="176" t="s">
        <v>164</v>
      </c>
      <c r="B9" s="235"/>
      <c r="C9" s="236"/>
      <c r="D9" s="236"/>
      <c r="E9" s="236"/>
      <c r="F9" s="236"/>
      <c r="G9" s="236"/>
      <c r="H9" s="236"/>
      <c r="I9" s="236"/>
      <c r="J9" s="236"/>
      <c r="K9" s="235"/>
      <c r="L9" s="236"/>
      <c r="M9" s="236"/>
      <c r="N9" s="236"/>
      <c r="O9" s="236"/>
      <c r="P9" s="236"/>
      <c r="Q9" s="236"/>
      <c r="R9" s="236"/>
      <c r="S9" s="58"/>
      <c r="T9" s="57"/>
      <c r="U9" s="57"/>
      <c r="V9" s="57"/>
    </row>
    <row r="10" spans="1:22" ht="20.149999999999999" customHeight="1">
      <c r="A10" s="179" t="s">
        <v>165</v>
      </c>
      <c r="B10" s="238"/>
      <c r="C10" s="239"/>
      <c r="D10" s="239"/>
      <c r="E10" s="239"/>
      <c r="F10" s="239"/>
      <c r="G10" s="239"/>
      <c r="H10" s="239"/>
      <c r="I10" s="239"/>
      <c r="J10" s="239"/>
      <c r="K10" s="238"/>
      <c r="L10" s="239"/>
      <c r="M10" s="239"/>
      <c r="N10" s="239"/>
      <c r="O10" s="239"/>
      <c r="P10" s="239"/>
      <c r="Q10" s="239"/>
      <c r="R10" s="239"/>
      <c r="S10" s="58"/>
      <c r="T10" s="57"/>
      <c r="U10" s="57"/>
      <c r="V10" s="57"/>
    </row>
    <row r="11" spans="1:22" ht="20.149999999999999" customHeight="1">
      <c r="A11" s="176" t="s">
        <v>166</v>
      </c>
      <c r="B11" s="235"/>
      <c r="C11" s="236"/>
      <c r="D11" s="236"/>
      <c r="E11" s="236"/>
      <c r="F11" s="236"/>
      <c r="G11" s="236"/>
      <c r="H11" s="236"/>
      <c r="I11" s="236"/>
      <c r="J11" s="236"/>
      <c r="K11" s="235"/>
      <c r="L11" s="236"/>
      <c r="M11" s="236"/>
      <c r="N11" s="236"/>
      <c r="O11" s="236"/>
      <c r="P11" s="236"/>
      <c r="Q11" s="236"/>
      <c r="R11" s="236"/>
      <c r="S11" s="58"/>
      <c r="T11" s="57"/>
      <c r="U11" s="57"/>
      <c r="V11" s="57"/>
    </row>
    <row r="12" spans="1:22" ht="20.149999999999999" customHeight="1">
      <c r="A12" s="176" t="s">
        <v>167</v>
      </c>
      <c r="B12" s="235"/>
      <c r="C12" s="236"/>
      <c r="D12" s="236"/>
      <c r="E12" s="236"/>
      <c r="F12" s="236"/>
      <c r="G12" s="236"/>
      <c r="H12" s="236"/>
      <c r="I12" s="236"/>
      <c r="J12" s="236"/>
      <c r="K12" s="235"/>
      <c r="L12" s="236"/>
      <c r="M12" s="236"/>
      <c r="N12" s="236"/>
      <c r="O12" s="236"/>
      <c r="P12" s="236"/>
      <c r="Q12" s="236"/>
      <c r="R12" s="236"/>
      <c r="S12" s="58"/>
      <c r="T12" s="57"/>
      <c r="U12" s="57"/>
      <c r="V12" s="57"/>
    </row>
    <row r="13" spans="1:22" ht="20.149999999999999" customHeight="1">
      <c r="A13" s="179" t="s">
        <v>168</v>
      </c>
      <c r="B13" s="238"/>
      <c r="C13" s="239"/>
      <c r="D13" s="239"/>
      <c r="E13" s="239"/>
      <c r="F13" s="239"/>
      <c r="G13" s="239"/>
      <c r="H13" s="239"/>
      <c r="I13" s="239"/>
      <c r="J13" s="239"/>
      <c r="K13" s="238"/>
      <c r="L13" s="239"/>
      <c r="M13" s="239"/>
      <c r="N13" s="239"/>
      <c r="O13" s="239"/>
      <c r="P13" s="239"/>
      <c r="Q13" s="239"/>
      <c r="R13" s="239"/>
      <c r="S13" s="58"/>
      <c r="T13" s="57"/>
      <c r="U13" s="57"/>
      <c r="V13" s="57"/>
    </row>
    <row r="14" spans="1:22" ht="20.149999999999999" customHeight="1">
      <c r="A14" s="176" t="s">
        <v>169</v>
      </c>
      <c r="B14" s="235"/>
      <c r="C14" s="236"/>
      <c r="D14" s="236"/>
      <c r="E14" s="236"/>
      <c r="F14" s="236"/>
      <c r="G14" s="236"/>
      <c r="H14" s="236"/>
      <c r="I14" s="236"/>
      <c r="J14" s="236"/>
      <c r="K14" s="235"/>
      <c r="L14" s="236"/>
      <c r="M14" s="236"/>
      <c r="N14" s="236"/>
      <c r="O14" s="236"/>
      <c r="P14" s="236"/>
      <c r="Q14" s="236"/>
      <c r="R14" s="236"/>
      <c r="S14" s="58"/>
      <c r="T14" s="57"/>
      <c r="U14" s="57"/>
      <c r="V14" s="57"/>
    </row>
    <row r="15" spans="1:22" ht="20.149999999999999" customHeight="1">
      <c r="A15" s="176" t="s">
        <v>170</v>
      </c>
      <c r="B15" s="235"/>
      <c r="C15" s="236"/>
      <c r="D15" s="236"/>
      <c r="E15" s="236"/>
      <c r="F15" s="236"/>
      <c r="G15" s="236"/>
      <c r="H15" s="236"/>
      <c r="I15" s="236"/>
      <c r="J15" s="236"/>
      <c r="K15" s="235"/>
      <c r="L15" s="236"/>
      <c r="M15" s="236"/>
      <c r="N15" s="236"/>
      <c r="O15" s="236"/>
      <c r="P15" s="236"/>
      <c r="Q15" s="236"/>
      <c r="R15" s="236"/>
      <c r="S15" s="58"/>
      <c r="T15" s="57"/>
      <c r="U15" s="57"/>
      <c r="V15" s="57"/>
    </row>
    <row r="16" spans="1:22" ht="20.149999999999999" customHeight="1">
      <c r="A16" s="179" t="s">
        <v>171</v>
      </c>
      <c r="B16" s="238"/>
      <c r="C16" s="239"/>
      <c r="D16" s="239"/>
      <c r="E16" s="239"/>
      <c r="F16" s="239"/>
      <c r="G16" s="239"/>
      <c r="H16" s="239"/>
      <c r="I16" s="239"/>
      <c r="J16" s="239"/>
      <c r="K16" s="238"/>
      <c r="L16" s="239"/>
      <c r="M16" s="239"/>
      <c r="N16" s="239"/>
      <c r="O16" s="239"/>
      <c r="P16" s="239"/>
      <c r="Q16" s="239"/>
      <c r="R16" s="239"/>
      <c r="S16" s="58"/>
      <c r="T16" s="57"/>
      <c r="U16" s="57"/>
      <c r="V16" s="57"/>
    </row>
    <row r="17" spans="1:22" ht="20.149999999999999" customHeight="1">
      <c r="A17" s="176" t="s">
        <v>48</v>
      </c>
      <c r="B17" s="235">
        <f>SUM(B5:B7)</f>
        <v>82446.762719999999</v>
      </c>
      <c r="C17" s="235">
        <f>SUM(C5:C7)</f>
        <v>317306.09999999998</v>
      </c>
      <c r="D17" s="235">
        <f t="shared" ref="D17:J17" si="0">SUM(D5:D7)</f>
        <v>70398.700000000012</v>
      </c>
      <c r="E17" s="235">
        <f t="shared" si="0"/>
        <v>101629.8</v>
      </c>
      <c r="F17" s="235">
        <f t="shared" si="0"/>
        <v>99213.482999999993</v>
      </c>
      <c r="G17" s="235">
        <f t="shared" si="0"/>
        <v>257161.94900000002</v>
      </c>
      <c r="H17" s="235">
        <f t="shared" si="0"/>
        <v>143305.899</v>
      </c>
      <c r="I17" s="235">
        <f t="shared" si="0"/>
        <v>105380.79999999999</v>
      </c>
      <c r="J17" s="235">
        <f t="shared" si="0"/>
        <v>112208.3</v>
      </c>
      <c r="K17" s="235">
        <f>SUM(K5:K7)</f>
        <v>276454.03611820703</v>
      </c>
      <c r="L17" s="235">
        <f t="shared" ref="L17:R17" si="1">SUM(L5:L7)</f>
        <v>310468.44400000002</v>
      </c>
      <c r="M17" s="235">
        <f t="shared" si="1"/>
        <v>277962.66200000001</v>
      </c>
      <c r="N17" s="235">
        <f t="shared" si="1"/>
        <v>98065.877600000007</v>
      </c>
      <c r="O17" s="235">
        <f t="shared" si="1"/>
        <v>123538.9</v>
      </c>
      <c r="P17" s="235">
        <f t="shared" si="1"/>
        <v>2375541.7134382073</v>
      </c>
      <c r="Q17" s="235">
        <f t="shared" si="1"/>
        <v>39080.640818280357</v>
      </c>
      <c r="R17" s="235">
        <f t="shared" si="1"/>
        <v>2414622.3542564875</v>
      </c>
    </row>
    <row r="18" spans="1:22" ht="20.149999999999999" customHeight="1">
      <c r="A18" s="176" t="s">
        <v>56</v>
      </c>
      <c r="B18" s="416">
        <f>SUM(B8:B10)</f>
        <v>0</v>
      </c>
      <c r="C18" s="416">
        <f>SUM(C8:C10)</f>
        <v>0</v>
      </c>
      <c r="D18" s="416">
        <f t="shared" ref="D18:J18" si="2">SUM(D8:D10)</f>
        <v>0</v>
      </c>
      <c r="E18" s="416">
        <f t="shared" si="2"/>
        <v>0</v>
      </c>
      <c r="F18" s="416">
        <f t="shared" si="2"/>
        <v>0</v>
      </c>
      <c r="G18" s="416">
        <f t="shared" si="2"/>
        <v>0</v>
      </c>
      <c r="H18" s="416">
        <f t="shared" si="2"/>
        <v>0</v>
      </c>
      <c r="I18" s="416">
        <f t="shared" si="2"/>
        <v>0</v>
      </c>
      <c r="J18" s="416">
        <f t="shared" si="2"/>
        <v>0</v>
      </c>
      <c r="K18" s="416">
        <f>SUM(K8:K10)</f>
        <v>0</v>
      </c>
      <c r="L18" s="416">
        <f t="shared" ref="L18:R18" si="3">SUM(L8:L10)</f>
        <v>0</v>
      </c>
      <c r="M18" s="416">
        <f t="shared" si="3"/>
        <v>0</v>
      </c>
      <c r="N18" s="416">
        <f t="shared" si="3"/>
        <v>0</v>
      </c>
      <c r="O18" s="416">
        <f t="shared" si="3"/>
        <v>0</v>
      </c>
      <c r="P18" s="416">
        <f t="shared" si="3"/>
        <v>0</v>
      </c>
      <c r="Q18" s="416">
        <f t="shared" si="3"/>
        <v>0</v>
      </c>
      <c r="R18" s="416">
        <f t="shared" si="3"/>
        <v>0</v>
      </c>
    </row>
    <row r="19" spans="1:22" ht="20.149999999999999" customHeight="1">
      <c r="A19" s="176" t="s">
        <v>63</v>
      </c>
      <c r="B19" s="416">
        <f>SUM(B11:B13)</f>
        <v>0</v>
      </c>
      <c r="C19" s="416">
        <f>SUM(C11:C13)</f>
        <v>0</v>
      </c>
      <c r="D19" s="416">
        <f t="shared" ref="D19:J19" si="4">SUM(D11:D13)</f>
        <v>0</v>
      </c>
      <c r="E19" s="416">
        <f t="shared" si="4"/>
        <v>0</v>
      </c>
      <c r="F19" s="416">
        <f t="shared" si="4"/>
        <v>0</v>
      </c>
      <c r="G19" s="416">
        <f t="shared" si="4"/>
        <v>0</v>
      </c>
      <c r="H19" s="416">
        <f t="shared" si="4"/>
        <v>0</v>
      </c>
      <c r="I19" s="416">
        <f t="shared" si="4"/>
        <v>0</v>
      </c>
      <c r="J19" s="416">
        <f t="shared" si="4"/>
        <v>0</v>
      </c>
      <c r="K19" s="416">
        <f>SUM(K11:K13)</f>
        <v>0</v>
      </c>
      <c r="L19" s="416">
        <f t="shared" ref="L19:R19" si="5">SUM(L11:L13)</f>
        <v>0</v>
      </c>
      <c r="M19" s="416">
        <f t="shared" si="5"/>
        <v>0</v>
      </c>
      <c r="N19" s="416">
        <f t="shared" si="5"/>
        <v>0</v>
      </c>
      <c r="O19" s="416">
        <f t="shared" si="5"/>
        <v>0</v>
      </c>
      <c r="P19" s="416">
        <f t="shared" si="5"/>
        <v>0</v>
      </c>
      <c r="Q19" s="416">
        <f t="shared" si="5"/>
        <v>0</v>
      </c>
      <c r="R19" s="416">
        <f t="shared" si="5"/>
        <v>0</v>
      </c>
    </row>
    <row r="20" spans="1:22" ht="20.149999999999999" customHeight="1">
      <c r="A20" s="179" t="s">
        <v>57</v>
      </c>
      <c r="B20" s="419">
        <f>SUM(B14:B16)</f>
        <v>0</v>
      </c>
      <c r="C20" s="419">
        <f>SUM(C14:C16)</f>
        <v>0</v>
      </c>
      <c r="D20" s="419">
        <f t="shared" ref="D20:J20" si="6">SUM(D14:D16)</f>
        <v>0</v>
      </c>
      <c r="E20" s="419">
        <f t="shared" si="6"/>
        <v>0</v>
      </c>
      <c r="F20" s="419">
        <f t="shared" si="6"/>
        <v>0</v>
      </c>
      <c r="G20" s="419">
        <f t="shared" si="6"/>
        <v>0</v>
      </c>
      <c r="H20" s="419">
        <f t="shared" si="6"/>
        <v>0</v>
      </c>
      <c r="I20" s="419">
        <f t="shared" si="6"/>
        <v>0</v>
      </c>
      <c r="J20" s="419">
        <f t="shared" si="6"/>
        <v>0</v>
      </c>
      <c r="K20" s="419">
        <f>SUM(K14:K16)</f>
        <v>0</v>
      </c>
      <c r="L20" s="419">
        <f t="shared" ref="L20:R20" si="7">SUM(L14:L16)</f>
        <v>0</v>
      </c>
      <c r="M20" s="419">
        <f t="shared" si="7"/>
        <v>0</v>
      </c>
      <c r="N20" s="419">
        <f t="shared" si="7"/>
        <v>0</v>
      </c>
      <c r="O20" s="419">
        <f t="shared" si="7"/>
        <v>0</v>
      </c>
      <c r="P20" s="419">
        <f t="shared" si="7"/>
        <v>0</v>
      </c>
      <c r="Q20" s="419">
        <f t="shared" si="7"/>
        <v>0</v>
      </c>
      <c r="R20" s="419">
        <f t="shared" si="7"/>
        <v>0</v>
      </c>
    </row>
    <row r="21" spans="1:22" ht="20.149999999999999" customHeight="1">
      <c r="A21" s="176" t="s">
        <v>58</v>
      </c>
      <c r="B21" s="416">
        <f>SUM(B5:B10)</f>
        <v>82446.762719999999</v>
      </c>
      <c r="C21" s="416">
        <f>SUM(C5:C10)</f>
        <v>317306.09999999998</v>
      </c>
      <c r="D21" s="416">
        <f t="shared" ref="D21:J21" si="8">SUM(D5:D10)</f>
        <v>70398.700000000012</v>
      </c>
      <c r="E21" s="416">
        <f t="shared" si="8"/>
        <v>101629.8</v>
      </c>
      <c r="F21" s="416">
        <f t="shared" si="8"/>
        <v>99213.482999999993</v>
      </c>
      <c r="G21" s="416">
        <f t="shared" si="8"/>
        <v>257161.94900000002</v>
      </c>
      <c r="H21" s="416">
        <f t="shared" si="8"/>
        <v>143305.899</v>
      </c>
      <c r="I21" s="416">
        <f t="shared" si="8"/>
        <v>105380.79999999999</v>
      </c>
      <c r="J21" s="416">
        <f t="shared" si="8"/>
        <v>112208.3</v>
      </c>
      <c r="K21" s="416">
        <f>SUM(K5:K10)</f>
        <v>276454.03611820703</v>
      </c>
      <c r="L21" s="416">
        <f t="shared" ref="L21:R21" si="9">SUM(L5:L10)</f>
        <v>310468.44400000002</v>
      </c>
      <c r="M21" s="416">
        <f t="shared" si="9"/>
        <v>277962.66200000001</v>
      </c>
      <c r="N21" s="416">
        <f t="shared" si="9"/>
        <v>98065.877600000007</v>
      </c>
      <c r="O21" s="416">
        <f t="shared" si="9"/>
        <v>123538.9</v>
      </c>
      <c r="P21" s="416">
        <f t="shared" si="9"/>
        <v>2375541.7134382073</v>
      </c>
      <c r="Q21" s="416">
        <f t="shared" si="9"/>
        <v>39080.640818280357</v>
      </c>
      <c r="R21" s="416">
        <f t="shared" si="9"/>
        <v>2414622.3542564875</v>
      </c>
    </row>
    <row r="22" spans="1:22" ht="20.149999999999999" customHeight="1">
      <c r="A22" s="179" t="s">
        <v>59</v>
      </c>
      <c r="B22" s="419">
        <f>SUM(B11:B16)</f>
        <v>0</v>
      </c>
      <c r="C22" s="419">
        <f>SUM(C11:C16)</f>
        <v>0</v>
      </c>
      <c r="D22" s="419">
        <f t="shared" ref="D22:J22" si="10">SUM(D11:D16)</f>
        <v>0</v>
      </c>
      <c r="E22" s="419">
        <f t="shared" si="10"/>
        <v>0</v>
      </c>
      <c r="F22" s="419">
        <f t="shared" si="10"/>
        <v>0</v>
      </c>
      <c r="G22" s="419">
        <f t="shared" si="10"/>
        <v>0</v>
      </c>
      <c r="H22" s="419">
        <f t="shared" si="10"/>
        <v>0</v>
      </c>
      <c r="I22" s="419">
        <f t="shared" si="10"/>
        <v>0</v>
      </c>
      <c r="J22" s="419">
        <f t="shared" si="10"/>
        <v>0</v>
      </c>
      <c r="K22" s="419">
        <f>SUM(K11:K16)</f>
        <v>0</v>
      </c>
      <c r="L22" s="419">
        <f t="shared" ref="L22:R22" si="11">SUM(L11:L16)</f>
        <v>0</v>
      </c>
      <c r="M22" s="419">
        <f t="shared" si="11"/>
        <v>0</v>
      </c>
      <c r="N22" s="419">
        <f t="shared" si="11"/>
        <v>0</v>
      </c>
      <c r="O22" s="419">
        <f t="shared" si="11"/>
        <v>0</v>
      </c>
      <c r="P22" s="419">
        <f t="shared" si="11"/>
        <v>0</v>
      </c>
      <c r="Q22" s="419">
        <f t="shared" si="11"/>
        <v>0</v>
      </c>
      <c r="R22" s="419">
        <f t="shared" si="11"/>
        <v>0</v>
      </c>
    </row>
    <row r="23" spans="1:22" ht="20.149999999999999" customHeight="1">
      <c r="A23" s="216" t="s">
        <v>172</v>
      </c>
      <c r="B23" s="422">
        <f>SUM(B5:B16)</f>
        <v>82446.762719999999</v>
      </c>
      <c r="C23" s="422">
        <f>SUM(C5:C16)</f>
        <v>317306.09999999998</v>
      </c>
      <c r="D23" s="422">
        <f t="shared" ref="D23:J23" si="12">SUM(D5:D16)</f>
        <v>70398.700000000012</v>
      </c>
      <c r="E23" s="422">
        <f t="shared" si="12"/>
        <v>101629.8</v>
      </c>
      <c r="F23" s="422">
        <f t="shared" si="12"/>
        <v>99213.482999999993</v>
      </c>
      <c r="G23" s="422">
        <f t="shared" si="12"/>
        <v>257161.94900000002</v>
      </c>
      <c r="H23" s="422">
        <f t="shared" si="12"/>
        <v>143305.899</v>
      </c>
      <c r="I23" s="422">
        <f t="shared" si="12"/>
        <v>105380.79999999999</v>
      </c>
      <c r="J23" s="422">
        <f t="shared" si="12"/>
        <v>112208.3</v>
      </c>
      <c r="K23" s="422">
        <f>SUM(K5:K16)</f>
        <v>276454.03611820703</v>
      </c>
      <c r="L23" s="422">
        <f t="shared" ref="L23:R23" si="13">SUM(L5:L16)</f>
        <v>310468.44400000002</v>
      </c>
      <c r="M23" s="422">
        <f t="shared" si="13"/>
        <v>277962.66200000001</v>
      </c>
      <c r="N23" s="422">
        <f t="shared" si="13"/>
        <v>98065.877600000007</v>
      </c>
      <c r="O23" s="422">
        <f t="shared" si="13"/>
        <v>123538.9</v>
      </c>
      <c r="P23" s="422">
        <f t="shared" si="13"/>
        <v>2375541.7134382073</v>
      </c>
      <c r="Q23" s="422">
        <f t="shared" si="13"/>
        <v>39080.640818280357</v>
      </c>
      <c r="R23" s="422">
        <f t="shared" si="13"/>
        <v>2414622.3542564875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5" customHeight="1">
      <c r="A29" s="457" t="s">
        <v>194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</row>
    <row r="30" spans="1:22" ht="85" customHeight="1">
      <c r="A30" s="218">
        <f>A4</f>
        <v>2024</v>
      </c>
      <c r="B30" s="370" t="s">
        <v>68</v>
      </c>
      <c r="C30" s="370" t="s">
        <v>69</v>
      </c>
      <c r="D30" s="370" t="s">
        <v>70</v>
      </c>
      <c r="E30" s="370" t="s">
        <v>91</v>
      </c>
      <c r="F30" s="370" t="s">
        <v>71</v>
      </c>
      <c r="G30" s="370" t="s">
        <v>72</v>
      </c>
      <c r="H30" s="370" t="s">
        <v>73</v>
      </c>
      <c r="I30" s="370" t="s">
        <v>74</v>
      </c>
      <c r="J30" s="370" t="s">
        <v>75</v>
      </c>
      <c r="K30" s="370" t="s">
        <v>76</v>
      </c>
      <c r="L30" s="370" t="s">
        <v>77</v>
      </c>
      <c r="M30" s="370" t="s">
        <v>78</v>
      </c>
      <c r="N30" s="370" t="s">
        <v>79</v>
      </c>
      <c r="O30" s="370" t="s">
        <v>80</v>
      </c>
      <c r="P30" s="370" t="s">
        <v>81</v>
      </c>
      <c r="Q30" s="370" t="s">
        <v>95</v>
      </c>
      <c r="R30" s="370" t="s">
        <v>82</v>
      </c>
    </row>
    <row r="31" spans="1:22" ht="20.149999999999999" customHeight="1">
      <c r="A31" s="176" t="s">
        <v>160</v>
      </c>
      <c r="B31" s="235">
        <v>388181.77879999997</v>
      </c>
      <c r="C31" s="235">
        <v>1557281.35445</v>
      </c>
      <c r="D31" s="236">
        <v>296509.99501000001</v>
      </c>
      <c r="E31" s="236">
        <v>492093.33069999999</v>
      </c>
      <c r="F31" s="236">
        <v>474398.70804</v>
      </c>
      <c r="G31" s="236">
        <v>1188570.5760600001</v>
      </c>
      <c r="H31" s="236">
        <v>702631.13861000014</v>
      </c>
      <c r="I31" s="236">
        <v>501184.45275</v>
      </c>
      <c r="J31" s="236">
        <v>520572.39757000003</v>
      </c>
      <c r="K31" s="235">
        <v>1364882.2313489451</v>
      </c>
      <c r="L31" s="235">
        <v>1443955.0810669998</v>
      </c>
      <c r="M31" s="236">
        <v>1348789.4549129999</v>
      </c>
      <c r="N31" s="236">
        <v>466419.06572999997</v>
      </c>
      <c r="O31" s="236">
        <v>590799.55590999988</v>
      </c>
      <c r="P31" s="236">
        <v>11336269.120958945</v>
      </c>
      <c r="Q31" s="236">
        <v>125887.13796399999</v>
      </c>
      <c r="R31" s="236">
        <v>11462156.258922946</v>
      </c>
      <c r="S31" s="56"/>
      <c r="T31" s="57"/>
      <c r="U31" s="57"/>
      <c r="V31" s="57"/>
    </row>
    <row r="32" spans="1:22" ht="20.149999999999999" customHeight="1">
      <c r="A32" s="176" t="s">
        <v>161</v>
      </c>
      <c r="B32" s="235">
        <v>267414.60471000004</v>
      </c>
      <c r="C32" s="236">
        <v>1004665.28059</v>
      </c>
      <c r="D32" s="236">
        <v>241230.82232000001</v>
      </c>
      <c r="E32" s="236">
        <v>325839.24401999998</v>
      </c>
      <c r="F32" s="236">
        <v>323427.92209000001</v>
      </c>
      <c r="G32" s="236">
        <v>825035.10092999996</v>
      </c>
      <c r="H32" s="236">
        <v>452560.23119999998</v>
      </c>
      <c r="I32" s="236">
        <v>338247.23313999997</v>
      </c>
      <c r="J32" s="236">
        <v>366438.86361</v>
      </c>
      <c r="K32" s="235">
        <v>881073.52814804204</v>
      </c>
      <c r="L32" s="236">
        <v>1004644.307627</v>
      </c>
      <c r="M32" s="236">
        <v>798716.32555900002</v>
      </c>
      <c r="N32" s="236">
        <v>314868.21127000003</v>
      </c>
      <c r="O32" s="236">
        <v>399015.79629999999</v>
      </c>
      <c r="P32" s="236">
        <v>7543177.4715140415</v>
      </c>
      <c r="Q32" s="236">
        <v>167332.21324700001</v>
      </c>
      <c r="R32" s="236">
        <v>7710509.6847610418</v>
      </c>
      <c r="S32" s="58"/>
      <c r="T32" s="57"/>
      <c r="U32" s="57"/>
      <c r="V32" s="57"/>
    </row>
    <row r="33" spans="1:22" ht="20.149999999999999" customHeight="1">
      <c r="A33" s="179" t="s">
        <v>162</v>
      </c>
      <c r="B33" s="238">
        <v>242627.97526000001</v>
      </c>
      <c r="C33" s="239">
        <v>892581.53393999976</v>
      </c>
      <c r="D33" s="239">
        <v>228608.55879000004</v>
      </c>
      <c r="E33" s="239">
        <v>288507.89970000001</v>
      </c>
      <c r="F33" s="239">
        <v>282290.85813999997</v>
      </c>
      <c r="G33" s="239">
        <v>785297.65408999997</v>
      </c>
      <c r="H33" s="239">
        <v>404946.7372899999</v>
      </c>
      <c r="I33" s="239">
        <v>307825.95036000008</v>
      </c>
      <c r="J33" s="239">
        <v>334555.80345999997</v>
      </c>
      <c r="K33" s="238">
        <v>769051.58851394395</v>
      </c>
      <c r="L33" s="239">
        <v>931554.07286400034</v>
      </c>
      <c r="M33" s="239">
        <v>881810.78083200008</v>
      </c>
      <c r="N33" s="239">
        <v>286430.28234000009</v>
      </c>
      <c r="O33" s="239">
        <v>355137.47454000002</v>
      </c>
      <c r="P33" s="239">
        <v>6991227.170119945</v>
      </c>
      <c r="Q33" s="239">
        <v>133208.90361600008</v>
      </c>
      <c r="R33" s="239">
        <v>7124436.0737359449</v>
      </c>
      <c r="S33" s="59"/>
      <c r="T33" s="57"/>
      <c r="U33" s="57"/>
      <c r="V33" s="57"/>
    </row>
    <row r="34" spans="1:22" ht="20.149999999999999" customHeight="1">
      <c r="A34" s="176" t="s">
        <v>163</v>
      </c>
      <c r="B34" s="235"/>
      <c r="C34" s="236"/>
      <c r="D34" s="236"/>
      <c r="E34" s="236"/>
      <c r="F34" s="236"/>
      <c r="G34" s="236"/>
      <c r="H34" s="236"/>
      <c r="I34" s="236"/>
      <c r="J34" s="236"/>
      <c r="K34" s="235"/>
      <c r="L34" s="236"/>
      <c r="M34" s="236"/>
      <c r="N34" s="236"/>
      <c r="O34" s="236"/>
      <c r="P34" s="236"/>
      <c r="Q34" s="236"/>
      <c r="R34" s="236"/>
      <c r="S34" s="58"/>
      <c r="T34" s="57"/>
      <c r="U34" s="57"/>
      <c r="V34" s="57"/>
    </row>
    <row r="35" spans="1:22" ht="20.149999999999999" customHeight="1">
      <c r="A35" s="176" t="s">
        <v>164</v>
      </c>
      <c r="B35" s="235"/>
      <c r="C35" s="236"/>
      <c r="D35" s="236"/>
      <c r="E35" s="236"/>
      <c r="F35" s="236"/>
      <c r="G35" s="236"/>
      <c r="H35" s="236"/>
      <c r="I35" s="236"/>
      <c r="J35" s="236"/>
      <c r="K35" s="235"/>
      <c r="L35" s="236"/>
      <c r="M35" s="236"/>
      <c r="N35" s="236"/>
      <c r="O35" s="236"/>
      <c r="P35" s="236"/>
      <c r="Q35" s="236"/>
      <c r="R35" s="236"/>
      <c r="S35" s="58"/>
      <c r="T35" s="57"/>
      <c r="U35" s="57"/>
      <c r="V35" s="57"/>
    </row>
    <row r="36" spans="1:22" ht="20.149999999999999" customHeight="1">
      <c r="A36" s="179" t="s">
        <v>165</v>
      </c>
      <c r="B36" s="238"/>
      <c r="C36" s="239"/>
      <c r="D36" s="239"/>
      <c r="E36" s="239"/>
      <c r="F36" s="239"/>
      <c r="G36" s="239"/>
      <c r="H36" s="239"/>
      <c r="I36" s="239"/>
      <c r="J36" s="239"/>
      <c r="K36" s="238"/>
      <c r="L36" s="239"/>
      <c r="M36" s="239"/>
      <c r="N36" s="239"/>
      <c r="O36" s="239"/>
      <c r="P36" s="239"/>
      <c r="Q36" s="239"/>
      <c r="R36" s="239"/>
      <c r="S36" s="58"/>
      <c r="T36" s="57"/>
      <c r="U36" s="57"/>
      <c r="V36" s="57"/>
    </row>
    <row r="37" spans="1:22" ht="20.149999999999999" customHeight="1">
      <c r="A37" s="176" t="s">
        <v>166</v>
      </c>
      <c r="B37" s="235"/>
      <c r="C37" s="236"/>
      <c r="D37" s="236"/>
      <c r="E37" s="236"/>
      <c r="F37" s="236"/>
      <c r="G37" s="236"/>
      <c r="H37" s="236"/>
      <c r="I37" s="236"/>
      <c r="J37" s="236"/>
      <c r="K37" s="235"/>
      <c r="L37" s="236"/>
      <c r="M37" s="236"/>
      <c r="N37" s="236"/>
      <c r="O37" s="236"/>
      <c r="P37" s="236"/>
      <c r="Q37" s="236"/>
      <c r="R37" s="236"/>
      <c r="S37" s="58"/>
      <c r="T37" s="57"/>
      <c r="U37" s="57"/>
      <c r="V37" s="57"/>
    </row>
    <row r="38" spans="1:22" ht="20.149999999999999" customHeight="1">
      <c r="A38" s="176" t="s">
        <v>167</v>
      </c>
      <c r="B38" s="235"/>
      <c r="C38" s="236"/>
      <c r="D38" s="236"/>
      <c r="E38" s="236"/>
      <c r="F38" s="236"/>
      <c r="G38" s="236"/>
      <c r="H38" s="236"/>
      <c r="I38" s="236"/>
      <c r="J38" s="236"/>
      <c r="K38" s="235"/>
      <c r="L38" s="236"/>
      <c r="M38" s="236"/>
      <c r="N38" s="236"/>
      <c r="O38" s="236"/>
      <c r="P38" s="236"/>
      <c r="Q38" s="236"/>
      <c r="R38" s="236"/>
      <c r="S38" s="58"/>
      <c r="T38" s="57"/>
      <c r="U38" s="57"/>
      <c r="V38" s="57"/>
    </row>
    <row r="39" spans="1:22" ht="20.149999999999999" customHeight="1">
      <c r="A39" s="179" t="s">
        <v>168</v>
      </c>
      <c r="B39" s="238"/>
      <c r="C39" s="239"/>
      <c r="D39" s="239"/>
      <c r="E39" s="239"/>
      <c r="F39" s="239"/>
      <c r="G39" s="239"/>
      <c r="H39" s="239"/>
      <c r="I39" s="239"/>
      <c r="J39" s="239"/>
      <c r="K39" s="238"/>
      <c r="L39" s="239"/>
      <c r="M39" s="239"/>
      <c r="N39" s="239"/>
      <c r="O39" s="239"/>
      <c r="P39" s="239"/>
      <c r="Q39" s="239"/>
      <c r="R39" s="239"/>
      <c r="S39" s="58"/>
      <c r="T39" s="57"/>
      <c r="U39" s="57"/>
      <c r="V39" s="57"/>
    </row>
    <row r="40" spans="1:22" ht="20.149999999999999" customHeight="1">
      <c r="A40" s="176" t="s">
        <v>169</v>
      </c>
      <c r="B40" s="235"/>
      <c r="C40" s="236"/>
      <c r="D40" s="236"/>
      <c r="E40" s="236"/>
      <c r="F40" s="236"/>
      <c r="G40" s="236"/>
      <c r="H40" s="236"/>
      <c r="I40" s="236"/>
      <c r="J40" s="236"/>
      <c r="K40" s="235"/>
      <c r="L40" s="236"/>
      <c r="M40" s="236"/>
      <c r="N40" s="236"/>
      <c r="O40" s="236"/>
      <c r="P40" s="236"/>
      <c r="Q40" s="236"/>
      <c r="R40" s="236"/>
      <c r="S40" s="58"/>
      <c r="T40" s="57"/>
      <c r="U40" s="57"/>
      <c r="V40" s="57"/>
    </row>
    <row r="41" spans="1:22" ht="20.149999999999999" customHeight="1">
      <c r="A41" s="176" t="s">
        <v>170</v>
      </c>
      <c r="B41" s="235"/>
      <c r="C41" s="236"/>
      <c r="D41" s="236"/>
      <c r="E41" s="236"/>
      <c r="F41" s="236"/>
      <c r="G41" s="236"/>
      <c r="H41" s="236"/>
      <c r="I41" s="236"/>
      <c r="J41" s="236"/>
      <c r="K41" s="235"/>
      <c r="L41" s="236"/>
      <c r="M41" s="236"/>
      <c r="N41" s="236"/>
      <c r="O41" s="236"/>
      <c r="P41" s="236"/>
      <c r="Q41" s="236"/>
      <c r="R41" s="236"/>
      <c r="S41" s="58"/>
      <c r="T41" s="57"/>
      <c r="U41" s="57"/>
      <c r="V41" s="57"/>
    </row>
    <row r="42" spans="1:22" ht="20.149999999999999" customHeight="1">
      <c r="A42" s="179" t="s">
        <v>171</v>
      </c>
      <c r="B42" s="238"/>
      <c r="C42" s="239"/>
      <c r="D42" s="239"/>
      <c r="E42" s="239"/>
      <c r="F42" s="239"/>
      <c r="G42" s="239"/>
      <c r="H42" s="239"/>
      <c r="I42" s="239"/>
      <c r="J42" s="239"/>
      <c r="K42" s="238"/>
      <c r="L42" s="239"/>
      <c r="M42" s="239"/>
      <c r="N42" s="239"/>
      <c r="O42" s="239"/>
      <c r="P42" s="239"/>
      <c r="Q42" s="239"/>
      <c r="R42" s="239"/>
      <c r="S42" s="58"/>
      <c r="T42" s="57"/>
      <c r="U42" s="57"/>
      <c r="V42" s="57"/>
    </row>
    <row r="43" spans="1:22" ht="20.149999999999999" customHeight="1">
      <c r="A43" s="176" t="s">
        <v>48</v>
      </c>
      <c r="B43" s="235">
        <f>SUM(B31:B33)</f>
        <v>898224.35877000005</v>
      </c>
      <c r="C43" s="235">
        <f>SUM(C31:C33)</f>
        <v>3454528.1689799996</v>
      </c>
      <c r="D43" s="235">
        <f t="shared" ref="D43:J43" si="14">SUM(D31:D33)</f>
        <v>766349.37612000003</v>
      </c>
      <c r="E43" s="235">
        <f t="shared" si="14"/>
        <v>1106440.4744199999</v>
      </c>
      <c r="F43" s="235">
        <f t="shared" si="14"/>
        <v>1080117.4882699999</v>
      </c>
      <c r="G43" s="235">
        <f t="shared" si="14"/>
        <v>2798903.3310799999</v>
      </c>
      <c r="H43" s="235">
        <f t="shared" si="14"/>
        <v>1560138.1070999999</v>
      </c>
      <c r="I43" s="235">
        <f t="shared" si="14"/>
        <v>1147257.63625</v>
      </c>
      <c r="J43" s="235">
        <f t="shared" si="14"/>
        <v>1221567.06464</v>
      </c>
      <c r="K43" s="235">
        <f>SUM(K31:K33)</f>
        <v>3015007.3480109307</v>
      </c>
      <c r="L43" s="235">
        <f t="shared" ref="L43:Q43" si="15">SUM(L31:L33)</f>
        <v>3380153.4615580002</v>
      </c>
      <c r="M43" s="235">
        <f t="shared" si="15"/>
        <v>3029316.5613040002</v>
      </c>
      <c r="N43" s="235">
        <f t="shared" si="15"/>
        <v>1067717.5593400002</v>
      </c>
      <c r="O43" s="235">
        <f t="shared" si="15"/>
        <v>1344952.82675</v>
      </c>
      <c r="P43" s="235">
        <f t="shared" si="15"/>
        <v>25870673.76259293</v>
      </c>
      <c r="Q43" s="235">
        <f t="shared" si="15"/>
        <v>426428.25482700008</v>
      </c>
      <c r="R43" s="235">
        <f>SUM(R31:R33)</f>
        <v>26297102.017419934</v>
      </c>
    </row>
    <row r="44" spans="1:22" ht="20.149999999999999" customHeight="1">
      <c r="A44" s="176" t="s">
        <v>56</v>
      </c>
      <c r="B44" s="416">
        <f>SUM(B34:B36)</f>
        <v>0</v>
      </c>
      <c r="C44" s="416">
        <f>SUM(C34:C36)</f>
        <v>0</v>
      </c>
      <c r="D44" s="416">
        <f t="shared" ref="D44:J44" si="16">SUM(D34:D36)</f>
        <v>0</v>
      </c>
      <c r="E44" s="416">
        <f t="shared" si="16"/>
        <v>0</v>
      </c>
      <c r="F44" s="416">
        <f t="shared" si="16"/>
        <v>0</v>
      </c>
      <c r="G44" s="416">
        <f t="shared" si="16"/>
        <v>0</v>
      </c>
      <c r="H44" s="416">
        <f t="shared" si="16"/>
        <v>0</v>
      </c>
      <c r="I44" s="416">
        <f t="shared" si="16"/>
        <v>0</v>
      </c>
      <c r="J44" s="416">
        <f t="shared" si="16"/>
        <v>0</v>
      </c>
      <c r="K44" s="416">
        <f>SUM(K34:K36)</f>
        <v>0</v>
      </c>
      <c r="L44" s="416">
        <f t="shared" ref="L44:Q44" si="17">SUM(L34:L36)</f>
        <v>0</v>
      </c>
      <c r="M44" s="416">
        <f t="shared" si="17"/>
        <v>0</v>
      </c>
      <c r="N44" s="416">
        <f t="shared" si="17"/>
        <v>0</v>
      </c>
      <c r="O44" s="416">
        <f t="shared" si="17"/>
        <v>0</v>
      </c>
      <c r="P44" s="416">
        <f t="shared" si="17"/>
        <v>0</v>
      </c>
      <c r="Q44" s="416">
        <f t="shared" si="17"/>
        <v>0</v>
      </c>
      <c r="R44" s="416">
        <f>SUM(R34:R36)</f>
        <v>0</v>
      </c>
    </row>
    <row r="45" spans="1:22" ht="20.149999999999999" customHeight="1">
      <c r="A45" s="176" t="s">
        <v>63</v>
      </c>
      <c r="B45" s="416">
        <f>SUM(B37:B39)</f>
        <v>0</v>
      </c>
      <c r="C45" s="416">
        <f>SUM(C37:C39)</f>
        <v>0</v>
      </c>
      <c r="D45" s="416">
        <f t="shared" ref="D45:J45" si="18">SUM(D37:D39)</f>
        <v>0</v>
      </c>
      <c r="E45" s="416">
        <f t="shared" si="18"/>
        <v>0</v>
      </c>
      <c r="F45" s="416">
        <f t="shared" si="18"/>
        <v>0</v>
      </c>
      <c r="G45" s="416">
        <f t="shared" si="18"/>
        <v>0</v>
      </c>
      <c r="H45" s="416">
        <f t="shared" si="18"/>
        <v>0</v>
      </c>
      <c r="I45" s="416">
        <f t="shared" si="18"/>
        <v>0</v>
      </c>
      <c r="J45" s="416">
        <f t="shared" si="18"/>
        <v>0</v>
      </c>
      <c r="K45" s="416">
        <f>SUM(K37:K39)</f>
        <v>0</v>
      </c>
      <c r="L45" s="416">
        <f t="shared" ref="L45:R45" si="19">SUM(L37:L39)</f>
        <v>0</v>
      </c>
      <c r="M45" s="416">
        <f t="shared" si="19"/>
        <v>0</v>
      </c>
      <c r="N45" s="416">
        <f t="shared" si="19"/>
        <v>0</v>
      </c>
      <c r="O45" s="416">
        <f t="shared" si="19"/>
        <v>0</v>
      </c>
      <c r="P45" s="416">
        <f t="shared" si="19"/>
        <v>0</v>
      </c>
      <c r="Q45" s="416">
        <f t="shared" si="19"/>
        <v>0</v>
      </c>
      <c r="R45" s="416">
        <f t="shared" si="19"/>
        <v>0</v>
      </c>
    </row>
    <row r="46" spans="1:22" ht="20.149999999999999" customHeight="1">
      <c r="A46" s="179" t="s">
        <v>57</v>
      </c>
      <c r="B46" s="419">
        <f>SUM(B40:B42)</f>
        <v>0</v>
      </c>
      <c r="C46" s="419">
        <f>SUM(C40:C42)</f>
        <v>0</v>
      </c>
      <c r="D46" s="419">
        <f t="shared" ref="D46:J46" si="20">SUM(D40:D42)</f>
        <v>0</v>
      </c>
      <c r="E46" s="419">
        <f t="shared" si="20"/>
        <v>0</v>
      </c>
      <c r="F46" s="419">
        <f t="shared" si="20"/>
        <v>0</v>
      </c>
      <c r="G46" s="419">
        <f t="shared" si="20"/>
        <v>0</v>
      </c>
      <c r="H46" s="419">
        <f t="shared" si="20"/>
        <v>0</v>
      </c>
      <c r="I46" s="419">
        <f t="shared" si="20"/>
        <v>0</v>
      </c>
      <c r="J46" s="419">
        <f t="shared" si="20"/>
        <v>0</v>
      </c>
      <c r="K46" s="419">
        <f>SUM(K40:K42)</f>
        <v>0</v>
      </c>
      <c r="L46" s="419">
        <f t="shared" ref="L46:R46" si="21">SUM(L40:L42)</f>
        <v>0</v>
      </c>
      <c r="M46" s="419">
        <f t="shared" si="21"/>
        <v>0</v>
      </c>
      <c r="N46" s="419">
        <f t="shared" si="21"/>
        <v>0</v>
      </c>
      <c r="O46" s="419">
        <f t="shared" si="21"/>
        <v>0</v>
      </c>
      <c r="P46" s="419">
        <f t="shared" si="21"/>
        <v>0</v>
      </c>
      <c r="Q46" s="419">
        <f t="shared" si="21"/>
        <v>0</v>
      </c>
      <c r="R46" s="419">
        <f t="shared" si="21"/>
        <v>0</v>
      </c>
    </row>
    <row r="47" spans="1:22" ht="20.149999999999999" customHeight="1">
      <c r="A47" s="176" t="s">
        <v>58</v>
      </c>
      <c r="B47" s="416">
        <f>SUM(B31:B36)</f>
        <v>898224.35877000005</v>
      </c>
      <c r="C47" s="416">
        <f>SUM(C31:C36)</f>
        <v>3454528.1689799996</v>
      </c>
      <c r="D47" s="416">
        <f t="shared" ref="D47:J47" si="22">SUM(D31:D36)</f>
        <v>766349.37612000003</v>
      </c>
      <c r="E47" s="416">
        <f t="shared" si="22"/>
        <v>1106440.4744199999</v>
      </c>
      <c r="F47" s="416">
        <f t="shared" si="22"/>
        <v>1080117.4882699999</v>
      </c>
      <c r="G47" s="416">
        <f t="shared" si="22"/>
        <v>2798903.3310799999</v>
      </c>
      <c r="H47" s="416">
        <f t="shared" si="22"/>
        <v>1560138.1070999999</v>
      </c>
      <c r="I47" s="416">
        <f t="shared" si="22"/>
        <v>1147257.63625</v>
      </c>
      <c r="J47" s="416">
        <f t="shared" si="22"/>
        <v>1221567.06464</v>
      </c>
      <c r="K47" s="416">
        <f>SUM(K31:K36)</f>
        <v>3015007.3480109307</v>
      </c>
      <c r="L47" s="416">
        <f t="shared" ref="L47:R47" si="23">SUM(L31:L36)</f>
        <v>3380153.4615580002</v>
      </c>
      <c r="M47" s="416">
        <f t="shared" si="23"/>
        <v>3029316.5613040002</v>
      </c>
      <c r="N47" s="416">
        <f t="shared" si="23"/>
        <v>1067717.5593400002</v>
      </c>
      <c r="O47" s="416">
        <f t="shared" si="23"/>
        <v>1344952.82675</v>
      </c>
      <c r="P47" s="416">
        <f t="shared" si="23"/>
        <v>25870673.76259293</v>
      </c>
      <c r="Q47" s="416">
        <f t="shared" si="23"/>
        <v>426428.25482700008</v>
      </c>
      <c r="R47" s="416">
        <f t="shared" si="23"/>
        <v>26297102.017419934</v>
      </c>
    </row>
    <row r="48" spans="1:22" ht="20.149999999999999" customHeight="1">
      <c r="A48" s="179" t="s">
        <v>59</v>
      </c>
      <c r="B48" s="419">
        <f>SUM(B37:B42)</f>
        <v>0</v>
      </c>
      <c r="C48" s="419">
        <f>SUM(C37:C42)</f>
        <v>0</v>
      </c>
      <c r="D48" s="419">
        <f t="shared" ref="D48:J48" si="24">SUM(D37:D42)</f>
        <v>0</v>
      </c>
      <c r="E48" s="419">
        <f t="shared" si="24"/>
        <v>0</v>
      </c>
      <c r="F48" s="419">
        <f t="shared" si="24"/>
        <v>0</v>
      </c>
      <c r="G48" s="419">
        <f t="shared" si="24"/>
        <v>0</v>
      </c>
      <c r="H48" s="419">
        <f t="shared" si="24"/>
        <v>0</v>
      </c>
      <c r="I48" s="419">
        <f t="shared" si="24"/>
        <v>0</v>
      </c>
      <c r="J48" s="419">
        <f t="shared" si="24"/>
        <v>0</v>
      </c>
      <c r="K48" s="419">
        <f>SUM(K37:K42)</f>
        <v>0</v>
      </c>
      <c r="L48" s="419">
        <f t="shared" ref="L48:R48" si="25">SUM(L37:L42)</f>
        <v>0</v>
      </c>
      <c r="M48" s="419">
        <f t="shared" si="25"/>
        <v>0</v>
      </c>
      <c r="N48" s="419">
        <f t="shared" si="25"/>
        <v>0</v>
      </c>
      <c r="O48" s="419">
        <f t="shared" si="25"/>
        <v>0</v>
      </c>
      <c r="P48" s="419">
        <f t="shared" si="25"/>
        <v>0</v>
      </c>
      <c r="Q48" s="419">
        <f t="shared" si="25"/>
        <v>0</v>
      </c>
      <c r="R48" s="419">
        <f t="shared" si="25"/>
        <v>0</v>
      </c>
    </row>
    <row r="49" spans="1:18" ht="20.149999999999999" customHeight="1">
      <c r="A49" s="179" t="s">
        <v>172</v>
      </c>
      <c r="B49" s="419">
        <f>SUM(B31:B42)</f>
        <v>898224.35877000005</v>
      </c>
      <c r="C49" s="419">
        <f>SUM(C31:C42)</f>
        <v>3454528.1689799996</v>
      </c>
      <c r="D49" s="419">
        <f t="shared" ref="D49:J49" si="26">SUM(D31:D42)</f>
        <v>766349.37612000003</v>
      </c>
      <c r="E49" s="419">
        <f t="shared" si="26"/>
        <v>1106440.4744199999</v>
      </c>
      <c r="F49" s="419">
        <f t="shared" si="26"/>
        <v>1080117.4882699999</v>
      </c>
      <c r="G49" s="419">
        <f t="shared" si="26"/>
        <v>2798903.3310799999</v>
      </c>
      <c r="H49" s="419">
        <f t="shared" si="26"/>
        <v>1560138.1070999999</v>
      </c>
      <c r="I49" s="419">
        <f t="shared" si="26"/>
        <v>1147257.63625</v>
      </c>
      <c r="J49" s="419">
        <f t="shared" si="26"/>
        <v>1221567.06464</v>
      </c>
      <c r="K49" s="419">
        <f>SUM(K31:K42)</f>
        <v>3015007.3480109307</v>
      </c>
      <c r="L49" s="419">
        <f t="shared" ref="L49:R49" si="27">SUM(L31:L42)</f>
        <v>3380153.4615580002</v>
      </c>
      <c r="M49" s="419">
        <f t="shared" si="27"/>
        <v>3029316.5613040002</v>
      </c>
      <c r="N49" s="419">
        <f t="shared" si="27"/>
        <v>1067717.5593400002</v>
      </c>
      <c r="O49" s="419">
        <f t="shared" si="27"/>
        <v>1344952.82675</v>
      </c>
      <c r="P49" s="419">
        <f t="shared" si="27"/>
        <v>25870673.76259293</v>
      </c>
      <c r="Q49" s="419">
        <f t="shared" si="27"/>
        <v>426428.25482700008</v>
      </c>
      <c r="R49" s="419">
        <f t="shared" si="27"/>
        <v>26297102.017419934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Q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topLeftCell="A4" zoomScaleNormal="100" zoomScaleSheetLayoutView="100" workbookViewId="0">
      <selection activeCell="E1" sqref="E1"/>
    </sheetView>
  </sheetViews>
  <sheetFormatPr defaultColWidth="9.1796875" defaultRowHeight="12.5"/>
  <cols>
    <col min="1" max="1" width="6.453125" style="107" customWidth="1"/>
    <col min="2" max="6" width="4.7265625" style="107" customWidth="1"/>
    <col min="7" max="9" width="4.81640625" style="107" customWidth="1"/>
    <col min="10" max="14" width="4.7265625" style="107" customWidth="1"/>
    <col min="15" max="15" width="3.7265625" style="107" customWidth="1"/>
    <col min="16" max="19" width="4.7265625" style="107" customWidth="1"/>
    <col min="20" max="20" width="3.7265625" style="107" customWidth="1"/>
    <col min="21" max="21" width="5" style="107" customWidth="1"/>
    <col min="22" max="16384" width="9.1796875" style="107"/>
  </cols>
  <sheetData>
    <row r="1" spans="1:20" ht="20">
      <c r="A1" s="117" t="s">
        <v>289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ht="15" customHeight="1">
      <c r="E2" s="108"/>
      <c r="F2" s="108"/>
    </row>
    <row r="3" spans="1:20" ht="15" customHeight="1">
      <c r="A3" s="543" t="s">
        <v>188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</row>
    <row r="4" spans="1:20" ht="15" customHeight="1">
      <c r="A4" s="72"/>
      <c r="C4" s="109"/>
      <c r="D4" s="109"/>
      <c r="E4" s="109"/>
      <c r="F4" s="109"/>
      <c r="G4" s="109"/>
      <c r="H4" s="61"/>
      <c r="I4" s="61"/>
    </row>
    <row r="5" spans="1:20" ht="15" customHeight="1">
      <c r="A5" s="72"/>
      <c r="C5" s="109"/>
      <c r="D5" s="109"/>
      <c r="E5" s="109"/>
      <c r="F5" s="109"/>
      <c r="G5" s="109"/>
      <c r="H5" s="61"/>
      <c r="I5" s="61"/>
    </row>
    <row r="6" spans="1:20" ht="15" customHeight="1">
      <c r="A6" s="72"/>
      <c r="B6" s="110"/>
      <c r="C6" s="110"/>
      <c r="D6" s="109"/>
      <c r="E6" s="109"/>
      <c r="F6" s="109"/>
      <c r="G6" s="110"/>
      <c r="H6" s="12"/>
      <c r="I6" s="61"/>
    </row>
    <row r="7" spans="1:20" ht="15" customHeight="1">
      <c r="A7" s="72"/>
      <c r="B7" s="110"/>
      <c r="C7" s="110"/>
      <c r="D7" s="109"/>
      <c r="E7" s="109"/>
      <c r="F7" s="109"/>
      <c r="G7" s="110"/>
      <c r="H7" s="12"/>
      <c r="I7" s="61"/>
    </row>
    <row r="8" spans="1:20" ht="15" customHeight="1">
      <c r="A8" s="72"/>
      <c r="B8" s="110"/>
      <c r="C8" s="110"/>
      <c r="D8" s="109"/>
      <c r="E8" s="109"/>
      <c r="F8" s="109"/>
      <c r="G8" s="110"/>
      <c r="H8" s="12"/>
      <c r="I8" s="61"/>
    </row>
    <row r="9" spans="1:20" ht="15" customHeight="1">
      <c r="A9" s="72"/>
      <c r="B9" s="109"/>
      <c r="C9" s="109"/>
      <c r="D9" s="109"/>
      <c r="E9" s="109"/>
      <c r="F9" s="109"/>
      <c r="G9" s="110"/>
      <c r="H9" s="12"/>
      <c r="I9" s="61"/>
    </row>
    <row r="10" spans="1:20" ht="15" customHeight="1">
      <c r="A10" s="72"/>
      <c r="B10" s="109"/>
      <c r="C10" s="109"/>
      <c r="D10" s="109"/>
      <c r="E10" s="109"/>
      <c r="F10" s="109"/>
      <c r="G10" s="109"/>
      <c r="H10" s="61"/>
      <c r="I10" s="61"/>
    </row>
    <row r="11" spans="1:20" ht="15" customHeight="1">
      <c r="A11" s="72"/>
      <c r="B11" s="109"/>
      <c r="C11" s="109"/>
      <c r="D11" s="109"/>
      <c r="E11" s="109"/>
      <c r="F11" s="109"/>
      <c r="G11" s="109"/>
      <c r="H11" s="61"/>
      <c r="I11" s="61"/>
    </row>
    <row r="12" spans="1:20" ht="15" customHeight="1">
      <c r="A12" s="72"/>
      <c r="B12" s="109"/>
      <c r="C12" s="109"/>
      <c r="D12" s="109"/>
      <c r="E12" s="109"/>
      <c r="F12" s="109"/>
      <c r="G12" s="109"/>
      <c r="H12" s="61"/>
      <c r="I12" s="61"/>
    </row>
    <row r="13" spans="1:20" ht="15" customHeight="1">
      <c r="A13" s="72"/>
      <c r="B13" s="109"/>
      <c r="C13" s="109"/>
      <c r="D13" s="109"/>
      <c r="E13" s="109"/>
      <c r="F13" s="109"/>
      <c r="G13" s="109"/>
      <c r="H13" s="61"/>
      <c r="I13" s="61"/>
    </row>
    <row r="14" spans="1:20" ht="15" customHeight="1">
      <c r="A14" s="72"/>
      <c r="B14" s="109"/>
      <c r="C14" s="109"/>
      <c r="D14" s="109"/>
      <c r="E14" s="109"/>
      <c r="F14" s="109"/>
      <c r="G14" s="109"/>
      <c r="H14" s="111"/>
      <c r="I14" s="111"/>
    </row>
    <row r="15" spans="1:20" ht="15" customHeight="1">
      <c r="A15" s="112"/>
      <c r="B15" s="112"/>
      <c r="C15" s="112"/>
      <c r="D15" s="112"/>
      <c r="E15" s="112"/>
      <c r="F15" s="112"/>
      <c r="G15" s="113"/>
      <c r="H15" s="114"/>
      <c r="I15" s="114"/>
    </row>
    <row r="16" spans="1:20" ht="15" customHeight="1">
      <c r="A16" s="112"/>
      <c r="B16" s="112"/>
      <c r="C16" s="112"/>
      <c r="D16" s="112"/>
      <c r="E16" s="112"/>
      <c r="F16" s="112"/>
    </row>
    <row r="17" spans="1:21" ht="15" customHeight="1">
      <c r="A17" s="112"/>
      <c r="B17" s="112"/>
      <c r="C17" s="112"/>
      <c r="D17" s="112"/>
      <c r="E17" s="112"/>
      <c r="F17" s="112"/>
    </row>
    <row r="18" spans="1:21" ht="15" customHeight="1">
      <c r="A18" s="112"/>
      <c r="B18" s="112"/>
      <c r="C18" s="112"/>
      <c r="D18" s="112"/>
      <c r="E18" s="112"/>
      <c r="F18" s="112"/>
    </row>
    <row r="19" spans="1:21" ht="15" customHeight="1">
      <c r="A19" s="112"/>
      <c r="B19" s="112"/>
      <c r="C19" s="112"/>
      <c r="D19" s="112"/>
      <c r="E19" s="112"/>
      <c r="F19" s="112"/>
    </row>
    <row r="20" spans="1:21" ht="15" customHeight="1">
      <c r="A20" s="112"/>
      <c r="B20" s="112"/>
      <c r="C20" s="112"/>
      <c r="D20" s="112"/>
      <c r="E20" s="112"/>
      <c r="F20" s="112"/>
    </row>
    <row r="21" spans="1:21" ht="13" customHeight="1">
      <c r="B21" s="115"/>
      <c r="C21" s="115"/>
      <c r="D21" s="115"/>
      <c r="E21" s="112"/>
      <c r="F21" s="113"/>
      <c r="G21" s="113"/>
      <c r="H21" s="113"/>
    </row>
    <row r="22" spans="1:21" ht="13" customHeight="1">
      <c r="B22" s="115"/>
      <c r="C22" s="115"/>
      <c r="D22" s="115"/>
      <c r="G22" s="544"/>
      <c r="H22" s="544"/>
      <c r="I22" s="544"/>
      <c r="K22" s="544"/>
      <c r="L22" s="544"/>
      <c r="M22" s="544"/>
      <c r="N22" s="544"/>
      <c r="P22" s="544"/>
      <c r="Q22" s="544"/>
      <c r="R22" s="544"/>
      <c r="S22" s="544"/>
      <c r="T22" s="544"/>
      <c r="U22" s="544"/>
    </row>
    <row r="23" spans="1:21" ht="13" customHeight="1">
      <c r="B23" s="115"/>
      <c r="C23" s="115"/>
      <c r="D23" s="115"/>
      <c r="G23" s="544"/>
      <c r="H23" s="544"/>
      <c r="I23" s="544"/>
      <c r="K23" s="545"/>
      <c r="L23" s="545"/>
      <c r="M23" s="545"/>
      <c r="N23" s="545"/>
      <c r="P23" s="544"/>
      <c r="Q23" s="544"/>
      <c r="R23" s="544"/>
      <c r="S23" s="544"/>
      <c r="T23" s="544"/>
      <c r="U23" s="544"/>
    </row>
    <row r="24" spans="1:21" ht="13" customHeight="1">
      <c r="B24" s="115"/>
      <c r="C24" s="115"/>
      <c r="D24" s="115"/>
      <c r="G24" s="544"/>
      <c r="H24" s="544"/>
      <c r="I24" s="544"/>
      <c r="K24" s="545"/>
      <c r="L24" s="545"/>
      <c r="M24" s="545"/>
      <c r="N24" s="545"/>
      <c r="P24" s="545"/>
      <c r="Q24" s="545"/>
      <c r="R24" s="545"/>
      <c r="S24" s="545"/>
      <c r="T24" s="545"/>
      <c r="U24" s="545"/>
    </row>
    <row r="25" spans="1:21" ht="12" customHeight="1">
      <c r="A25" s="112"/>
      <c r="B25" s="112"/>
      <c r="C25" s="112"/>
      <c r="D25" s="112"/>
      <c r="E25" s="112"/>
      <c r="F25" s="112"/>
      <c r="H25" s="116"/>
      <c r="I25" s="116"/>
      <c r="P25" s="545"/>
      <c r="Q25" s="545"/>
      <c r="R25" s="545"/>
      <c r="S25" s="545"/>
      <c r="T25" s="545"/>
      <c r="U25" s="545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topLeftCell="A16" zoomScaleNormal="100" workbookViewId="0">
      <selection activeCell="E1" sqref="E1"/>
    </sheetView>
  </sheetViews>
  <sheetFormatPr defaultColWidth="9.1796875" defaultRowHeight="12.5"/>
  <cols>
    <col min="1" max="1" width="9.1796875" style="380"/>
    <col min="2" max="2" width="11.26953125" style="380" bestFit="1" customWidth="1"/>
    <col min="3" max="16384" width="9.1796875" style="380"/>
  </cols>
  <sheetData>
    <row r="25" spans="6:6">
      <c r="F25" s="379"/>
    </row>
    <row r="26" spans="6:6">
      <c r="F26" s="379"/>
    </row>
    <row r="27" spans="6:6">
      <c r="F27" s="379"/>
    </row>
    <row r="28" spans="6:6">
      <c r="F28" s="379"/>
    </row>
    <row r="47" spans="1:3" ht="14">
      <c r="A47" s="381" t="s">
        <v>310</v>
      </c>
    </row>
    <row r="48" spans="1:3" ht="14">
      <c r="A48" s="382" t="s">
        <v>317</v>
      </c>
      <c r="B48" s="383"/>
      <c r="C48" s="383"/>
    </row>
    <row r="50" spans="1:2" ht="14">
      <c r="A50" s="384" t="s">
        <v>312</v>
      </c>
      <c r="B50" s="385">
        <f ca="1">TODAY()</f>
        <v>45428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16" zoomScaleNormal="100" zoomScaleSheetLayoutView="100" workbookViewId="0">
      <selection activeCell="E1" sqref="E1"/>
    </sheetView>
  </sheetViews>
  <sheetFormatPr defaultColWidth="9.1796875" defaultRowHeight="14"/>
  <cols>
    <col min="1" max="1" width="20.26953125" style="1" customWidth="1"/>
    <col min="2" max="2" width="79" style="24" customWidth="1"/>
    <col min="3" max="3" width="6.54296875" style="22" customWidth="1"/>
    <col min="4" max="4" width="11.7265625" style="22" customWidth="1"/>
    <col min="5" max="6" width="9.1796875" style="22"/>
    <col min="7" max="7" width="11.7265625" style="22" customWidth="1"/>
    <col min="8" max="16384" width="9.1796875" style="22"/>
  </cols>
  <sheetData>
    <row r="1" spans="1:2" ht="20">
      <c r="A1" s="54" t="s">
        <v>284</v>
      </c>
      <c r="B1" s="21"/>
    </row>
    <row r="2" spans="1:2" ht="6" customHeight="1">
      <c r="B2" s="21"/>
    </row>
    <row r="3" spans="1:2" ht="40" customHeight="1">
      <c r="A3" s="13" t="s">
        <v>238</v>
      </c>
      <c r="B3" s="14" t="s">
        <v>313</v>
      </c>
    </row>
    <row r="4" spans="1:2" ht="25" customHeight="1">
      <c r="A4" s="15" t="s">
        <v>93</v>
      </c>
      <c r="B4" s="16" t="s">
        <v>98</v>
      </c>
    </row>
    <row r="5" spans="1:2" ht="25" customHeight="1">
      <c r="A5" s="15" t="s">
        <v>99</v>
      </c>
      <c r="B5" s="17" t="s">
        <v>100</v>
      </c>
    </row>
    <row r="6" spans="1:2" ht="25" customHeight="1">
      <c r="A6" s="15" t="s">
        <v>7</v>
      </c>
      <c r="B6" s="16" t="s">
        <v>101</v>
      </c>
    </row>
    <row r="7" spans="1:2" ht="25" customHeight="1">
      <c r="A7" s="15" t="s">
        <v>102</v>
      </c>
      <c r="B7" s="16" t="s">
        <v>103</v>
      </c>
    </row>
    <row r="8" spans="1:2" ht="25" customHeight="1">
      <c r="A8" s="15" t="s">
        <v>104</v>
      </c>
      <c r="B8" s="16" t="s">
        <v>105</v>
      </c>
    </row>
    <row r="9" spans="1:2" ht="25" customHeight="1">
      <c r="A9" s="15" t="s">
        <v>209</v>
      </c>
      <c r="B9" s="16" t="s">
        <v>208</v>
      </c>
    </row>
    <row r="10" spans="1:2" ht="25" customHeight="1">
      <c r="A10" s="15" t="s">
        <v>87</v>
      </c>
      <c r="B10" s="18" t="s">
        <v>202</v>
      </c>
    </row>
    <row r="11" spans="1:2" ht="25" customHeight="1">
      <c r="A11" s="15" t="s">
        <v>315</v>
      </c>
      <c r="B11" s="16" t="s">
        <v>316</v>
      </c>
    </row>
    <row r="12" spans="1:2" ht="25" customHeight="1">
      <c r="A12" s="15" t="s">
        <v>106</v>
      </c>
      <c r="B12" s="16" t="s">
        <v>107</v>
      </c>
    </row>
    <row r="13" spans="1:2" ht="25" customHeight="1">
      <c r="A13" s="15" t="s">
        <v>108</v>
      </c>
      <c r="B13" s="16" t="s">
        <v>109</v>
      </c>
    </row>
    <row r="14" spans="1:2" ht="25" customHeight="1">
      <c r="A14" s="15" t="s">
        <v>110</v>
      </c>
      <c r="B14" s="16" t="s">
        <v>111</v>
      </c>
    </row>
    <row r="15" spans="1:2" ht="25" customHeight="1">
      <c r="A15" s="15" t="s">
        <v>211</v>
      </c>
      <c r="B15" s="16" t="s">
        <v>212</v>
      </c>
    </row>
    <row r="16" spans="1:2" ht="25" customHeight="1">
      <c r="A16" s="15" t="s">
        <v>6</v>
      </c>
      <c r="B16" s="16" t="s">
        <v>112</v>
      </c>
    </row>
    <row r="17" spans="1:2" ht="25" customHeight="1">
      <c r="A17" s="15" t="s">
        <v>65</v>
      </c>
      <c r="B17" s="16" t="s">
        <v>203</v>
      </c>
    </row>
    <row r="18" spans="1:2" ht="25" customHeight="1">
      <c r="A18" s="15" t="s">
        <v>113</v>
      </c>
      <c r="B18" s="16" t="s">
        <v>204</v>
      </c>
    </row>
    <row r="19" spans="1:2" ht="25" customHeight="1">
      <c r="A19" s="15" t="s">
        <v>114</v>
      </c>
      <c r="B19" s="19" t="s">
        <v>115</v>
      </c>
    </row>
    <row r="20" spans="1:2" ht="25" customHeight="1">
      <c r="A20" s="13" t="s">
        <v>116</v>
      </c>
      <c r="B20" s="19" t="s">
        <v>117</v>
      </c>
    </row>
    <row r="21" spans="1:2" ht="40" customHeight="1">
      <c r="A21" s="15" t="s">
        <v>118</v>
      </c>
      <c r="B21" s="19" t="s">
        <v>119</v>
      </c>
    </row>
    <row r="22" spans="1:2" ht="25" customHeight="1">
      <c r="A22" s="15" t="s">
        <v>32</v>
      </c>
      <c r="B22" s="20" t="s">
        <v>120</v>
      </c>
    </row>
    <row r="23" spans="1:2" ht="25" customHeight="1">
      <c r="A23" s="15" t="s">
        <v>121</v>
      </c>
      <c r="B23" s="19" t="s">
        <v>122</v>
      </c>
    </row>
    <row r="24" spans="1:2" ht="25" customHeight="1">
      <c r="A24" s="15" t="s">
        <v>123</v>
      </c>
      <c r="B24" s="16" t="s">
        <v>124</v>
      </c>
    </row>
    <row r="25" spans="1:2" ht="25" customHeight="1">
      <c r="A25" s="15" t="s">
        <v>151</v>
      </c>
      <c r="B25" s="16" t="s">
        <v>152</v>
      </c>
    </row>
    <row r="26" spans="1:2" ht="25" customHeight="1">
      <c r="A26" s="15" t="s">
        <v>125</v>
      </c>
      <c r="B26" s="16" t="s">
        <v>126</v>
      </c>
    </row>
    <row r="27" spans="1:2" ht="40" customHeight="1">
      <c r="A27" s="15" t="s">
        <v>20</v>
      </c>
      <c r="B27" s="16" t="s">
        <v>205</v>
      </c>
    </row>
    <row r="28" spans="1:2" ht="25" customHeight="1">
      <c r="A28" s="15" t="s">
        <v>127</v>
      </c>
      <c r="B28" s="16" t="s">
        <v>128</v>
      </c>
    </row>
    <row r="29" spans="1:2" ht="25" customHeight="1">
      <c r="A29" s="15" t="s">
        <v>129</v>
      </c>
      <c r="B29" s="16" t="s">
        <v>130</v>
      </c>
    </row>
    <row r="30" spans="1:2" ht="25" customHeight="1">
      <c r="A30" s="15" t="s">
        <v>131</v>
      </c>
      <c r="B30" s="16" t="s">
        <v>132</v>
      </c>
    </row>
    <row r="31" spans="1:2" ht="40" customHeight="1">
      <c r="A31" s="15" t="s">
        <v>133</v>
      </c>
      <c r="B31" s="19" t="s">
        <v>149</v>
      </c>
    </row>
    <row r="32" spans="1:2" ht="25" customHeight="1">
      <c r="A32" s="15" t="s">
        <v>134</v>
      </c>
      <c r="B32" s="16" t="s">
        <v>135</v>
      </c>
    </row>
    <row r="33" spans="1:2" ht="25" customHeight="1">
      <c r="A33" s="15" t="s">
        <v>136</v>
      </c>
      <c r="B33" s="16" t="s">
        <v>137</v>
      </c>
    </row>
    <row r="34" spans="1:2" ht="25" customHeight="1">
      <c r="A34" s="15" t="s">
        <v>138</v>
      </c>
      <c r="B34" s="19" t="s">
        <v>139</v>
      </c>
    </row>
    <row r="35" spans="1:2" ht="25" customHeight="1">
      <c r="A35" s="15" t="s">
        <v>5</v>
      </c>
      <c r="B35" s="16" t="s">
        <v>140</v>
      </c>
    </row>
    <row r="36" spans="1:2" ht="25" customHeight="1">
      <c r="A36" s="15" t="s">
        <v>4</v>
      </c>
      <c r="B36" s="16" t="s">
        <v>141</v>
      </c>
    </row>
    <row r="37" spans="1:2" ht="25" customHeight="1">
      <c r="A37" s="15" t="s">
        <v>142</v>
      </c>
      <c r="B37" s="16" t="s">
        <v>143</v>
      </c>
    </row>
    <row r="38" spans="1:2" ht="25" customHeight="1">
      <c r="A38" s="15" t="s">
        <v>31</v>
      </c>
      <c r="B38" s="16" t="s">
        <v>144</v>
      </c>
    </row>
    <row r="39" spans="1:2" ht="25" customHeight="1">
      <c r="A39" s="15" t="s">
        <v>145</v>
      </c>
      <c r="B39" s="19" t="s">
        <v>146</v>
      </c>
    </row>
    <row r="40" spans="1:2" ht="25" customHeight="1">
      <c r="A40" s="15" t="s">
        <v>147</v>
      </c>
      <c r="B40" s="16" t="s">
        <v>148</v>
      </c>
    </row>
    <row r="41" spans="1:2" ht="25" customHeight="1">
      <c r="A41" s="23"/>
      <c r="B41" s="19"/>
    </row>
    <row r="42" spans="1:2" ht="25" customHeight="1">
      <c r="A42" s="23"/>
      <c r="B42" s="16"/>
    </row>
  </sheetData>
  <sortState ref="A4:B40">
    <sortCondition ref="A40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zoomScaleNormal="100" zoomScaleSheetLayoutView="100" workbookViewId="0">
      <selection activeCell="E1" sqref="E1"/>
    </sheetView>
  </sheetViews>
  <sheetFormatPr defaultColWidth="9.1796875" defaultRowHeight="14"/>
  <cols>
    <col min="1" max="1" width="14.7265625" style="25" customWidth="1"/>
    <col min="2" max="3" width="10.7265625" style="25" customWidth="1"/>
    <col min="4" max="4" width="31.54296875" style="25" customWidth="1"/>
    <col min="5" max="5" width="8" style="25" customWidth="1"/>
    <col min="6" max="6" width="7.26953125" style="25" customWidth="1"/>
    <col min="7" max="7" width="1.7265625" style="25" customWidth="1"/>
    <col min="8" max="8" width="9" style="25" customWidth="1"/>
    <col min="9" max="9" width="5.7265625" style="25" customWidth="1"/>
    <col min="10" max="10" width="9.1796875" style="25" customWidth="1"/>
    <col min="11" max="16384" width="9.1796875" style="25"/>
  </cols>
  <sheetData>
    <row r="1" spans="1:10" ht="20">
      <c r="A1" s="45" t="str">
        <f>"2 STRUČNÝ PŘEHLED ZA "&amp;UPPER('3.1'!G5)&amp;" "&amp;'3.1'!A4</f>
        <v>2 STRUČNÝ PŘEHLED ZA I. ČTVRTLETÍ 2024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36" t="s">
        <v>213</v>
      </c>
      <c r="B3" s="436"/>
      <c r="C3" s="436"/>
      <c r="D3" s="436"/>
      <c r="E3" s="436"/>
      <c r="F3" s="436"/>
      <c r="G3" s="436"/>
      <c r="H3" s="436"/>
      <c r="I3" s="436"/>
    </row>
    <row r="4" spans="1:10" ht="15" customHeight="1">
      <c r="A4" s="436"/>
      <c r="B4" s="436"/>
      <c r="C4" s="436"/>
      <c r="D4" s="436"/>
      <c r="E4" s="436"/>
      <c r="F4" s="436"/>
      <c r="G4" s="436"/>
      <c r="H4" s="436"/>
      <c r="I4" s="436"/>
    </row>
    <row r="5" spans="1:10" ht="15" customHeight="1">
      <c r="A5" s="436"/>
      <c r="B5" s="436"/>
      <c r="C5" s="436"/>
      <c r="D5" s="436"/>
      <c r="E5" s="436"/>
      <c r="F5" s="436"/>
      <c r="G5" s="436"/>
      <c r="H5" s="436"/>
      <c r="I5" s="436"/>
    </row>
    <row r="6" spans="1:10" ht="15" customHeight="1">
      <c r="A6" s="436"/>
      <c r="B6" s="436"/>
      <c r="C6" s="436"/>
      <c r="D6" s="436"/>
      <c r="E6" s="436"/>
      <c r="F6" s="436"/>
      <c r="G6" s="436"/>
      <c r="H6" s="436"/>
      <c r="I6" s="436"/>
    </row>
    <row r="7" spans="1:10" ht="30" customHeight="1">
      <c r="A7" s="437" t="s">
        <v>249</v>
      </c>
      <c r="B7" s="437"/>
      <c r="C7" s="437"/>
      <c r="D7" s="437"/>
      <c r="E7" s="437"/>
      <c r="F7" s="437"/>
      <c r="G7" s="437"/>
      <c r="H7" s="437"/>
      <c r="I7" s="437"/>
      <c r="J7" s="29"/>
    </row>
    <row r="8" spans="1:10" ht="10" customHeight="1">
      <c r="A8" s="29"/>
      <c r="B8" s="29"/>
      <c r="C8" s="30"/>
      <c r="D8" s="30"/>
    </row>
    <row r="9" spans="1:10" ht="16" customHeight="1">
      <c r="A9" s="433" t="s">
        <v>214</v>
      </c>
      <c r="B9" s="433"/>
      <c r="C9" s="433"/>
      <c r="D9" s="433"/>
      <c r="E9" s="31">
        <f>'3.1'!G8/1000</f>
        <v>1358.4932245705322</v>
      </c>
      <c r="F9" s="32" t="s">
        <v>256</v>
      </c>
      <c r="G9" s="32" t="s">
        <v>215</v>
      </c>
      <c r="H9" s="31">
        <f>'3.1'!K8/1000</f>
        <v>14821.128696357999</v>
      </c>
      <c r="I9" s="32" t="s">
        <v>216</v>
      </c>
    </row>
    <row r="10" spans="1:10" ht="16" customHeight="1">
      <c r="A10" s="434" t="s">
        <v>217</v>
      </c>
      <c r="B10" s="434"/>
      <c r="C10" s="434"/>
      <c r="D10" s="434"/>
      <c r="E10" s="31">
        <f>'3.1'!G11/1000</f>
        <v>21.09082608108146</v>
      </c>
      <c r="F10" s="32" t="s">
        <v>256</v>
      </c>
      <c r="G10" s="32" t="s">
        <v>215</v>
      </c>
      <c r="H10" s="31">
        <f>'3.1'!K11/1000</f>
        <v>229.22669813230002</v>
      </c>
      <c r="I10" s="32" t="s">
        <v>216</v>
      </c>
    </row>
    <row r="11" spans="1:10" ht="10" customHeight="1">
      <c r="A11" s="33"/>
      <c r="B11" s="33"/>
      <c r="C11" s="34"/>
      <c r="D11" s="34"/>
      <c r="E11" s="35"/>
    </row>
    <row r="12" spans="1:10" ht="16" customHeight="1">
      <c r="A12" s="434" t="s">
        <v>218</v>
      </c>
      <c r="B12" s="434"/>
      <c r="C12" s="434"/>
      <c r="D12" s="434"/>
      <c r="E12" s="31">
        <f>'3.1'!G18/1000</f>
        <v>1072.0164649999999</v>
      </c>
      <c r="F12" s="32" t="s">
        <v>256</v>
      </c>
      <c r="G12" s="32" t="s">
        <v>215</v>
      </c>
      <c r="H12" s="31">
        <f>'3.1'!K18/1000</f>
        <v>11639.27169</v>
      </c>
      <c r="I12" s="32" t="s">
        <v>216</v>
      </c>
    </row>
    <row r="13" spans="1:10" ht="16" customHeight="1">
      <c r="A13" s="434" t="s">
        <v>219</v>
      </c>
      <c r="B13" s="434"/>
      <c r="C13" s="434"/>
      <c r="D13" s="434"/>
      <c r="E13" s="31">
        <f>'3.1'!G22/1000</f>
        <v>22.543821999999999</v>
      </c>
      <c r="F13" s="32" t="s">
        <v>256</v>
      </c>
      <c r="G13" s="32" t="s">
        <v>215</v>
      </c>
      <c r="H13" s="31">
        <f>'3.1'!K22/1000</f>
        <v>244.98545800399998</v>
      </c>
      <c r="I13" s="32" t="s">
        <v>216</v>
      </c>
    </row>
    <row r="14" spans="1:10" ht="16" customHeight="1">
      <c r="A14" s="434" t="s">
        <v>220</v>
      </c>
      <c r="B14" s="434"/>
      <c r="C14" s="434"/>
      <c r="D14" s="434"/>
      <c r="E14" s="31">
        <f>'3.1'!G27/1000</f>
        <v>2010.7891977324916</v>
      </c>
      <c r="F14" s="32" t="s">
        <v>256</v>
      </c>
      <c r="G14" s="32" t="s">
        <v>215</v>
      </c>
      <c r="H14" s="31">
        <f>'3.1'!K27/1000</f>
        <v>21872.860951191687</v>
      </c>
      <c r="I14" s="32" t="s">
        <v>216</v>
      </c>
    </row>
    <row r="15" spans="1:10" ht="10" customHeight="1">
      <c r="A15" s="33"/>
      <c r="B15" s="33"/>
      <c r="C15" s="34"/>
      <c r="D15" s="34"/>
      <c r="E15" s="35"/>
    </row>
    <row r="16" spans="1:10" ht="16" customHeight="1">
      <c r="A16" s="434" t="s">
        <v>221</v>
      </c>
      <c r="B16" s="434"/>
      <c r="C16" s="434"/>
      <c r="D16" s="434"/>
      <c r="E16" s="31">
        <f>'3.1'!G36/1000</f>
        <v>27.008981054151</v>
      </c>
      <c r="F16" s="32" t="s">
        <v>256</v>
      </c>
      <c r="G16" s="32" t="s">
        <v>215</v>
      </c>
      <c r="H16" s="31">
        <f>'3.1'!K36/1000</f>
        <v>295.90098664655244</v>
      </c>
      <c r="I16" s="32" t="s">
        <v>216</v>
      </c>
    </row>
    <row r="17" spans="1:9" ht="30" customHeight="1">
      <c r="A17" s="437" t="s">
        <v>250</v>
      </c>
      <c r="B17" s="437"/>
      <c r="C17" s="437"/>
      <c r="D17" s="437"/>
      <c r="E17" s="437"/>
      <c r="F17" s="437"/>
      <c r="G17" s="437"/>
      <c r="H17" s="437"/>
      <c r="I17" s="437"/>
    </row>
    <row r="18" spans="1:9" ht="10" customHeight="1">
      <c r="A18" s="29"/>
      <c r="B18" s="29"/>
      <c r="C18" s="30"/>
      <c r="D18" s="30"/>
    </row>
    <row r="19" spans="1:9" ht="16" customHeight="1">
      <c r="A19" s="433" t="s">
        <v>222</v>
      </c>
      <c r="B19" s="433"/>
      <c r="C19" s="433"/>
      <c r="D19" s="433"/>
      <c r="E19" s="31">
        <f>'4.1'!B19</f>
        <v>2414.6223769335211</v>
      </c>
      <c r="F19" s="32" t="s">
        <v>256</v>
      </c>
      <c r="G19" s="32" t="s">
        <v>215</v>
      </c>
      <c r="H19" s="31">
        <f>'4.1'!I19</f>
        <v>26297.101940176999</v>
      </c>
      <c r="I19" s="32" t="s">
        <v>216</v>
      </c>
    </row>
    <row r="20" spans="1:9" ht="16" customHeight="1">
      <c r="A20" s="434" t="s">
        <v>223</v>
      </c>
      <c r="B20" s="434"/>
      <c r="C20" s="434"/>
      <c r="D20" s="434"/>
      <c r="E20" s="36">
        <f>'4.1'!D19*100</f>
        <v>-4.250629003700098</v>
      </c>
      <c r="F20" s="32" t="s">
        <v>224</v>
      </c>
      <c r="G20" s="32"/>
      <c r="H20" s="31"/>
      <c r="I20" s="32"/>
    </row>
    <row r="21" spans="1:9" ht="10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6" customHeight="1">
      <c r="A22" s="434" t="s">
        <v>225</v>
      </c>
      <c r="B22" s="434"/>
      <c r="C22" s="434"/>
      <c r="D22" s="434"/>
      <c r="E22" s="31">
        <f>'4.1'!E19</f>
        <v>2751.5963059232026</v>
      </c>
      <c r="F22" s="32" t="s">
        <v>256</v>
      </c>
      <c r="G22" s="32" t="s">
        <v>215</v>
      </c>
      <c r="H22" s="31">
        <f>'4.1'!K19</f>
        <v>29965.82708269143</v>
      </c>
      <c r="I22" s="32" t="s">
        <v>216</v>
      </c>
    </row>
    <row r="23" spans="1:9" ht="16" customHeight="1">
      <c r="A23" s="434" t="s">
        <v>226</v>
      </c>
      <c r="B23" s="434"/>
      <c r="C23" s="434"/>
      <c r="D23" s="434"/>
      <c r="E23" s="36">
        <f>'4.1'!G19*100</f>
        <v>0.5416276129606642</v>
      </c>
      <c r="F23" s="32" t="s">
        <v>224</v>
      </c>
    </row>
    <row r="24" spans="1:9" ht="10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6" customHeight="1">
      <c r="A25" s="434" t="s">
        <v>227</v>
      </c>
      <c r="B25" s="434"/>
      <c r="C25" s="434"/>
      <c r="D25" s="434"/>
      <c r="E25" s="36">
        <f>'4.1'!N19</f>
        <v>4.2664362519201218</v>
      </c>
      <c r="F25" s="32" t="s">
        <v>228</v>
      </c>
      <c r="G25" s="32"/>
      <c r="H25" s="31"/>
      <c r="I25" s="32"/>
    </row>
    <row r="26" spans="1:9" ht="16" customHeight="1">
      <c r="A26" s="434" t="s">
        <v>229</v>
      </c>
      <c r="B26" s="434"/>
      <c r="C26" s="434"/>
      <c r="D26" s="434"/>
      <c r="E26" s="36">
        <f>'4.1'!Q19</f>
        <v>0.71064145346681462</v>
      </c>
      <c r="F26" s="32" t="s">
        <v>228</v>
      </c>
      <c r="G26" s="32"/>
      <c r="H26" s="31"/>
      <c r="I26" s="32"/>
    </row>
    <row r="27" spans="1:9" ht="16" customHeight="1">
      <c r="A27" s="434" t="s">
        <v>230</v>
      </c>
      <c r="B27" s="434"/>
      <c r="C27" s="434"/>
      <c r="D27" s="434"/>
      <c r="E27" s="36">
        <f>'4.1'!R19</f>
        <v>3.5557947984533071</v>
      </c>
      <c r="F27" s="32" t="s">
        <v>228</v>
      </c>
      <c r="G27" s="32"/>
      <c r="H27" s="31"/>
      <c r="I27" s="32"/>
    </row>
    <row r="28" spans="1:9" ht="10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6" customHeight="1">
      <c r="A29" s="434" t="s">
        <v>231</v>
      </c>
      <c r="B29" s="434"/>
      <c r="C29" s="434"/>
      <c r="D29" s="434"/>
      <c r="E29" s="38">
        <f>MAX('4.3'!B38,'4.3'!E38,'4.3'!H38)/1000</f>
        <v>45.945931301432687</v>
      </c>
      <c r="F29" s="32" t="s">
        <v>256</v>
      </c>
      <c r="G29" s="32" t="s">
        <v>215</v>
      </c>
      <c r="H29" s="38">
        <f>MAX('4.3'!C38,'4.3'!F38,'4.3'!I38)/1000</f>
        <v>500.71317266658065</v>
      </c>
      <c r="I29" s="32" t="s">
        <v>216</v>
      </c>
    </row>
    <row r="30" spans="1:9" ht="16" customHeight="1">
      <c r="A30" s="434" t="s">
        <v>232</v>
      </c>
      <c r="B30" s="434"/>
      <c r="C30" s="434"/>
      <c r="D30" s="434"/>
      <c r="E30" s="38">
        <f>MIN('4.3'!B39,'4.3'!E39,'4.3'!H39)/1000</f>
        <v>11.263476241418214</v>
      </c>
      <c r="F30" s="32" t="s">
        <v>256</v>
      </c>
      <c r="G30" s="32" t="s">
        <v>215</v>
      </c>
      <c r="H30" s="38">
        <f>MIN('4.3'!C39,'4.3'!F39,'4.3'!I39)/1000</f>
        <v>122.49950329503227</v>
      </c>
      <c r="I30" s="32" t="s">
        <v>216</v>
      </c>
    </row>
    <row r="31" spans="1:9" ht="30" customHeight="1">
      <c r="A31" s="432" t="s">
        <v>251</v>
      </c>
      <c r="B31" s="432"/>
      <c r="C31" s="432"/>
      <c r="D31" s="432"/>
      <c r="E31" s="432"/>
      <c r="F31" s="432"/>
      <c r="G31" s="432"/>
      <c r="H31" s="432"/>
      <c r="I31" s="432"/>
    </row>
    <row r="32" spans="1:9" ht="10" customHeight="1"/>
    <row r="33" spans="1:9" ht="16" customHeight="1">
      <c r="A33" s="433" t="s">
        <v>233</v>
      </c>
      <c r="B33" s="433"/>
      <c r="C33" s="433"/>
      <c r="D33" s="433"/>
      <c r="E33" s="38">
        <f>'5.9'!E7*100</f>
        <v>11.647983344189832</v>
      </c>
      <c r="F33" s="32" t="s">
        <v>224</v>
      </c>
      <c r="H33" s="38">
        <f>'5.9'!F7*100</f>
        <v>-3.0059343271497596</v>
      </c>
      <c r="I33" s="32" t="s">
        <v>224</v>
      </c>
    </row>
    <row r="34" spans="1:9" ht="16" customHeight="1">
      <c r="A34" s="434" t="s">
        <v>234</v>
      </c>
      <c r="B34" s="434"/>
      <c r="C34" s="434"/>
      <c r="D34" s="434"/>
      <c r="E34" s="38">
        <f>'5.9'!E8*100</f>
        <v>81.449844016009592</v>
      </c>
      <c r="F34" s="32" t="s">
        <v>224</v>
      </c>
      <c r="H34" s="38">
        <f>'5.9'!F8*100</f>
        <v>-3.4322923919871329</v>
      </c>
      <c r="I34" s="32" t="s">
        <v>224</v>
      </c>
    </row>
    <row r="35" spans="1:9" ht="16" customHeight="1">
      <c r="A35" s="434" t="s">
        <v>235</v>
      </c>
      <c r="B35" s="434"/>
      <c r="C35" s="434"/>
      <c r="D35" s="434"/>
      <c r="E35" s="38">
        <f>'5.9'!E9*100</f>
        <v>3.9314668876753176</v>
      </c>
      <c r="F35" s="32" t="s">
        <v>224</v>
      </c>
      <c r="H35" s="38">
        <f>'5.9'!F9*100</f>
        <v>-6.3077943441892774</v>
      </c>
      <c r="I35" s="32" t="s">
        <v>224</v>
      </c>
    </row>
    <row r="36" spans="1:9" ht="16" customHeight="1">
      <c r="A36" s="434" t="s">
        <v>236</v>
      </c>
      <c r="B36" s="434"/>
      <c r="C36" s="434"/>
      <c r="D36" s="434"/>
      <c r="E36" s="38">
        <f>'5.9'!E10*100</f>
        <v>2.9707057521252667</v>
      </c>
      <c r="F36" s="32" t="s">
        <v>224</v>
      </c>
      <c r="H36" s="38">
        <f>'5.9'!F10*100</f>
        <v>-23.620334863996444</v>
      </c>
      <c r="I36" s="32" t="s">
        <v>224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6" customHeight="1">
      <c r="A38" s="434" t="s">
        <v>237</v>
      </c>
      <c r="B38" s="434"/>
      <c r="C38" s="434"/>
      <c r="D38" s="434"/>
      <c r="E38" s="431">
        <f>'5.1'!D35</f>
        <v>2744780</v>
      </c>
      <c r="F38" s="431"/>
      <c r="H38" s="38"/>
      <c r="I38" s="32"/>
    </row>
    <row r="39" spans="1:9" ht="30" customHeight="1">
      <c r="A39" s="435"/>
      <c r="B39" s="435"/>
      <c r="C39" s="435"/>
      <c r="D39" s="435"/>
      <c r="E39" s="435"/>
      <c r="F39" s="435"/>
      <c r="G39" s="435"/>
      <c r="H39" s="435"/>
      <c r="I39" s="435"/>
    </row>
    <row r="40" spans="1:9" ht="16" customHeight="1">
      <c r="A40" s="29"/>
      <c r="B40" s="29"/>
    </row>
    <row r="41" spans="1:9" ht="16" customHeight="1">
      <c r="A41" s="430"/>
      <c r="B41" s="430"/>
      <c r="C41" s="430"/>
      <c r="D41" s="430"/>
      <c r="E41" s="430"/>
      <c r="F41" s="430"/>
      <c r="G41" s="430"/>
      <c r="H41" s="430"/>
      <c r="I41" s="430"/>
    </row>
    <row r="42" spans="1:9" ht="16" customHeight="1">
      <c r="A42" s="430"/>
      <c r="B42" s="430"/>
      <c r="C42" s="430"/>
      <c r="D42" s="430"/>
      <c r="E42" s="430"/>
      <c r="F42" s="430"/>
      <c r="G42" s="430"/>
      <c r="H42" s="430"/>
      <c r="I42" s="430"/>
    </row>
    <row r="43" spans="1:9" ht="16" customHeight="1">
      <c r="A43" s="430"/>
      <c r="B43" s="430"/>
      <c r="C43" s="430"/>
      <c r="D43" s="430"/>
      <c r="E43" s="430"/>
      <c r="F43" s="430"/>
      <c r="G43" s="430"/>
      <c r="H43" s="430"/>
      <c r="I43" s="430"/>
    </row>
    <row r="44" spans="1:9" ht="16" customHeight="1">
      <c r="A44" s="430"/>
      <c r="B44" s="430"/>
      <c r="C44" s="430"/>
      <c r="D44" s="430"/>
      <c r="E44" s="430"/>
      <c r="F44" s="430"/>
      <c r="G44" s="430"/>
      <c r="H44" s="430"/>
      <c r="I44" s="430"/>
    </row>
    <row r="45" spans="1:9" ht="16" customHeight="1">
      <c r="A45" s="430"/>
      <c r="B45" s="430"/>
      <c r="C45" s="430"/>
      <c r="D45" s="430"/>
      <c r="E45" s="430"/>
      <c r="F45" s="430"/>
      <c r="G45" s="430"/>
      <c r="H45" s="430"/>
      <c r="I45" s="430"/>
    </row>
    <row r="46" spans="1:9" ht="16" customHeight="1">
      <c r="A46" s="430"/>
      <c r="B46" s="430"/>
      <c r="C46" s="430"/>
      <c r="D46" s="430"/>
      <c r="E46" s="430"/>
      <c r="F46" s="430"/>
      <c r="G46" s="430"/>
      <c r="H46" s="430"/>
      <c r="I46" s="430"/>
    </row>
    <row r="47" spans="1:9" ht="16" customHeight="1">
      <c r="A47" s="430"/>
      <c r="B47" s="430"/>
      <c r="C47" s="430"/>
      <c r="D47" s="430"/>
      <c r="E47" s="430"/>
      <c r="F47" s="430"/>
      <c r="G47" s="430"/>
      <c r="H47" s="430"/>
      <c r="I47" s="430"/>
    </row>
    <row r="48" spans="1:9" ht="15" customHeight="1">
      <c r="A48" s="430"/>
      <c r="B48" s="430"/>
      <c r="C48" s="430"/>
      <c r="D48" s="430"/>
      <c r="E48" s="430"/>
      <c r="F48" s="430"/>
      <c r="G48" s="430"/>
      <c r="H48" s="430"/>
      <c r="I48" s="430"/>
    </row>
    <row r="49" spans="1:9" ht="15" customHeight="1">
      <c r="A49" s="430"/>
      <c r="B49" s="430"/>
      <c r="C49" s="430"/>
      <c r="D49" s="430"/>
      <c r="E49" s="430"/>
      <c r="F49" s="430"/>
      <c r="G49" s="430"/>
      <c r="H49" s="430"/>
      <c r="I49" s="430"/>
    </row>
    <row r="50" spans="1:9" ht="15" customHeight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16" customHeight="1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16" customHeight="1">
      <c r="A52" s="29"/>
      <c r="B52" s="29"/>
    </row>
    <row r="53" spans="1:9" ht="16" customHeight="1">
      <c r="A53" s="29"/>
      <c r="B53" s="29"/>
    </row>
    <row r="54" spans="1:9" ht="16" customHeight="1">
      <c r="A54" s="29"/>
      <c r="B54" s="29"/>
    </row>
    <row r="55" spans="1:9" ht="15" customHeight="1">
      <c r="A55" s="29"/>
      <c r="B55" s="29"/>
    </row>
    <row r="56" spans="1:9" ht="15" customHeight="1">
      <c r="A56" s="29"/>
      <c r="B56" s="29"/>
    </row>
    <row r="57" spans="1:9" ht="15" customHeight="1">
      <c r="A57" s="29"/>
      <c r="B57" s="29"/>
    </row>
    <row r="58" spans="1:9" ht="15" customHeight="1">
      <c r="A58" s="29"/>
      <c r="B58" s="29"/>
    </row>
    <row r="59" spans="1:9" ht="15" customHeight="1">
      <c r="A59" s="29"/>
      <c r="B59" s="29"/>
    </row>
    <row r="60" spans="1:9" ht="11.5" customHeight="1">
      <c r="A60" s="29"/>
      <c r="B60" s="29"/>
    </row>
    <row r="61" spans="1:9" ht="10.9" customHeight="1"/>
  </sheetData>
  <mergeCells count="27">
    <mergeCell ref="A22:D22"/>
    <mergeCell ref="A23:D23"/>
    <mergeCell ref="A14:D14"/>
    <mergeCell ref="A16:D16"/>
    <mergeCell ref="A17:I17"/>
    <mergeCell ref="A19:D19"/>
    <mergeCell ref="A20:D20"/>
    <mergeCell ref="A13:D13"/>
    <mergeCell ref="A3:I6"/>
    <mergeCell ref="A7:I7"/>
    <mergeCell ref="A9:D9"/>
    <mergeCell ref="A10:D10"/>
    <mergeCell ref="A12:D12"/>
    <mergeCell ref="A25:D25"/>
    <mergeCell ref="A26:D26"/>
    <mergeCell ref="A27:D27"/>
    <mergeCell ref="A29:D29"/>
    <mergeCell ref="A38:D38"/>
    <mergeCell ref="A30:D30"/>
    <mergeCell ref="A41:I49"/>
    <mergeCell ref="E38:F38"/>
    <mergeCell ref="A31:I31"/>
    <mergeCell ref="A33:D33"/>
    <mergeCell ref="A34:D34"/>
    <mergeCell ref="A35:D35"/>
    <mergeCell ref="A36:D36"/>
    <mergeCell ref="A39:I39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topLeftCell="A4" zoomScaleNormal="100" zoomScaleSheetLayoutView="100" workbookViewId="0">
      <selection activeCell="E1" sqref="E1"/>
    </sheetView>
  </sheetViews>
  <sheetFormatPr defaultColWidth="9.1796875" defaultRowHeight="10"/>
  <cols>
    <col min="1" max="1" width="6.81640625" style="39" customWidth="1"/>
    <col min="2" max="2" width="8.453125" style="39" customWidth="1"/>
    <col min="3" max="3" width="13.1796875" style="39" customWidth="1"/>
    <col min="4" max="6" width="8.26953125" style="39" customWidth="1"/>
    <col min="7" max="7" width="9.7265625" style="39" customWidth="1"/>
    <col min="8" max="10" width="8.7265625" style="39" customWidth="1"/>
    <col min="11" max="11" width="9.7265625" style="39" customWidth="1"/>
    <col min="12" max="16384" width="9.1796875" style="39"/>
  </cols>
  <sheetData>
    <row r="1" spans="1:18" ht="20">
      <c r="A1" s="55" t="s">
        <v>285</v>
      </c>
    </row>
    <row r="2" spans="1:18" ht="18">
      <c r="A2" s="447" t="s">
        <v>290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8" ht="6" customHeight="1">
      <c r="A3" s="229"/>
      <c r="B3" s="229"/>
      <c r="C3" s="230"/>
      <c r="D3" s="448"/>
      <c r="E3" s="449"/>
      <c r="F3" s="449"/>
      <c r="G3" s="449"/>
      <c r="H3" s="449"/>
      <c r="I3" s="449"/>
      <c r="J3" s="449"/>
      <c r="K3" s="449"/>
    </row>
    <row r="4" spans="1:18" s="40" customFormat="1" ht="20.149999999999999" customHeight="1">
      <c r="A4" s="377">
        <v>2024</v>
      </c>
      <c r="B4" s="150"/>
      <c r="C4" s="198"/>
      <c r="D4" s="450" t="s">
        <v>259</v>
      </c>
      <c r="E4" s="451"/>
      <c r="F4" s="451"/>
      <c r="G4" s="452"/>
      <c r="H4" s="450" t="s">
        <v>260</v>
      </c>
      <c r="I4" s="451"/>
      <c r="J4" s="451"/>
      <c r="K4" s="451"/>
    </row>
    <row r="5" spans="1:18" ht="20.149999999999999" customHeight="1">
      <c r="A5" s="153"/>
      <c r="B5" s="153"/>
      <c r="C5" s="199"/>
      <c r="D5" s="200" t="s">
        <v>160</v>
      </c>
      <c r="E5" s="201" t="s">
        <v>161</v>
      </c>
      <c r="F5" s="201" t="s">
        <v>162</v>
      </c>
      <c r="G5" s="202" t="s">
        <v>48</v>
      </c>
      <c r="H5" s="200" t="str">
        <f>D5</f>
        <v>Leden</v>
      </c>
      <c r="I5" s="201" t="str">
        <f>E5</f>
        <v>Únor</v>
      </c>
      <c r="J5" s="201" t="str">
        <f>F5</f>
        <v>Březen</v>
      </c>
      <c r="K5" s="203" t="str">
        <f>G5</f>
        <v>I. čtvrtletí</v>
      </c>
    </row>
    <row r="6" spans="1:18" ht="15" customHeight="1">
      <c r="A6" s="440" t="s">
        <v>49</v>
      </c>
      <c r="B6" s="453" t="s">
        <v>21</v>
      </c>
      <c r="C6" s="154" t="s">
        <v>23</v>
      </c>
      <c r="D6" s="155">
        <v>462815.68300000002</v>
      </c>
      <c r="E6" s="156">
        <v>557798.90700000001</v>
      </c>
      <c r="F6" s="156">
        <v>337378.859</v>
      </c>
      <c r="G6" s="157">
        <f>SUM(D6:F6)</f>
        <v>1357993.449</v>
      </c>
      <c r="H6" s="155">
        <v>5043797.7694000006</v>
      </c>
      <c r="I6" s="156">
        <v>6080902.6899999995</v>
      </c>
      <c r="J6" s="156">
        <v>3690763.8640000001</v>
      </c>
      <c r="K6" s="158">
        <f>SUM(H6:J6)</f>
        <v>14815464.3234</v>
      </c>
      <c r="L6" s="42"/>
      <c r="M6" s="42"/>
      <c r="N6" s="42"/>
      <c r="O6" s="42"/>
      <c r="P6" s="42"/>
      <c r="Q6" s="42"/>
      <c r="R6" s="42"/>
    </row>
    <row r="7" spans="1:18" ht="15" customHeight="1">
      <c r="A7" s="440"/>
      <c r="B7" s="453"/>
      <c r="C7" s="154" t="s">
        <v>24</v>
      </c>
      <c r="D7" s="155">
        <v>204.63992276867111</v>
      </c>
      <c r="E7" s="156">
        <v>147.690425119</v>
      </c>
      <c r="F7" s="156">
        <v>147.44522264459161</v>
      </c>
      <c r="G7" s="157">
        <f>SUM(D7:F7)</f>
        <v>499.77557053226269</v>
      </c>
      <c r="H7" s="155">
        <v>2355.9653949999997</v>
      </c>
      <c r="I7" s="156">
        <v>1698.986187</v>
      </c>
      <c r="J7" s="156">
        <v>1609.4213759999998</v>
      </c>
      <c r="K7" s="158">
        <f t="shared" ref="K7:K47" si="0">SUM(H7:J7)</f>
        <v>5664.3729579999999</v>
      </c>
      <c r="L7" s="42"/>
      <c r="M7" s="42"/>
      <c r="N7" s="42"/>
      <c r="O7" s="42"/>
      <c r="P7" s="42"/>
      <c r="Q7" s="42"/>
    </row>
    <row r="8" spans="1:18" ht="15" customHeight="1">
      <c r="A8" s="440"/>
      <c r="B8" s="454"/>
      <c r="C8" s="159" t="s">
        <v>25</v>
      </c>
      <c r="D8" s="160">
        <v>463020.32292276871</v>
      </c>
      <c r="E8" s="161">
        <v>557946.59742511902</v>
      </c>
      <c r="F8" s="161">
        <v>337526.3042226446</v>
      </c>
      <c r="G8" s="162">
        <f t="shared" ref="G8" si="1">SUM(D8:F8)</f>
        <v>1358493.2245705323</v>
      </c>
      <c r="H8" s="160">
        <v>5046153.7347950004</v>
      </c>
      <c r="I8" s="161">
        <v>6082601.6761869993</v>
      </c>
      <c r="J8" s="161">
        <v>3692373.2853760002</v>
      </c>
      <c r="K8" s="163">
        <f t="shared" si="0"/>
        <v>14821128.696357999</v>
      </c>
      <c r="L8" s="42"/>
      <c r="M8" s="42"/>
      <c r="N8" s="42"/>
      <c r="O8" s="42"/>
      <c r="P8" s="42"/>
      <c r="Q8" s="42"/>
    </row>
    <row r="9" spans="1:18" ht="15" customHeight="1">
      <c r="A9" s="440"/>
      <c r="B9" s="455" t="s">
        <v>22</v>
      </c>
      <c r="C9" s="164" t="s">
        <v>23</v>
      </c>
      <c r="D9" s="165">
        <v>20887.878000000001</v>
      </c>
      <c r="E9" s="166">
        <v>79.921999999999997</v>
      </c>
      <c r="F9" s="166">
        <v>13.113</v>
      </c>
      <c r="G9" s="167">
        <f>SUM(D9:F9)</f>
        <v>20980.913</v>
      </c>
      <c r="H9" s="165">
        <v>227012.99400000001</v>
      </c>
      <c r="I9" s="166">
        <v>873.93299999999999</v>
      </c>
      <c r="J9" s="166">
        <v>143.00700000000001</v>
      </c>
      <c r="K9" s="168">
        <f t="shared" si="0"/>
        <v>228029.93400000001</v>
      </c>
      <c r="L9" s="42"/>
      <c r="M9" s="42"/>
      <c r="N9" s="42"/>
      <c r="O9" s="42"/>
      <c r="P9" s="42"/>
      <c r="Q9" s="42"/>
    </row>
    <row r="10" spans="1:18" ht="15" customHeight="1">
      <c r="A10" s="440"/>
      <c r="B10" s="453"/>
      <c r="C10" s="154" t="s">
        <v>24</v>
      </c>
      <c r="D10" s="155">
        <v>53.45099527038515</v>
      </c>
      <c r="E10" s="156">
        <v>34.248861957999999</v>
      </c>
      <c r="F10" s="156">
        <v>22.213223853076077</v>
      </c>
      <c r="G10" s="157">
        <f>SUM(D10:F10)</f>
        <v>109.91308108146123</v>
      </c>
      <c r="H10" s="155">
        <v>582.40212210000004</v>
      </c>
      <c r="I10" s="156">
        <v>372.87659660000003</v>
      </c>
      <c r="J10" s="156">
        <v>241.48541359999999</v>
      </c>
      <c r="K10" s="158">
        <f t="shared" si="0"/>
        <v>1196.7641323</v>
      </c>
      <c r="L10" s="42"/>
      <c r="M10" s="42"/>
      <c r="N10" s="42"/>
      <c r="O10" s="42"/>
      <c r="P10" s="42"/>
      <c r="Q10" s="42"/>
    </row>
    <row r="11" spans="1:18" ht="15" customHeight="1">
      <c r="A11" s="440"/>
      <c r="B11" s="454"/>
      <c r="C11" s="159" t="s">
        <v>25</v>
      </c>
      <c r="D11" s="160">
        <v>20941.328995270385</v>
      </c>
      <c r="E11" s="161">
        <v>114.17086195799999</v>
      </c>
      <c r="F11" s="161">
        <v>35.326223853076073</v>
      </c>
      <c r="G11" s="162">
        <f t="shared" ref="G11" si="2">SUM(D11:F11)</f>
        <v>21090.826081081461</v>
      </c>
      <c r="H11" s="160">
        <v>227595.39612210001</v>
      </c>
      <c r="I11" s="161">
        <v>1246.8095966000001</v>
      </c>
      <c r="J11" s="161">
        <v>384.49241359999996</v>
      </c>
      <c r="K11" s="163">
        <f t="shared" si="0"/>
        <v>229226.69813230002</v>
      </c>
      <c r="L11" s="42"/>
      <c r="M11" s="42"/>
      <c r="N11" s="42"/>
      <c r="O11" s="42"/>
      <c r="P11" s="42"/>
      <c r="Q11" s="42"/>
    </row>
    <row r="12" spans="1:18" ht="15" customHeight="1">
      <c r="A12" s="440"/>
      <c r="B12" s="443" t="s">
        <v>51</v>
      </c>
      <c r="C12" s="154" t="s">
        <v>23</v>
      </c>
      <c r="D12" s="155">
        <v>441927.80499999999</v>
      </c>
      <c r="E12" s="156">
        <v>557718.98499999999</v>
      </c>
      <c r="F12" s="156">
        <v>337365.74599999998</v>
      </c>
      <c r="G12" s="157">
        <f>SUM(D12:F12)</f>
        <v>1337012.5360000001</v>
      </c>
      <c r="H12" s="155">
        <v>4816784.7754000006</v>
      </c>
      <c r="I12" s="156">
        <v>6080028.7569999993</v>
      </c>
      <c r="J12" s="156">
        <v>3690620.8569999998</v>
      </c>
      <c r="K12" s="158">
        <f t="shared" si="0"/>
        <v>14587434.389400002</v>
      </c>
      <c r="L12" s="42"/>
      <c r="M12" s="42"/>
      <c r="N12" s="42"/>
      <c r="O12" s="42"/>
      <c r="P12" s="42"/>
      <c r="Q12" s="42"/>
    </row>
    <row r="13" spans="1:18" ht="15" customHeight="1">
      <c r="A13" s="440"/>
      <c r="B13" s="453"/>
      <c r="C13" s="154" t="s">
        <v>24</v>
      </c>
      <c r="D13" s="155">
        <v>151.18892749828598</v>
      </c>
      <c r="E13" s="156">
        <v>113.441563161</v>
      </c>
      <c r="F13" s="156">
        <v>125.23199879151554</v>
      </c>
      <c r="G13" s="157">
        <f>SUM(D13:F13)</f>
        <v>389.86248945080155</v>
      </c>
      <c r="H13" s="155">
        <v>1773.5632728999997</v>
      </c>
      <c r="I13" s="156">
        <v>1326.1095903999999</v>
      </c>
      <c r="J13" s="156">
        <v>1367.9359623999999</v>
      </c>
      <c r="K13" s="158">
        <f t="shared" si="0"/>
        <v>4467.6088256999992</v>
      </c>
      <c r="L13" s="42"/>
      <c r="M13" s="42"/>
      <c r="N13" s="42"/>
      <c r="O13" s="42"/>
      <c r="P13" s="42"/>
      <c r="Q13" s="42"/>
    </row>
    <row r="14" spans="1:18" ht="15" customHeight="1">
      <c r="A14" s="441"/>
      <c r="B14" s="454"/>
      <c r="C14" s="159" t="s">
        <v>25</v>
      </c>
      <c r="D14" s="160">
        <v>442078.99392749829</v>
      </c>
      <c r="E14" s="161">
        <v>557832.42656316096</v>
      </c>
      <c r="F14" s="161">
        <v>337490.9779987915</v>
      </c>
      <c r="G14" s="162">
        <f t="shared" ref="G14:G51" si="3">SUM(D14:F14)</f>
        <v>1337402.3984894508</v>
      </c>
      <c r="H14" s="160">
        <v>4818558.3386729006</v>
      </c>
      <c r="I14" s="161">
        <v>6081354.8665903993</v>
      </c>
      <c r="J14" s="161">
        <v>3691988.7929623998</v>
      </c>
      <c r="K14" s="163">
        <f t="shared" si="0"/>
        <v>14591901.9982257</v>
      </c>
      <c r="L14" s="42"/>
      <c r="M14" s="42"/>
      <c r="N14" s="42"/>
      <c r="O14" s="42"/>
      <c r="P14" s="42"/>
      <c r="Q14" s="42"/>
    </row>
    <row r="15" spans="1:18" ht="15" customHeight="1">
      <c r="A15" s="439" t="s">
        <v>150</v>
      </c>
      <c r="B15" s="455" t="s">
        <v>26</v>
      </c>
      <c r="C15" s="164" t="s">
        <v>315</v>
      </c>
      <c r="D15" s="165">
        <v>449941.55499999999</v>
      </c>
      <c r="E15" s="166">
        <v>131294.79199999999</v>
      </c>
      <c r="F15" s="166">
        <v>262746.78600000002</v>
      </c>
      <c r="G15" s="167">
        <f t="shared" si="3"/>
        <v>843983.13299999991</v>
      </c>
      <c r="H15" s="165">
        <v>4892752.2479999997</v>
      </c>
      <c r="I15" s="166">
        <v>1418569.96</v>
      </c>
      <c r="J15" s="166">
        <v>2839864.38</v>
      </c>
      <c r="K15" s="168">
        <f t="shared" si="0"/>
        <v>9151186.5879999995</v>
      </c>
      <c r="L15" s="42"/>
      <c r="M15" s="42"/>
      <c r="N15" s="42"/>
      <c r="O15" s="42"/>
      <c r="P15" s="42"/>
      <c r="Q15" s="42"/>
    </row>
    <row r="16" spans="1:18" ht="15" customHeight="1">
      <c r="A16" s="440"/>
      <c r="B16" s="453"/>
      <c r="C16" s="154" t="s">
        <v>211</v>
      </c>
      <c r="D16" s="155">
        <v>70464.61099999999</v>
      </c>
      <c r="E16" s="156">
        <v>2852.7400000000007</v>
      </c>
      <c r="F16" s="156">
        <v>7604.5870000000004</v>
      </c>
      <c r="G16" s="157">
        <f>SUM(D16:F16)</f>
        <v>80921.937999999995</v>
      </c>
      <c r="H16" s="155">
        <v>769180.44079699996</v>
      </c>
      <c r="I16" s="156">
        <v>31022.439559999999</v>
      </c>
      <c r="J16" s="156">
        <v>82733.146676499993</v>
      </c>
      <c r="K16" s="158">
        <f t="shared" si="0"/>
        <v>882936.02703349991</v>
      </c>
      <c r="L16" s="42"/>
      <c r="M16" s="42"/>
      <c r="N16" s="42"/>
      <c r="O16" s="42"/>
      <c r="P16" s="42"/>
      <c r="Q16" s="42"/>
    </row>
    <row r="17" spans="1:17" ht="15" customHeight="1">
      <c r="A17" s="440"/>
      <c r="B17" s="453"/>
      <c r="C17" s="154" t="s">
        <v>65</v>
      </c>
      <c r="D17" s="155">
        <v>76084.525999999998</v>
      </c>
      <c r="E17" s="156">
        <v>17191.168999999998</v>
      </c>
      <c r="F17" s="156">
        <v>53835.699000000001</v>
      </c>
      <c r="G17" s="157">
        <f>SUM(D17:F17)</f>
        <v>147111.394</v>
      </c>
      <c r="H17" s="155">
        <v>831073.11020300002</v>
      </c>
      <c r="I17" s="156">
        <v>187501.87744000001</v>
      </c>
      <c r="J17" s="156">
        <v>586574.08732350008</v>
      </c>
      <c r="K17" s="158">
        <f t="shared" si="0"/>
        <v>1605149.0749665</v>
      </c>
      <c r="L17" s="42"/>
      <c r="M17" s="42"/>
      <c r="N17" s="42"/>
      <c r="O17" s="42"/>
      <c r="P17" s="42"/>
      <c r="Q17" s="42"/>
    </row>
    <row r="18" spans="1:17" ht="15" customHeight="1">
      <c r="A18" s="440"/>
      <c r="B18" s="454"/>
      <c r="C18" s="159" t="s">
        <v>25</v>
      </c>
      <c r="D18" s="160">
        <v>596490.69199999992</v>
      </c>
      <c r="E18" s="161">
        <v>151338.70099999997</v>
      </c>
      <c r="F18" s="161">
        <v>324187.07200000004</v>
      </c>
      <c r="G18" s="162">
        <f>SUM(D18:F18)</f>
        <v>1072016.4649999999</v>
      </c>
      <c r="H18" s="160">
        <v>6493005.7989999996</v>
      </c>
      <c r="I18" s="161">
        <v>1637094.277</v>
      </c>
      <c r="J18" s="161">
        <v>3509171.6140000001</v>
      </c>
      <c r="K18" s="163">
        <f>SUM(H18:J18)</f>
        <v>11639271.689999999</v>
      </c>
      <c r="L18" s="42"/>
      <c r="M18" s="42"/>
      <c r="N18" s="42"/>
      <c r="O18" s="42"/>
      <c r="P18" s="42"/>
      <c r="Q18" s="42"/>
    </row>
    <row r="19" spans="1:17" ht="15" customHeight="1">
      <c r="A19" s="440"/>
      <c r="B19" s="455" t="s">
        <v>27</v>
      </c>
      <c r="C19" s="164" t="s">
        <v>315</v>
      </c>
      <c r="D19" s="165">
        <v>582.42200000000003</v>
      </c>
      <c r="E19" s="166">
        <v>245.334</v>
      </c>
      <c r="F19" s="166">
        <v>1780.5049999999999</v>
      </c>
      <c r="G19" s="167">
        <f t="shared" si="3"/>
        <v>2608.261</v>
      </c>
      <c r="H19" s="165">
        <v>6334.1522330000007</v>
      </c>
      <c r="I19" s="166">
        <v>2658.0856680000002</v>
      </c>
      <c r="J19" s="166">
        <v>19340.801102999998</v>
      </c>
      <c r="K19" s="168">
        <f t="shared" si="0"/>
        <v>28333.039003999998</v>
      </c>
      <c r="L19" s="42"/>
      <c r="M19" s="42"/>
      <c r="N19" s="42"/>
      <c r="O19" s="42"/>
      <c r="P19" s="42"/>
      <c r="Q19" s="42"/>
    </row>
    <row r="20" spans="1:17" ht="15" customHeight="1">
      <c r="A20" s="440"/>
      <c r="B20" s="453"/>
      <c r="C20" s="154" t="s">
        <v>211</v>
      </c>
      <c r="D20" s="155">
        <v>1287.4460000000001</v>
      </c>
      <c r="E20" s="156">
        <v>11473.631000000001</v>
      </c>
      <c r="F20" s="156">
        <v>2877.3119999999999</v>
      </c>
      <c r="G20" s="157">
        <f t="shared" si="3"/>
        <v>15638.389000000001</v>
      </c>
      <c r="H20" s="155">
        <v>14027.063000000002</v>
      </c>
      <c r="I20" s="156">
        <v>124958.09</v>
      </c>
      <c r="J20" s="156">
        <v>31016.581328100001</v>
      </c>
      <c r="K20" s="158">
        <f t="shared" si="0"/>
        <v>170001.73432809999</v>
      </c>
      <c r="L20" s="42"/>
      <c r="M20" s="42"/>
      <c r="N20" s="42"/>
      <c r="O20" s="42"/>
      <c r="P20" s="42"/>
      <c r="Q20" s="42"/>
    </row>
    <row r="21" spans="1:17" ht="15" customHeight="1">
      <c r="A21" s="440"/>
      <c r="B21" s="453"/>
      <c r="C21" s="154" t="s">
        <v>65</v>
      </c>
      <c r="D21" s="155">
        <v>0</v>
      </c>
      <c r="E21" s="156">
        <v>21.5049999999992</v>
      </c>
      <c r="F21" s="156">
        <v>4275.6670000000004</v>
      </c>
      <c r="G21" s="157">
        <f t="shared" si="3"/>
        <v>4297.1719999999996</v>
      </c>
      <c r="H21" s="155">
        <v>0</v>
      </c>
      <c r="I21" s="156">
        <v>232.32200000000012</v>
      </c>
      <c r="J21" s="156">
        <v>46418.362671900002</v>
      </c>
      <c r="K21" s="158">
        <f t="shared" si="0"/>
        <v>46650.684671900002</v>
      </c>
      <c r="L21" s="42"/>
      <c r="M21" s="42"/>
      <c r="N21" s="42"/>
      <c r="O21" s="42"/>
      <c r="P21" s="42"/>
      <c r="Q21" s="42"/>
    </row>
    <row r="22" spans="1:17" ht="15" customHeight="1">
      <c r="A22" s="440"/>
      <c r="B22" s="454"/>
      <c r="C22" s="159" t="s">
        <v>25</v>
      </c>
      <c r="D22" s="160">
        <v>1869.8680000000002</v>
      </c>
      <c r="E22" s="161">
        <v>11740.470000000001</v>
      </c>
      <c r="F22" s="161">
        <v>8933.4840000000004</v>
      </c>
      <c r="G22" s="162">
        <f t="shared" si="3"/>
        <v>22543.822</v>
      </c>
      <c r="H22" s="160">
        <v>20361.215233000003</v>
      </c>
      <c r="I22" s="161">
        <v>127848.497668</v>
      </c>
      <c r="J22" s="161">
        <v>96775.745102999994</v>
      </c>
      <c r="K22" s="163">
        <f t="shared" si="0"/>
        <v>244985.45800399999</v>
      </c>
      <c r="L22" s="42"/>
      <c r="M22" s="42"/>
      <c r="N22" s="42"/>
      <c r="O22" s="42"/>
      <c r="P22" s="42"/>
      <c r="Q22" s="42"/>
    </row>
    <row r="23" spans="1:17" ht="15" customHeight="1">
      <c r="A23" s="440"/>
      <c r="B23" s="443" t="s">
        <v>52</v>
      </c>
      <c r="C23" s="154" t="s">
        <v>315</v>
      </c>
      <c r="D23" s="155">
        <v>449359.13299999997</v>
      </c>
      <c r="E23" s="156">
        <v>131049.45799999998</v>
      </c>
      <c r="F23" s="156">
        <v>260966.28100000002</v>
      </c>
      <c r="G23" s="157">
        <f t="shared" si="3"/>
        <v>841374.87199999997</v>
      </c>
      <c r="H23" s="155">
        <v>4886418.0957669998</v>
      </c>
      <c r="I23" s="156">
        <v>1415911.874332</v>
      </c>
      <c r="J23" s="156">
        <v>2820523.5788969998</v>
      </c>
      <c r="K23" s="158">
        <f t="shared" si="0"/>
        <v>9122853.5489959996</v>
      </c>
      <c r="L23" s="42"/>
      <c r="M23" s="42"/>
      <c r="N23" s="42"/>
      <c r="O23" s="42"/>
      <c r="P23" s="42"/>
      <c r="Q23" s="42"/>
    </row>
    <row r="24" spans="1:17" ht="15" customHeight="1">
      <c r="A24" s="440"/>
      <c r="B24" s="453"/>
      <c r="C24" s="154" t="s">
        <v>211</v>
      </c>
      <c r="D24" s="155">
        <v>69177.164999999994</v>
      </c>
      <c r="E24" s="156">
        <v>-8620.8909999999996</v>
      </c>
      <c r="F24" s="156">
        <v>4727.2750000000005</v>
      </c>
      <c r="G24" s="157">
        <f t="shared" si="3"/>
        <v>65283.548999999992</v>
      </c>
      <c r="H24" s="155">
        <v>755153.37779699999</v>
      </c>
      <c r="I24" s="156">
        <v>-93935.650439999998</v>
      </c>
      <c r="J24" s="156">
        <v>51716.565348399992</v>
      </c>
      <c r="K24" s="158">
        <f t="shared" si="0"/>
        <v>712934.29270540003</v>
      </c>
      <c r="L24" s="42"/>
      <c r="M24" s="42"/>
      <c r="N24" s="42"/>
      <c r="O24" s="42"/>
      <c r="P24" s="42"/>
      <c r="Q24" s="42"/>
    </row>
    <row r="25" spans="1:17" ht="15" customHeight="1">
      <c r="A25" s="440"/>
      <c r="B25" s="453"/>
      <c r="C25" s="154" t="s">
        <v>65</v>
      </c>
      <c r="D25" s="155">
        <v>76084.525999999998</v>
      </c>
      <c r="E25" s="156">
        <v>17169.663999999997</v>
      </c>
      <c r="F25" s="156">
        <v>49560.031999999999</v>
      </c>
      <c r="G25" s="157">
        <f t="shared" si="3"/>
        <v>142814.22200000001</v>
      </c>
      <c r="H25" s="155">
        <v>831073.11020300002</v>
      </c>
      <c r="I25" s="156">
        <v>187269.55544000003</v>
      </c>
      <c r="J25" s="156">
        <v>540155.72465160012</v>
      </c>
      <c r="K25" s="158">
        <f t="shared" si="0"/>
        <v>1558498.3902946003</v>
      </c>
      <c r="L25" s="42"/>
      <c r="M25" s="42"/>
      <c r="N25" s="42"/>
      <c r="O25" s="42"/>
      <c r="P25" s="42"/>
      <c r="Q25" s="42"/>
    </row>
    <row r="26" spans="1:17" ht="15" customHeight="1">
      <c r="A26" s="440"/>
      <c r="B26" s="454"/>
      <c r="C26" s="159" t="s">
        <v>25</v>
      </c>
      <c r="D26" s="160">
        <v>594620.82399999991</v>
      </c>
      <c r="E26" s="161">
        <v>139598.23099999997</v>
      </c>
      <c r="F26" s="161">
        <v>315253.58800000005</v>
      </c>
      <c r="G26" s="162">
        <f t="shared" si="3"/>
        <v>1049472.6429999999</v>
      </c>
      <c r="H26" s="160">
        <v>6472644.5837669997</v>
      </c>
      <c r="I26" s="161">
        <v>1509245.7793320001</v>
      </c>
      <c r="J26" s="161">
        <v>3412395.8688969999</v>
      </c>
      <c r="K26" s="163">
        <f t="shared" si="0"/>
        <v>11394286.231996</v>
      </c>
      <c r="L26" s="42"/>
      <c r="M26" s="42"/>
      <c r="N26" s="42"/>
      <c r="O26" s="42"/>
      <c r="P26" s="42"/>
      <c r="Q26" s="42"/>
    </row>
    <row r="27" spans="1:17" ht="15" customHeight="1">
      <c r="A27" s="441"/>
      <c r="B27" s="438" t="s">
        <v>54</v>
      </c>
      <c r="C27" s="438"/>
      <c r="D27" s="160">
        <v>2467071.3337324914</v>
      </c>
      <c r="E27" s="161">
        <v>2326701.2027324908</v>
      </c>
      <c r="F27" s="161">
        <v>2010789.1977324917</v>
      </c>
      <c r="G27" s="162">
        <f>F27</f>
        <v>2010789.1977324917</v>
      </c>
      <c r="H27" s="160">
        <v>26810232.00382559</v>
      </c>
      <c r="I27" s="161">
        <v>25292534.922495592</v>
      </c>
      <c r="J27" s="161">
        <v>21872860.951191686</v>
      </c>
      <c r="K27" s="163">
        <f>J27</f>
        <v>21872860.951191686</v>
      </c>
      <c r="L27" s="42"/>
      <c r="M27" s="42"/>
      <c r="N27" s="42"/>
      <c r="O27" s="42"/>
      <c r="P27" s="42"/>
      <c r="Q27" s="42"/>
    </row>
    <row r="28" spans="1:17" ht="15" customHeight="1">
      <c r="A28" s="439" t="s">
        <v>50</v>
      </c>
      <c r="B28" s="442" t="s">
        <v>195</v>
      </c>
      <c r="C28" s="164" t="s">
        <v>28</v>
      </c>
      <c r="D28" s="165">
        <v>7779.7680541510017</v>
      </c>
      <c r="E28" s="166">
        <v>7743.2689999999993</v>
      </c>
      <c r="F28" s="166">
        <v>8271.385000000002</v>
      </c>
      <c r="G28" s="167">
        <f t="shared" si="3"/>
        <v>23794.422054151004</v>
      </c>
      <c r="H28" s="165">
        <v>85424.351134775672</v>
      </c>
      <c r="I28" s="166">
        <v>84621.776275587996</v>
      </c>
      <c r="J28" s="166">
        <v>90832.053736188784</v>
      </c>
      <c r="K28" s="168">
        <f t="shared" si="0"/>
        <v>260878.18114655244</v>
      </c>
      <c r="L28" s="42"/>
      <c r="M28" s="42"/>
      <c r="N28" s="42"/>
      <c r="O28" s="42"/>
      <c r="P28" s="42"/>
      <c r="Q28" s="42"/>
    </row>
    <row r="29" spans="1:17" ht="15" customHeight="1">
      <c r="A29" s="440"/>
      <c r="B29" s="443"/>
      <c r="C29" s="154" t="s">
        <v>31</v>
      </c>
      <c r="D29" s="155">
        <v>350.45399999999972</v>
      </c>
      <c r="E29" s="156">
        <v>173.54899999999941</v>
      </c>
      <c r="F29" s="156">
        <v>192.67699999999911</v>
      </c>
      <c r="G29" s="157">
        <f t="shared" si="3"/>
        <v>716.67999999999824</v>
      </c>
      <c r="H29" s="155">
        <v>3997.0549999999957</v>
      </c>
      <c r="I29" s="156">
        <v>2423.8500000000085</v>
      </c>
      <c r="J29" s="156">
        <v>2318.5150000000053</v>
      </c>
      <c r="K29" s="158">
        <f t="shared" si="0"/>
        <v>8739.4200000000092</v>
      </c>
      <c r="L29" s="42"/>
      <c r="M29" s="42"/>
      <c r="N29" s="42"/>
      <c r="O29" s="42"/>
      <c r="P29" s="42"/>
      <c r="Q29" s="42"/>
    </row>
    <row r="30" spans="1:17" ht="15" customHeight="1">
      <c r="A30" s="440"/>
      <c r="B30" s="444"/>
      <c r="C30" s="159" t="s">
        <v>25</v>
      </c>
      <c r="D30" s="160">
        <v>8130.2220541510014</v>
      </c>
      <c r="E30" s="161">
        <v>7916.8179999999984</v>
      </c>
      <c r="F30" s="161">
        <v>8464.0620000000017</v>
      </c>
      <c r="G30" s="162">
        <f t="shared" si="3"/>
        <v>24511.102054151001</v>
      </c>
      <c r="H30" s="160">
        <v>89421.406134775665</v>
      </c>
      <c r="I30" s="161">
        <v>87045.626275588002</v>
      </c>
      <c r="J30" s="161">
        <v>93150.568736188783</v>
      </c>
      <c r="K30" s="163">
        <f t="shared" si="0"/>
        <v>269617.60114655248</v>
      </c>
      <c r="L30" s="42"/>
      <c r="M30" s="42"/>
      <c r="N30" s="42"/>
      <c r="O30" s="42"/>
      <c r="P30" s="42"/>
      <c r="Q30" s="42"/>
    </row>
    <row r="31" spans="1:17" ht="15" customHeight="1">
      <c r="A31" s="440"/>
      <c r="B31" s="443" t="s">
        <v>196</v>
      </c>
      <c r="C31" s="154" t="s">
        <v>28</v>
      </c>
      <c r="D31" s="155">
        <v>850.94599999999991</v>
      </c>
      <c r="E31" s="156">
        <v>774.84400000000005</v>
      </c>
      <c r="F31" s="156">
        <v>872.08900000000006</v>
      </c>
      <c r="G31" s="157">
        <f t="shared" si="3"/>
        <v>2497.8789999999999</v>
      </c>
      <c r="H31" s="155">
        <v>8971.2785000000003</v>
      </c>
      <c r="I31" s="156">
        <v>8134.0789999999997</v>
      </c>
      <c r="J31" s="156">
        <v>9178.0280000000002</v>
      </c>
      <c r="K31" s="158">
        <f t="shared" si="0"/>
        <v>26283.385499999997</v>
      </c>
      <c r="L31" s="42"/>
      <c r="M31" s="42"/>
      <c r="N31" s="42"/>
      <c r="O31" s="42"/>
      <c r="P31" s="42"/>
      <c r="Q31" s="42"/>
    </row>
    <row r="32" spans="1:17" ht="15" customHeight="1">
      <c r="A32" s="440"/>
      <c r="B32" s="443"/>
      <c r="C32" s="154" t="s">
        <v>31</v>
      </c>
      <c r="D32" s="155">
        <v>0</v>
      </c>
      <c r="E32" s="156">
        <v>0</v>
      </c>
      <c r="F32" s="156">
        <v>0</v>
      </c>
      <c r="G32" s="157">
        <f t="shared" si="3"/>
        <v>0</v>
      </c>
      <c r="H32" s="155">
        <v>0</v>
      </c>
      <c r="I32" s="156">
        <v>0</v>
      </c>
      <c r="J32" s="156">
        <v>0</v>
      </c>
      <c r="K32" s="158">
        <f t="shared" si="0"/>
        <v>0</v>
      </c>
      <c r="L32" s="42"/>
      <c r="M32" s="42"/>
      <c r="N32" s="42"/>
      <c r="O32" s="42"/>
      <c r="P32" s="42"/>
      <c r="Q32" s="42"/>
    </row>
    <row r="33" spans="1:17" ht="15" customHeight="1">
      <c r="A33" s="440"/>
      <c r="B33" s="444"/>
      <c r="C33" s="159" t="s">
        <v>25</v>
      </c>
      <c r="D33" s="160">
        <v>850.94599999999991</v>
      </c>
      <c r="E33" s="161">
        <v>774.84400000000005</v>
      </c>
      <c r="F33" s="161">
        <v>872.08900000000006</v>
      </c>
      <c r="G33" s="162">
        <f t="shared" si="3"/>
        <v>2497.8789999999999</v>
      </c>
      <c r="H33" s="160">
        <v>8971.2785000000003</v>
      </c>
      <c r="I33" s="161">
        <v>8134.0789999999997</v>
      </c>
      <c r="J33" s="161">
        <v>9178.0280000000002</v>
      </c>
      <c r="K33" s="163">
        <f t="shared" si="0"/>
        <v>26283.385499999997</v>
      </c>
      <c r="L33" s="42"/>
      <c r="M33" s="42"/>
      <c r="N33" s="42"/>
      <c r="O33" s="42"/>
      <c r="P33" s="42"/>
      <c r="Q33" s="42"/>
    </row>
    <row r="34" spans="1:17" ht="15" customHeight="1">
      <c r="A34" s="440"/>
      <c r="B34" s="443" t="s">
        <v>25</v>
      </c>
      <c r="C34" s="154" t="s">
        <v>28</v>
      </c>
      <c r="D34" s="155">
        <v>8630.7140541510016</v>
      </c>
      <c r="E34" s="156">
        <v>8518.1129999999994</v>
      </c>
      <c r="F34" s="156">
        <v>9143.474000000002</v>
      </c>
      <c r="G34" s="157">
        <f t="shared" si="3"/>
        <v>26292.301054151001</v>
      </c>
      <c r="H34" s="155">
        <v>94395.629634775672</v>
      </c>
      <c r="I34" s="156">
        <v>92755.855275587994</v>
      </c>
      <c r="J34" s="156">
        <v>100010.08173618879</v>
      </c>
      <c r="K34" s="158">
        <f t="shared" si="0"/>
        <v>287161.56664655247</v>
      </c>
      <c r="L34" s="42"/>
      <c r="M34" s="42"/>
      <c r="N34" s="42"/>
      <c r="O34" s="42"/>
      <c r="P34" s="42"/>
      <c r="Q34" s="42"/>
    </row>
    <row r="35" spans="1:17" ht="15" customHeight="1">
      <c r="A35" s="440"/>
      <c r="B35" s="443"/>
      <c r="C35" s="154" t="s">
        <v>31</v>
      </c>
      <c r="D35" s="155">
        <v>350.45399999999972</v>
      </c>
      <c r="E35" s="156">
        <v>173.54899999999941</v>
      </c>
      <c r="F35" s="156">
        <v>192.67699999999911</v>
      </c>
      <c r="G35" s="157">
        <f t="shared" si="3"/>
        <v>716.67999999999824</v>
      </c>
      <c r="H35" s="155">
        <v>3997.0549999999957</v>
      </c>
      <c r="I35" s="156">
        <v>2423.8500000000085</v>
      </c>
      <c r="J35" s="156">
        <v>2318.5150000000053</v>
      </c>
      <c r="K35" s="158">
        <f t="shared" si="0"/>
        <v>8739.4200000000092</v>
      </c>
      <c r="L35" s="42"/>
      <c r="M35" s="42"/>
      <c r="N35" s="42"/>
      <c r="O35" s="42"/>
      <c r="P35" s="42"/>
      <c r="Q35" s="42"/>
    </row>
    <row r="36" spans="1:17" ht="15" customHeight="1">
      <c r="A36" s="441"/>
      <c r="B36" s="444"/>
      <c r="C36" s="159" t="s">
        <v>25</v>
      </c>
      <c r="D36" s="160">
        <v>8981.1680541510013</v>
      </c>
      <c r="E36" s="161">
        <v>8691.6619999999984</v>
      </c>
      <c r="F36" s="161">
        <v>9336.1510000000017</v>
      </c>
      <c r="G36" s="162">
        <f t="shared" si="3"/>
        <v>27008.981054151001</v>
      </c>
      <c r="H36" s="160">
        <v>98392.684634775665</v>
      </c>
      <c r="I36" s="161">
        <v>95179.705275587999</v>
      </c>
      <c r="J36" s="161">
        <v>102328.59673618879</v>
      </c>
      <c r="K36" s="163">
        <f t="shared" si="0"/>
        <v>295900.98664655245</v>
      </c>
      <c r="L36" s="42"/>
      <c r="M36" s="42"/>
      <c r="N36" s="42"/>
      <c r="O36" s="42"/>
      <c r="P36" s="42"/>
      <c r="Q36" s="42"/>
    </row>
    <row r="37" spans="1:17" ht="15" customHeight="1">
      <c r="A37" s="439" t="s">
        <v>64</v>
      </c>
      <c r="B37" s="442" t="s">
        <v>53</v>
      </c>
      <c r="C37" s="164" t="s">
        <v>67</v>
      </c>
      <c r="D37" s="165">
        <v>1000337.7358020979</v>
      </c>
      <c r="E37" s="166">
        <v>680888.63246034109</v>
      </c>
      <c r="F37" s="166">
        <v>623515.705175768</v>
      </c>
      <c r="G37" s="167">
        <f t="shared" si="3"/>
        <v>2304742.0734382072</v>
      </c>
      <c r="H37" s="165">
        <v>10900800.246948946</v>
      </c>
      <c r="I37" s="166">
        <v>7415791.1128980415</v>
      </c>
      <c r="J37" s="166">
        <v>6780465.9027439449</v>
      </c>
      <c r="K37" s="168">
        <f t="shared" si="0"/>
        <v>25097057.26259093</v>
      </c>
      <c r="L37" s="42"/>
      <c r="M37" s="42"/>
      <c r="N37" s="42"/>
      <c r="O37" s="42"/>
      <c r="P37" s="42"/>
      <c r="Q37" s="42"/>
    </row>
    <row r="38" spans="1:17" ht="15" customHeight="1">
      <c r="A38" s="440"/>
      <c r="B38" s="443"/>
      <c r="C38" s="154" t="s">
        <v>29</v>
      </c>
      <c r="D38" s="155">
        <v>11089.627724905689</v>
      </c>
      <c r="E38" s="156">
        <v>15061.058832064</v>
      </c>
      <c r="F38" s="156">
        <v>11998.269091310667</v>
      </c>
      <c r="G38" s="157">
        <f t="shared" si="3"/>
        <v>38148.95564828036</v>
      </c>
      <c r="H38" s="155">
        <v>120850.0678</v>
      </c>
      <c r="I38" s="156">
        <v>164023.98188000001</v>
      </c>
      <c r="J38" s="156">
        <v>130473.40997000005</v>
      </c>
      <c r="K38" s="158">
        <f t="shared" si="0"/>
        <v>415347.45965000003</v>
      </c>
      <c r="L38" s="42"/>
      <c r="M38" s="42"/>
      <c r="N38" s="42"/>
      <c r="O38" s="42"/>
      <c r="P38" s="42"/>
      <c r="Q38" s="42"/>
    </row>
    <row r="39" spans="1:17" ht="15" customHeight="1">
      <c r="A39" s="440"/>
      <c r="B39" s="444"/>
      <c r="C39" s="159" t="s">
        <v>25</v>
      </c>
      <c r="D39" s="160">
        <v>1011427.3635270037</v>
      </c>
      <c r="E39" s="161">
        <v>695949.69129240513</v>
      </c>
      <c r="F39" s="161">
        <v>635513.97426707868</v>
      </c>
      <c r="G39" s="162">
        <f t="shared" si="3"/>
        <v>2342891.0290864874</v>
      </c>
      <c r="H39" s="160">
        <v>11021650.314748947</v>
      </c>
      <c r="I39" s="161">
        <v>7579815.0947780414</v>
      </c>
      <c r="J39" s="161">
        <v>6910939.3127139453</v>
      </c>
      <c r="K39" s="163">
        <f t="shared" si="0"/>
        <v>25512404.722240932</v>
      </c>
      <c r="L39" s="42"/>
      <c r="M39" s="42"/>
      <c r="N39" s="42"/>
      <c r="O39" s="42"/>
      <c r="P39" s="42"/>
      <c r="Q39" s="42"/>
    </row>
    <row r="40" spans="1:17" ht="15" customHeight="1">
      <c r="A40" s="440"/>
      <c r="B40" s="442" t="s">
        <v>311</v>
      </c>
      <c r="C40" s="164" t="s">
        <v>67</v>
      </c>
      <c r="D40" s="165">
        <v>850.94599999999991</v>
      </c>
      <c r="E40" s="166">
        <v>774.84399999999994</v>
      </c>
      <c r="F40" s="166">
        <v>872.08899999999994</v>
      </c>
      <c r="G40" s="167">
        <f t="shared" si="3"/>
        <v>2497.8789999999999</v>
      </c>
      <c r="H40" s="165">
        <v>8971.2800000000007</v>
      </c>
      <c r="I40" s="166">
        <v>8134.0790000000015</v>
      </c>
      <c r="J40" s="166">
        <v>9178.0279999999984</v>
      </c>
      <c r="K40" s="168">
        <f t="shared" si="0"/>
        <v>26283.387000000002</v>
      </c>
      <c r="L40" s="42"/>
      <c r="M40" s="42"/>
      <c r="N40" s="42"/>
      <c r="O40" s="42"/>
      <c r="P40" s="42"/>
      <c r="Q40" s="42"/>
    </row>
    <row r="41" spans="1:17" ht="15" customHeight="1">
      <c r="A41" s="440"/>
      <c r="B41" s="443"/>
      <c r="C41" s="154" t="s">
        <v>29</v>
      </c>
      <c r="D41" s="155">
        <v>0</v>
      </c>
      <c r="E41" s="156">
        <v>0</v>
      </c>
      <c r="F41" s="156">
        <v>0</v>
      </c>
      <c r="G41" s="157">
        <f t="shared" si="3"/>
        <v>0</v>
      </c>
      <c r="H41" s="155">
        <v>0</v>
      </c>
      <c r="I41" s="156">
        <v>0</v>
      </c>
      <c r="J41" s="156">
        <v>0</v>
      </c>
      <c r="K41" s="158">
        <f t="shared" si="0"/>
        <v>0</v>
      </c>
      <c r="L41" s="42"/>
      <c r="M41" s="42"/>
      <c r="N41" s="42"/>
      <c r="O41" s="42"/>
      <c r="P41" s="42"/>
      <c r="Q41" s="42"/>
    </row>
    <row r="42" spans="1:17" ht="15" customHeight="1">
      <c r="A42" s="440"/>
      <c r="B42" s="444"/>
      <c r="C42" s="159" t="s">
        <v>25</v>
      </c>
      <c r="D42" s="160">
        <v>850.94599999999991</v>
      </c>
      <c r="E42" s="161">
        <v>774.84399999999994</v>
      </c>
      <c r="F42" s="161">
        <v>872.08899999999994</v>
      </c>
      <c r="G42" s="162">
        <f t="shared" si="3"/>
        <v>2497.8789999999999</v>
      </c>
      <c r="H42" s="160">
        <v>8971.2800000000007</v>
      </c>
      <c r="I42" s="161">
        <v>8134.0790000000015</v>
      </c>
      <c r="J42" s="161">
        <v>9178.0279999999984</v>
      </c>
      <c r="K42" s="163">
        <f t="shared" si="0"/>
        <v>26283.387000000002</v>
      </c>
      <c r="L42" s="42"/>
      <c r="M42" s="42"/>
      <c r="N42" s="42"/>
      <c r="O42" s="42"/>
      <c r="P42" s="42"/>
      <c r="Q42" s="42"/>
    </row>
    <row r="43" spans="1:17" ht="15" customHeight="1">
      <c r="A43" s="440"/>
      <c r="B43" s="445" t="s">
        <v>86</v>
      </c>
      <c r="C43" s="445"/>
      <c r="D43" s="169">
        <v>350.45399999999972</v>
      </c>
      <c r="E43" s="170">
        <v>173.54899999999941</v>
      </c>
      <c r="F43" s="170">
        <v>192.67699999999911</v>
      </c>
      <c r="G43" s="171">
        <f t="shared" si="3"/>
        <v>716.67999999999824</v>
      </c>
      <c r="H43" s="169">
        <v>3997.0549999999957</v>
      </c>
      <c r="I43" s="170">
        <v>2423.8500000000085</v>
      </c>
      <c r="J43" s="170">
        <v>2318.5150000000053</v>
      </c>
      <c r="K43" s="172">
        <f t="shared" si="0"/>
        <v>8739.4200000000092</v>
      </c>
      <c r="L43" s="42"/>
      <c r="M43" s="42"/>
      <c r="N43" s="42"/>
      <c r="O43" s="42"/>
      <c r="P43" s="42"/>
      <c r="Q43" s="42"/>
    </row>
    <row r="44" spans="1:17" ht="15" customHeight="1">
      <c r="A44" s="440"/>
      <c r="B44" s="445" t="s">
        <v>85</v>
      </c>
      <c r="C44" s="445"/>
      <c r="D44" s="169">
        <v>39071.049000000006</v>
      </c>
      <c r="E44" s="170">
        <v>10907.934000000001</v>
      </c>
      <c r="F44" s="170">
        <v>18322.777999999998</v>
      </c>
      <c r="G44" s="171">
        <f t="shared" si="3"/>
        <v>68301.760999999999</v>
      </c>
      <c r="H44" s="169">
        <v>426497.59400999994</v>
      </c>
      <c r="I44" s="170">
        <v>119252.27961600003</v>
      </c>
      <c r="J44" s="170">
        <v>201583.23937600001</v>
      </c>
      <c r="K44" s="172">
        <f t="shared" si="0"/>
        <v>747333.11300200003</v>
      </c>
      <c r="L44" s="42"/>
      <c r="M44" s="42"/>
      <c r="N44" s="42"/>
      <c r="O44" s="42"/>
      <c r="P44" s="42"/>
      <c r="Q44" s="42"/>
    </row>
    <row r="45" spans="1:17" ht="15" customHeight="1">
      <c r="A45" s="440"/>
      <c r="B45" s="443" t="s">
        <v>30</v>
      </c>
      <c r="C45" s="154" t="s">
        <v>67</v>
      </c>
      <c r="D45" s="155">
        <v>1040259.7308020979</v>
      </c>
      <c r="E45" s="156">
        <v>692571.41046034114</v>
      </c>
      <c r="F45" s="156">
        <v>642710.57217576809</v>
      </c>
      <c r="G45" s="157">
        <f t="shared" si="3"/>
        <v>2375541.7134382073</v>
      </c>
      <c r="H45" s="155">
        <v>11336269.120958945</v>
      </c>
      <c r="I45" s="156">
        <v>7543177.4715140415</v>
      </c>
      <c r="J45" s="156">
        <v>6991227.170119945</v>
      </c>
      <c r="K45" s="158">
        <f t="shared" si="0"/>
        <v>25870673.76259293</v>
      </c>
      <c r="L45" s="42"/>
      <c r="M45" s="42"/>
      <c r="N45" s="42"/>
      <c r="O45" s="42"/>
      <c r="P45" s="42"/>
      <c r="Q45" s="42"/>
    </row>
    <row r="46" spans="1:17" ht="15" customHeight="1">
      <c r="A46" s="440"/>
      <c r="B46" s="443"/>
      <c r="C46" s="154" t="s">
        <v>94</v>
      </c>
      <c r="D46" s="155">
        <v>11535.517484905689</v>
      </c>
      <c r="E46" s="156">
        <v>15315.787542063999</v>
      </c>
      <c r="F46" s="156">
        <v>12229.335791310667</v>
      </c>
      <c r="G46" s="157">
        <f t="shared" si="3"/>
        <v>39080.640818280357</v>
      </c>
      <c r="H46" s="155">
        <v>125887.13796399999</v>
      </c>
      <c r="I46" s="156">
        <v>167332.21324700001</v>
      </c>
      <c r="J46" s="156">
        <v>133208.90361600005</v>
      </c>
      <c r="K46" s="158">
        <f t="shared" si="0"/>
        <v>426428.25482700008</v>
      </c>
      <c r="L46" s="42"/>
      <c r="M46" s="42"/>
      <c r="N46" s="42"/>
      <c r="O46" s="42"/>
      <c r="P46" s="42"/>
      <c r="Q46" s="42"/>
    </row>
    <row r="47" spans="1:17" ht="15" customHeight="1">
      <c r="A47" s="441"/>
      <c r="B47" s="444"/>
      <c r="C47" s="159" t="s">
        <v>25</v>
      </c>
      <c r="D47" s="160">
        <v>1051795.2482870037</v>
      </c>
      <c r="E47" s="161">
        <v>707887.19800240512</v>
      </c>
      <c r="F47" s="161">
        <v>654939.90796707873</v>
      </c>
      <c r="G47" s="162">
        <f>SUM(D47:F47)</f>
        <v>2414622.3542564875</v>
      </c>
      <c r="H47" s="160">
        <v>11462156.258922946</v>
      </c>
      <c r="I47" s="161">
        <v>7710509.6847610418</v>
      </c>
      <c r="J47" s="161">
        <v>7124436.0737359449</v>
      </c>
      <c r="K47" s="163">
        <f t="shared" si="0"/>
        <v>26297102.017419934</v>
      </c>
      <c r="L47" s="42"/>
      <c r="M47" s="42"/>
      <c r="N47" s="42"/>
      <c r="O47" s="42"/>
      <c r="P47" s="42"/>
      <c r="Q47" s="42"/>
    </row>
    <row r="48" spans="1:17" ht="1" customHeight="1">
      <c r="A48" s="151"/>
      <c r="B48" s="152"/>
      <c r="C48" s="173"/>
      <c r="D48" s="155"/>
      <c r="E48" s="156"/>
      <c r="F48" s="156"/>
      <c r="G48" s="157"/>
      <c r="H48" s="155"/>
      <c r="I48" s="156"/>
      <c r="J48" s="156"/>
      <c r="K48" s="158"/>
      <c r="L48" s="42"/>
      <c r="M48" s="42"/>
      <c r="N48" s="42"/>
      <c r="O48" s="42"/>
      <c r="P48" s="42"/>
      <c r="Q48" s="42"/>
    </row>
    <row r="49" spans="1:17" ht="1" customHeight="1">
      <c r="A49" s="151"/>
      <c r="B49" s="152"/>
      <c r="C49" s="173"/>
      <c r="D49" s="155"/>
      <c r="E49" s="156"/>
      <c r="F49" s="156"/>
      <c r="G49" s="157"/>
      <c r="H49" s="155"/>
      <c r="I49" s="156"/>
      <c r="J49" s="156"/>
      <c r="K49" s="158"/>
      <c r="L49" s="42"/>
      <c r="M49" s="42"/>
      <c r="N49" s="42"/>
      <c r="O49" s="42"/>
      <c r="P49" s="42"/>
      <c r="Q49" s="42"/>
    </row>
    <row r="50" spans="1:17" ht="1" customHeight="1">
      <c r="A50" s="151"/>
      <c r="B50" s="152"/>
      <c r="C50" s="173"/>
      <c r="D50" s="155"/>
      <c r="E50" s="156"/>
      <c r="F50" s="156"/>
      <c r="G50" s="157"/>
      <c r="H50" s="155"/>
      <c r="I50" s="156"/>
      <c r="J50" s="156"/>
      <c r="K50" s="158"/>
      <c r="L50" s="42"/>
      <c r="M50" s="42"/>
      <c r="N50" s="42"/>
      <c r="O50" s="42"/>
      <c r="P50" s="42"/>
      <c r="Q50" s="42"/>
    </row>
    <row r="51" spans="1:17" ht="15" customHeight="1">
      <c r="A51" s="438" t="s">
        <v>97</v>
      </c>
      <c r="B51" s="438"/>
      <c r="C51" s="438"/>
      <c r="D51" s="160">
        <v>6114.2623053544667</v>
      </c>
      <c r="E51" s="161">
        <v>1764.8784392439993</v>
      </c>
      <c r="F51" s="161">
        <v>-7140.8090317127062</v>
      </c>
      <c r="G51" s="162">
        <f t="shared" si="3"/>
        <v>738.33171288575977</v>
      </c>
      <c r="H51" s="160">
        <v>72560.651848269626</v>
      </c>
      <c r="I51" s="161">
        <v>24729.333563054912</v>
      </c>
      <c r="J51" s="161">
        <v>-82277.184859644622</v>
      </c>
      <c r="K51" s="163">
        <f>SUM(H51:J51)</f>
        <v>15012.800551679917</v>
      </c>
      <c r="L51" s="42"/>
      <c r="M51" s="42"/>
      <c r="N51" s="42"/>
      <c r="O51" s="42"/>
      <c r="P51" s="42"/>
      <c r="Q51" s="42"/>
    </row>
    <row r="52" spans="1:17" ht="5.1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46" t="s">
        <v>314</v>
      </c>
      <c r="B53" s="446"/>
      <c r="C53" s="446"/>
      <c r="D53" s="446"/>
      <c r="E53" s="446"/>
      <c r="F53" s="446"/>
      <c r="G53" s="446"/>
      <c r="H53" s="446"/>
      <c r="I53" s="446"/>
      <c r="J53" s="446"/>
      <c r="K53" s="446"/>
    </row>
    <row r="54" spans="1:17">
      <c r="A54" s="446"/>
      <c r="B54" s="446"/>
      <c r="C54" s="446"/>
      <c r="D54" s="446"/>
      <c r="E54" s="446"/>
      <c r="F54" s="446"/>
      <c r="G54" s="446"/>
      <c r="H54" s="446"/>
      <c r="I54" s="446"/>
      <c r="J54" s="446"/>
      <c r="K54" s="446"/>
    </row>
    <row r="55" spans="1:17">
      <c r="A55" s="446"/>
      <c r="B55" s="446"/>
      <c r="C55" s="446"/>
      <c r="D55" s="446"/>
      <c r="E55" s="446"/>
      <c r="F55" s="446"/>
      <c r="G55" s="446"/>
      <c r="H55" s="446"/>
      <c r="I55" s="446"/>
      <c r="J55" s="446"/>
      <c r="K55" s="446"/>
    </row>
    <row r="56" spans="1:17">
      <c r="A56" s="446"/>
      <c r="B56" s="446"/>
      <c r="C56" s="446"/>
      <c r="D56" s="446"/>
      <c r="E56" s="446"/>
      <c r="F56" s="446"/>
      <c r="G56" s="446"/>
      <c r="H56" s="446"/>
      <c r="I56" s="446"/>
      <c r="J56" s="446"/>
      <c r="K56" s="446"/>
    </row>
  </sheetData>
  <mergeCells count="25"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E1" sqref="E1"/>
    </sheetView>
  </sheetViews>
  <sheetFormatPr defaultRowHeight="10"/>
  <cols>
    <col min="1" max="1" width="8.26953125" style="12" customWidth="1"/>
    <col min="2" max="7" width="7.26953125" style="12" customWidth="1"/>
    <col min="8" max="8" width="6.7265625" style="12" customWidth="1"/>
    <col min="9" max="10" width="8.26953125" style="12" customWidth="1"/>
    <col min="11" max="11" width="8" style="12" customWidth="1"/>
    <col min="12" max="12" width="7.7265625" style="12" customWidth="1"/>
    <col min="13" max="16" width="7.453125" style="12" customWidth="1"/>
    <col min="17" max="17" width="6.7265625" style="12" customWidth="1"/>
    <col min="18" max="18" width="8.26953125" style="12" customWidth="1"/>
    <col min="19" max="19" width="8.1796875" style="12" customWidth="1"/>
    <col min="20" max="20" width="9.26953125" style="12" bestFit="1" customWidth="1"/>
    <col min="21" max="21" width="11.453125" style="12" bestFit="1" customWidth="1"/>
    <col min="22" max="260" width="9.1796875" style="12"/>
    <col min="261" max="273" width="10.7265625" style="12" customWidth="1"/>
    <col min="274" max="516" width="9.1796875" style="12"/>
    <col min="517" max="529" width="10.7265625" style="12" customWidth="1"/>
    <col min="530" max="772" width="9.1796875" style="12"/>
    <col min="773" max="785" width="10.7265625" style="12" customWidth="1"/>
    <col min="786" max="1028" width="9.1796875" style="12"/>
    <col min="1029" max="1041" width="10.7265625" style="12" customWidth="1"/>
    <col min="1042" max="1284" width="9.1796875" style="12"/>
    <col min="1285" max="1297" width="10.7265625" style="12" customWidth="1"/>
    <col min="1298" max="1540" width="9.1796875" style="12"/>
    <col min="1541" max="1553" width="10.7265625" style="12" customWidth="1"/>
    <col min="1554" max="1796" width="9.1796875" style="12"/>
    <col min="1797" max="1809" width="10.7265625" style="12" customWidth="1"/>
    <col min="1810" max="2052" width="9.1796875" style="12"/>
    <col min="2053" max="2065" width="10.7265625" style="12" customWidth="1"/>
    <col min="2066" max="2308" width="9.1796875" style="12"/>
    <col min="2309" max="2321" width="10.7265625" style="12" customWidth="1"/>
    <col min="2322" max="2564" width="9.1796875" style="12"/>
    <col min="2565" max="2577" width="10.7265625" style="12" customWidth="1"/>
    <col min="2578" max="2820" width="9.1796875" style="12"/>
    <col min="2821" max="2833" width="10.7265625" style="12" customWidth="1"/>
    <col min="2834" max="3076" width="9.1796875" style="12"/>
    <col min="3077" max="3089" width="10.7265625" style="12" customWidth="1"/>
    <col min="3090" max="3332" width="9.1796875" style="12"/>
    <col min="3333" max="3345" width="10.7265625" style="12" customWidth="1"/>
    <col min="3346" max="3588" width="9.1796875" style="12"/>
    <col min="3589" max="3601" width="10.7265625" style="12" customWidth="1"/>
    <col min="3602" max="3844" width="9.1796875" style="12"/>
    <col min="3845" max="3857" width="10.7265625" style="12" customWidth="1"/>
    <col min="3858" max="4100" width="9.1796875" style="12"/>
    <col min="4101" max="4113" width="10.7265625" style="12" customWidth="1"/>
    <col min="4114" max="4356" width="9.1796875" style="12"/>
    <col min="4357" max="4369" width="10.7265625" style="12" customWidth="1"/>
    <col min="4370" max="4612" width="9.1796875" style="12"/>
    <col min="4613" max="4625" width="10.7265625" style="12" customWidth="1"/>
    <col min="4626" max="4868" width="9.1796875" style="12"/>
    <col min="4869" max="4881" width="10.7265625" style="12" customWidth="1"/>
    <col min="4882" max="5124" width="9.1796875" style="12"/>
    <col min="5125" max="5137" width="10.7265625" style="12" customWidth="1"/>
    <col min="5138" max="5380" width="9.1796875" style="12"/>
    <col min="5381" max="5393" width="10.7265625" style="12" customWidth="1"/>
    <col min="5394" max="5636" width="9.1796875" style="12"/>
    <col min="5637" max="5649" width="10.7265625" style="12" customWidth="1"/>
    <col min="5650" max="5892" width="9.1796875" style="12"/>
    <col min="5893" max="5905" width="10.7265625" style="12" customWidth="1"/>
    <col min="5906" max="6148" width="9.1796875" style="12"/>
    <col min="6149" max="6161" width="10.7265625" style="12" customWidth="1"/>
    <col min="6162" max="6404" width="9.1796875" style="12"/>
    <col min="6405" max="6417" width="10.7265625" style="12" customWidth="1"/>
    <col min="6418" max="6660" width="9.1796875" style="12"/>
    <col min="6661" max="6673" width="10.7265625" style="12" customWidth="1"/>
    <col min="6674" max="6916" width="9.1796875" style="12"/>
    <col min="6917" max="6929" width="10.7265625" style="12" customWidth="1"/>
    <col min="6930" max="7172" width="9.1796875" style="12"/>
    <col min="7173" max="7185" width="10.7265625" style="12" customWidth="1"/>
    <col min="7186" max="7428" width="9.1796875" style="12"/>
    <col min="7429" max="7441" width="10.7265625" style="12" customWidth="1"/>
    <col min="7442" max="7684" width="9.1796875" style="12"/>
    <col min="7685" max="7697" width="10.7265625" style="12" customWidth="1"/>
    <col min="7698" max="7940" width="9.1796875" style="12"/>
    <col min="7941" max="7953" width="10.7265625" style="12" customWidth="1"/>
    <col min="7954" max="8196" width="9.1796875" style="12"/>
    <col min="8197" max="8209" width="10.7265625" style="12" customWidth="1"/>
    <col min="8210" max="8452" width="9.1796875" style="12"/>
    <col min="8453" max="8465" width="10.7265625" style="12" customWidth="1"/>
    <col min="8466" max="8708" width="9.1796875" style="12"/>
    <col min="8709" max="8721" width="10.7265625" style="12" customWidth="1"/>
    <col min="8722" max="8964" width="9.1796875" style="12"/>
    <col min="8965" max="8977" width="10.7265625" style="12" customWidth="1"/>
    <col min="8978" max="9220" width="9.1796875" style="12"/>
    <col min="9221" max="9233" width="10.7265625" style="12" customWidth="1"/>
    <col min="9234" max="9476" width="9.1796875" style="12"/>
    <col min="9477" max="9489" width="10.7265625" style="12" customWidth="1"/>
    <col min="9490" max="9732" width="9.1796875" style="12"/>
    <col min="9733" max="9745" width="10.7265625" style="12" customWidth="1"/>
    <col min="9746" max="9988" width="9.1796875" style="12"/>
    <col min="9989" max="10001" width="10.7265625" style="12" customWidth="1"/>
    <col min="10002" max="10244" width="9.1796875" style="12"/>
    <col min="10245" max="10257" width="10.7265625" style="12" customWidth="1"/>
    <col min="10258" max="10500" width="9.1796875" style="12"/>
    <col min="10501" max="10513" width="10.7265625" style="12" customWidth="1"/>
    <col min="10514" max="10756" width="9.1796875" style="12"/>
    <col min="10757" max="10769" width="10.7265625" style="12" customWidth="1"/>
    <col min="10770" max="11012" width="9.1796875" style="12"/>
    <col min="11013" max="11025" width="10.7265625" style="12" customWidth="1"/>
    <col min="11026" max="11268" width="9.1796875" style="12"/>
    <col min="11269" max="11281" width="10.7265625" style="12" customWidth="1"/>
    <col min="11282" max="11524" width="9.1796875" style="12"/>
    <col min="11525" max="11537" width="10.7265625" style="12" customWidth="1"/>
    <col min="11538" max="11780" width="9.1796875" style="12"/>
    <col min="11781" max="11793" width="10.7265625" style="12" customWidth="1"/>
    <col min="11794" max="12036" width="9.1796875" style="12"/>
    <col min="12037" max="12049" width="10.7265625" style="12" customWidth="1"/>
    <col min="12050" max="12292" width="9.1796875" style="12"/>
    <col min="12293" max="12305" width="10.7265625" style="12" customWidth="1"/>
    <col min="12306" max="12548" width="9.1796875" style="12"/>
    <col min="12549" max="12561" width="10.7265625" style="12" customWidth="1"/>
    <col min="12562" max="12804" width="9.1796875" style="12"/>
    <col min="12805" max="12817" width="10.7265625" style="12" customWidth="1"/>
    <col min="12818" max="13060" width="9.1796875" style="12"/>
    <col min="13061" max="13073" width="10.7265625" style="12" customWidth="1"/>
    <col min="13074" max="13316" width="9.1796875" style="12"/>
    <col min="13317" max="13329" width="10.7265625" style="12" customWidth="1"/>
    <col min="13330" max="13572" width="9.1796875" style="12"/>
    <col min="13573" max="13585" width="10.7265625" style="12" customWidth="1"/>
    <col min="13586" max="13828" width="9.1796875" style="12"/>
    <col min="13829" max="13841" width="10.7265625" style="12" customWidth="1"/>
    <col min="13842" max="14084" width="9.1796875" style="12"/>
    <col min="14085" max="14097" width="10.7265625" style="12" customWidth="1"/>
    <col min="14098" max="14340" width="9.1796875" style="12"/>
    <col min="14341" max="14353" width="10.7265625" style="12" customWidth="1"/>
    <col min="14354" max="14596" width="9.1796875" style="12"/>
    <col min="14597" max="14609" width="10.7265625" style="12" customWidth="1"/>
    <col min="14610" max="14852" width="9.1796875" style="12"/>
    <col min="14853" max="14865" width="10.7265625" style="12" customWidth="1"/>
    <col min="14866" max="15108" width="9.1796875" style="12"/>
    <col min="15109" max="15121" width="10.7265625" style="12" customWidth="1"/>
    <col min="15122" max="15364" width="9.1796875" style="12"/>
    <col min="15365" max="15377" width="10.7265625" style="12" customWidth="1"/>
    <col min="15378" max="15620" width="9.1796875" style="12"/>
    <col min="15621" max="15633" width="10.7265625" style="12" customWidth="1"/>
    <col min="15634" max="15876" width="9.1796875" style="12"/>
    <col min="15877" max="15889" width="10.7265625" style="12" customWidth="1"/>
    <col min="15890" max="16132" width="9.1796875" style="12"/>
    <col min="16133" max="16145" width="10.7265625" style="12" customWidth="1"/>
    <col min="16146" max="16384" width="9.1796875" style="12"/>
  </cols>
  <sheetData>
    <row r="1" spans="1:23" ht="18">
      <c r="A1" s="461" t="s">
        <v>291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</row>
    <row r="2" spans="1:23" ht="6" customHeight="1">
      <c r="A2" s="175"/>
      <c r="B2" s="459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</row>
    <row r="3" spans="1:23" ht="16" customHeight="1">
      <c r="A3" s="205">
        <f>'3.1'!A4</f>
        <v>2024</v>
      </c>
      <c r="B3" s="467" t="s">
        <v>258</v>
      </c>
      <c r="C3" s="468"/>
      <c r="D3" s="468"/>
      <c r="E3" s="468"/>
      <c r="F3" s="468"/>
      <c r="G3" s="468"/>
      <c r="H3" s="468"/>
      <c r="I3" s="468"/>
      <c r="J3" s="469"/>
      <c r="K3" s="468" t="s">
        <v>216</v>
      </c>
      <c r="L3" s="468"/>
      <c r="M3" s="468"/>
      <c r="N3" s="468"/>
      <c r="O3" s="468"/>
      <c r="P3" s="468"/>
      <c r="Q3" s="468"/>
      <c r="R3" s="468"/>
      <c r="S3" s="468"/>
    </row>
    <row r="4" spans="1:23" ht="34.5" customHeight="1">
      <c r="A4" s="191"/>
      <c r="B4" s="456" t="s">
        <v>192</v>
      </c>
      <c r="C4" s="457"/>
      <c r="D4" s="457"/>
      <c r="E4" s="456" t="s">
        <v>193</v>
      </c>
      <c r="F4" s="457"/>
      <c r="G4" s="462"/>
      <c r="H4" s="463" t="s">
        <v>245</v>
      </c>
      <c r="I4" s="463" t="s">
        <v>189</v>
      </c>
      <c r="J4" s="465" t="s">
        <v>64</v>
      </c>
      <c r="K4" s="456" t="s">
        <v>192</v>
      </c>
      <c r="L4" s="457"/>
      <c r="M4" s="457"/>
      <c r="N4" s="456" t="s">
        <v>193</v>
      </c>
      <c r="O4" s="457"/>
      <c r="P4" s="462"/>
      <c r="Q4" s="463" t="s">
        <v>245</v>
      </c>
      <c r="R4" s="463" t="s">
        <v>189</v>
      </c>
      <c r="S4" s="463" t="s">
        <v>64</v>
      </c>
    </row>
    <row r="5" spans="1:23" ht="21">
      <c r="A5" s="192"/>
      <c r="B5" s="193" t="s">
        <v>21</v>
      </c>
      <c r="C5" s="194" t="s">
        <v>22</v>
      </c>
      <c r="D5" s="194" t="s">
        <v>191</v>
      </c>
      <c r="E5" s="193" t="s">
        <v>26</v>
      </c>
      <c r="F5" s="194" t="s">
        <v>27</v>
      </c>
      <c r="G5" s="195" t="s">
        <v>190</v>
      </c>
      <c r="H5" s="464"/>
      <c r="I5" s="464"/>
      <c r="J5" s="466"/>
      <c r="K5" s="194" t="s">
        <v>21</v>
      </c>
      <c r="L5" s="194" t="s">
        <v>22</v>
      </c>
      <c r="M5" s="194" t="s">
        <v>191</v>
      </c>
      <c r="N5" s="193" t="s">
        <v>26</v>
      </c>
      <c r="O5" s="194" t="s">
        <v>27</v>
      </c>
      <c r="P5" s="195" t="s">
        <v>190</v>
      </c>
      <c r="Q5" s="464"/>
      <c r="R5" s="464"/>
      <c r="S5" s="464"/>
    </row>
    <row r="6" spans="1:23" ht="12" customHeight="1">
      <c r="A6" s="176" t="s">
        <v>160</v>
      </c>
      <c r="B6" s="183">
        <v>463.02032292276868</v>
      </c>
      <c r="C6" s="177">
        <v>20.941328995270386</v>
      </c>
      <c r="D6" s="178">
        <v>442.07899392749829</v>
      </c>
      <c r="E6" s="189">
        <v>596.49069199999997</v>
      </c>
      <c r="F6" s="178">
        <v>1.8698680000000001</v>
      </c>
      <c r="G6" s="185">
        <v>594.62082399999997</v>
      </c>
      <c r="H6" s="178">
        <v>8.9811680541510022</v>
      </c>
      <c r="I6" s="178">
        <v>6.1142623053544662</v>
      </c>
      <c r="J6" s="185">
        <v>1051.7952482870037</v>
      </c>
      <c r="K6" s="177">
        <v>5046.1537347950007</v>
      </c>
      <c r="L6" s="177">
        <v>227.5953961221</v>
      </c>
      <c r="M6" s="178">
        <v>4818.5583386729004</v>
      </c>
      <c r="N6" s="189">
        <v>6493.0057989999996</v>
      </c>
      <c r="O6" s="178">
        <v>20.361215233000003</v>
      </c>
      <c r="P6" s="185">
        <v>6472.6445837669999</v>
      </c>
      <c r="Q6" s="178">
        <v>98.392684634775662</v>
      </c>
      <c r="R6" s="178">
        <v>72.560651848269629</v>
      </c>
      <c r="S6" s="178">
        <v>11462.156258922945</v>
      </c>
      <c r="T6" s="56"/>
      <c r="U6" s="57"/>
      <c r="V6" s="57"/>
      <c r="W6" s="57"/>
    </row>
    <row r="7" spans="1:23" ht="12" customHeight="1">
      <c r="A7" s="176" t="s">
        <v>161</v>
      </c>
      <c r="B7" s="183">
        <v>557.94659742511897</v>
      </c>
      <c r="C7" s="178">
        <v>0.11417086195799998</v>
      </c>
      <c r="D7" s="178">
        <v>557.83242656316099</v>
      </c>
      <c r="E7" s="189">
        <v>151.33870099999996</v>
      </c>
      <c r="F7" s="178">
        <v>11.740470000000002</v>
      </c>
      <c r="G7" s="185">
        <v>139.59823099999994</v>
      </c>
      <c r="H7" s="178">
        <v>8.6916619999999991</v>
      </c>
      <c r="I7" s="178">
        <v>1.7648784392439993</v>
      </c>
      <c r="J7" s="185">
        <v>707.88719800240517</v>
      </c>
      <c r="K7" s="177">
        <v>6082.6016761869996</v>
      </c>
      <c r="L7" s="178">
        <v>1.2468095966000001</v>
      </c>
      <c r="M7" s="178">
        <v>6081.3548665904</v>
      </c>
      <c r="N7" s="189">
        <v>1637.0942769999999</v>
      </c>
      <c r="O7" s="178">
        <v>127.84849766799999</v>
      </c>
      <c r="P7" s="185">
        <v>1509.245779332</v>
      </c>
      <c r="Q7" s="178">
        <v>95.179705275588006</v>
      </c>
      <c r="R7" s="178">
        <v>24.729333563054912</v>
      </c>
      <c r="S7" s="178">
        <v>7710.5096847610421</v>
      </c>
      <c r="T7" s="58"/>
      <c r="U7" s="57"/>
      <c r="V7" s="57"/>
      <c r="W7" s="57"/>
    </row>
    <row r="8" spans="1:23" ht="12" customHeight="1">
      <c r="A8" s="179" t="s">
        <v>162</v>
      </c>
      <c r="B8" s="184">
        <v>337.52630422264463</v>
      </c>
      <c r="C8" s="181">
        <v>3.5326223853076072E-2</v>
      </c>
      <c r="D8" s="181">
        <v>337.49097799879155</v>
      </c>
      <c r="E8" s="190">
        <v>324.18707200000006</v>
      </c>
      <c r="F8" s="181">
        <v>8.933484</v>
      </c>
      <c r="G8" s="186">
        <v>315.25358800000004</v>
      </c>
      <c r="H8" s="181">
        <v>9.336151000000001</v>
      </c>
      <c r="I8" s="181">
        <v>-7.1408090317127062</v>
      </c>
      <c r="J8" s="186">
        <v>654.93990796707874</v>
      </c>
      <c r="K8" s="180">
        <v>3692.3732853760002</v>
      </c>
      <c r="L8" s="181">
        <v>0.38449241359999997</v>
      </c>
      <c r="M8" s="181">
        <v>3691.9887929624001</v>
      </c>
      <c r="N8" s="190">
        <v>3509.1716139999999</v>
      </c>
      <c r="O8" s="181">
        <v>96.775745102999991</v>
      </c>
      <c r="P8" s="186">
        <v>3412.3958688969997</v>
      </c>
      <c r="Q8" s="181">
        <v>102.32859673618879</v>
      </c>
      <c r="R8" s="181">
        <v>-82.27718485964462</v>
      </c>
      <c r="S8" s="181">
        <v>7124.4360737359448</v>
      </c>
      <c r="T8" s="59"/>
      <c r="U8" s="57"/>
      <c r="V8" s="57"/>
      <c r="W8" s="57"/>
    </row>
    <row r="9" spans="1:23" ht="12" customHeight="1">
      <c r="A9" s="176" t="s">
        <v>163</v>
      </c>
      <c r="B9" s="183"/>
      <c r="C9" s="178"/>
      <c r="D9" s="178"/>
      <c r="E9" s="189"/>
      <c r="F9" s="178"/>
      <c r="G9" s="185"/>
      <c r="H9" s="178"/>
      <c r="I9" s="178"/>
      <c r="J9" s="185"/>
      <c r="K9" s="177"/>
      <c r="L9" s="178"/>
      <c r="M9" s="178"/>
      <c r="N9" s="189"/>
      <c r="O9" s="178"/>
      <c r="P9" s="185"/>
      <c r="Q9" s="178"/>
      <c r="R9" s="178"/>
      <c r="S9" s="178"/>
      <c r="T9" s="58"/>
      <c r="U9" s="57"/>
      <c r="V9" s="57"/>
      <c r="W9" s="57"/>
    </row>
    <row r="10" spans="1:23" ht="12" customHeight="1">
      <c r="A10" s="176" t="s">
        <v>164</v>
      </c>
      <c r="B10" s="183"/>
      <c r="C10" s="178"/>
      <c r="D10" s="178"/>
      <c r="E10" s="189"/>
      <c r="F10" s="178"/>
      <c r="G10" s="185"/>
      <c r="H10" s="178"/>
      <c r="I10" s="178"/>
      <c r="J10" s="185"/>
      <c r="K10" s="177"/>
      <c r="L10" s="178"/>
      <c r="M10" s="178"/>
      <c r="N10" s="189"/>
      <c r="O10" s="178"/>
      <c r="P10" s="185"/>
      <c r="Q10" s="178"/>
      <c r="R10" s="178"/>
      <c r="S10" s="178"/>
      <c r="T10" s="58"/>
      <c r="U10" s="57"/>
      <c r="V10" s="57"/>
      <c r="W10" s="57"/>
    </row>
    <row r="11" spans="1:23" ht="12" customHeight="1">
      <c r="A11" s="179" t="s">
        <v>165</v>
      </c>
      <c r="B11" s="184"/>
      <c r="C11" s="181"/>
      <c r="D11" s="181"/>
      <c r="E11" s="190"/>
      <c r="F11" s="181"/>
      <c r="G11" s="186"/>
      <c r="H11" s="181"/>
      <c r="I11" s="181"/>
      <c r="J11" s="186"/>
      <c r="K11" s="180"/>
      <c r="L11" s="181"/>
      <c r="M11" s="181"/>
      <c r="N11" s="190"/>
      <c r="O11" s="181"/>
      <c r="P11" s="186"/>
      <c r="Q11" s="181"/>
      <c r="R11" s="181"/>
      <c r="S11" s="181"/>
      <c r="T11" s="58"/>
      <c r="U11" s="57"/>
      <c r="V11" s="57"/>
      <c r="W11" s="57"/>
    </row>
    <row r="12" spans="1:23" ht="12" customHeight="1">
      <c r="A12" s="176" t="s">
        <v>166</v>
      </c>
      <c r="B12" s="183"/>
      <c r="C12" s="178"/>
      <c r="D12" s="178"/>
      <c r="E12" s="189"/>
      <c r="F12" s="178"/>
      <c r="G12" s="185"/>
      <c r="H12" s="178"/>
      <c r="I12" s="178"/>
      <c r="J12" s="185"/>
      <c r="K12" s="177"/>
      <c r="L12" s="178"/>
      <c r="M12" s="178"/>
      <c r="N12" s="189"/>
      <c r="O12" s="178"/>
      <c r="P12" s="185"/>
      <c r="Q12" s="178"/>
      <c r="R12" s="178"/>
      <c r="S12" s="178"/>
      <c r="T12" s="58"/>
      <c r="U12" s="57"/>
      <c r="V12" s="57"/>
      <c r="W12" s="57"/>
    </row>
    <row r="13" spans="1:23" ht="12" customHeight="1">
      <c r="A13" s="176" t="s">
        <v>167</v>
      </c>
      <c r="B13" s="183"/>
      <c r="C13" s="178"/>
      <c r="D13" s="178"/>
      <c r="E13" s="189"/>
      <c r="F13" s="178"/>
      <c r="G13" s="185"/>
      <c r="H13" s="178"/>
      <c r="I13" s="178"/>
      <c r="J13" s="185"/>
      <c r="K13" s="177"/>
      <c r="L13" s="178"/>
      <c r="M13" s="178"/>
      <c r="N13" s="189"/>
      <c r="O13" s="178"/>
      <c r="P13" s="185"/>
      <c r="Q13" s="178"/>
      <c r="R13" s="178"/>
      <c r="S13" s="178"/>
      <c r="T13" s="58"/>
      <c r="U13" s="57"/>
      <c r="V13" s="57"/>
      <c r="W13" s="57"/>
    </row>
    <row r="14" spans="1:23" ht="12" customHeight="1">
      <c r="A14" s="179" t="s">
        <v>168</v>
      </c>
      <c r="B14" s="184"/>
      <c r="C14" s="181"/>
      <c r="D14" s="181"/>
      <c r="E14" s="190"/>
      <c r="F14" s="181"/>
      <c r="G14" s="186"/>
      <c r="H14" s="181"/>
      <c r="I14" s="181"/>
      <c r="J14" s="186"/>
      <c r="K14" s="180"/>
      <c r="L14" s="181"/>
      <c r="M14" s="181"/>
      <c r="N14" s="190"/>
      <c r="O14" s="181"/>
      <c r="P14" s="186"/>
      <c r="Q14" s="181"/>
      <c r="R14" s="181"/>
      <c r="S14" s="181"/>
      <c r="T14" s="58"/>
      <c r="U14" s="57"/>
      <c r="V14" s="57"/>
      <c r="W14" s="57"/>
    </row>
    <row r="15" spans="1:23" ht="12" customHeight="1">
      <c r="A15" s="176" t="s">
        <v>169</v>
      </c>
      <c r="B15" s="183"/>
      <c r="C15" s="178"/>
      <c r="D15" s="178"/>
      <c r="E15" s="189"/>
      <c r="F15" s="178"/>
      <c r="G15" s="185"/>
      <c r="H15" s="178"/>
      <c r="I15" s="178"/>
      <c r="J15" s="185"/>
      <c r="K15" s="177"/>
      <c r="L15" s="178"/>
      <c r="M15" s="178"/>
      <c r="N15" s="189"/>
      <c r="O15" s="178"/>
      <c r="P15" s="185"/>
      <c r="Q15" s="178"/>
      <c r="R15" s="178"/>
      <c r="S15" s="178"/>
      <c r="T15" s="58"/>
      <c r="U15" s="57"/>
      <c r="V15" s="57"/>
      <c r="W15" s="57"/>
    </row>
    <row r="16" spans="1:23" ht="12" customHeight="1">
      <c r="A16" s="176" t="s">
        <v>170</v>
      </c>
      <c r="B16" s="183"/>
      <c r="C16" s="178"/>
      <c r="D16" s="178"/>
      <c r="E16" s="189"/>
      <c r="F16" s="178"/>
      <c r="G16" s="185"/>
      <c r="H16" s="178"/>
      <c r="I16" s="178"/>
      <c r="J16" s="185"/>
      <c r="K16" s="177"/>
      <c r="L16" s="178"/>
      <c r="M16" s="178"/>
      <c r="N16" s="189"/>
      <c r="O16" s="178"/>
      <c r="P16" s="185"/>
      <c r="Q16" s="178"/>
      <c r="R16" s="178"/>
      <c r="S16" s="178"/>
      <c r="T16" s="58"/>
      <c r="U16" s="57"/>
      <c r="V16" s="57"/>
      <c r="W16" s="57"/>
    </row>
    <row r="17" spans="1:23" ht="12" customHeight="1">
      <c r="A17" s="179" t="s">
        <v>171</v>
      </c>
      <c r="B17" s="184"/>
      <c r="C17" s="181"/>
      <c r="D17" s="181"/>
      <c r="E17" s="190"/>
      <c r="F17" s="181"/>
      <c r="G17" s="186"/>
      <c r="H17" s="181"/>
      <c r="I17" s="181"/>
      <c r="J17" s="186"/>
      <c r="K17" s="180"/>
      <c r="L17" s="181"/>
      <c r="M17" s="181"/>
      <c r="N17" s="190"/>
      <c r="O17" s="181"/>
      <c r="P17" s="186"/>
      <c r="Q17" s="181"/>
      <c r="R17" s="181"/>
      <c r="S17" s="181"/>
      <c r="T17" s="58"/>
      <c r="U17" s="57"/>
      <c r="V17" s="57"/>
      <c r="W17" s="57"/>
    </row>
    <row r="18" spans="1:23" ht="12" customHeight="1">
      <c r="A18" s="176" t="s">
        <v>48</v>
      </c>
      <c r="B18" s="183">
        <f>SUM(B6:B8)</f>
        <v>1358.4932245705322</v>
      </c>
      <c r="C18" s="177">
        <f>SUM(C6:C8)</f>
        <v>21.090826081081463</v>
      </c>
      <c r="D18" s="177">
        <f>SUM(D6:D8)</f>
        <v>1337.4023984894509</v>
      </c>
      <c r="E18" s="183">
        <f t="shared" ref="E18:J18" si="0">SUM(E6:E8)</f>
        <v>1072.0164650000002</v>
      </c>
      <c r="F18" s="177">
        <f t="shared" si="0"/>
        <v>22.543822000000002</v>
      </c>
      <c r="G18" s="187">
        <f>SUM(G6:G8)</f>
        <v>1049.4726430000001</v>
      </c>
      <c r="H18" s="177">
        <f t="shared" si="0"/>
        <v>27.008981054151</v>
      </c>
      <c r="I18" s="177">
        <f t="shared" si="0"/>
        <v>0.73833171288575983</v>
      </c>
      <c r="J18" s="187">
        <f t="shared" si="0"/>
        <v>2414.6223542564876</v>
      </c>
      <c r="K18" s="177">
        <f>SUM(K6:K8)</f>
        <v>14821.128696358002</v>
      </c>
      <c r="L18" s="177">
        <f>SUM(L6:L8)</f>
        <v>229.22669813229999</v>
      </c>
      <c r="M18" s="177">
        <f t="shared" ref="M18:S18" si="1">SUM(M6:M8)</f>
        <v>14591.9019982257</v>
      </c>
      <c r="N18" s="183">
        <f t="shared" si="1"/>
        <v>11639.27169</v>
      </c>
      <c r="O18" s="177">
        <f t="shared" si="1"/>
        <v>244.98545800399998</v>
      </c>
      <c r="P18" s="187">
        <f t="shared" si="1"/>
        <v>11394.286231996</v>
      </c>
      <c r="Q18" s="177">
        <f t="shared" si="1"/>
        <v>295.90098664655244</v>
      </c>
      <c r="R18" s="177">
        <f>SUM(R6:R8)</f>
        <v>15.012800551679916</v>
      </c>
      <c r="S18" s="177">
        <f t="shared" si="1"/>
        <v>26297.102017419933</v>
      </c>
    </row>
    <row r="19" spans="1:23" ht="12" customHeight="1">
      <c r="A19" s="176" t="s">
        <v>56</v>
      </c>
      <c r="B19" s="394">
        <f>SUM(B9:B11)</f>
        <v>0</v>
      </c>
      <c r="C19" s="395">
        <f>SUM(C9:C11)</f>
        <v>0</v>
      </c>
      <c r="D19" s="395">
        <f t="shared" ref="D19:J19" si="2">SUM(D9:D11)</f>
        <v>0</v>
      </c>
      <c r="E19" s="394">
        <f t="shared" si="2"/>
        <v>0</v>
      </c>
      <c r="F19" s="395">
        <f t="shared" si="2"/>
        <v>0</v>
      </c>
      <c r="G19" s="396">
        <f t="shared" si="2"/>
        <v>0</v>
      </c>
      <c r="H19" s="395">
        <f t="shared" si="2"/>
        <v>0</v>
      </c>
      <c r="I19" s="395">
        <f t="shared" si="2"/>
        <v>0</v>
      </c>
      <c r="J19" s="396">
        <f t="shared" si="2"/>
        <v>0</v>
      </c>
      <c r="K19" s="395">
        <f>SUM(K9:K11)</f>
        <v>0</v>
      </c>
      <c r="L19" s="395">
        <f t="shared" ref="L19:S19" si="3">SUM(L9:L11)</f>
        <v>0</v>
      </c>
      <c r="M19" s="395">
        <f t="shared" si="3"/>
        <v>0</v>
      </c>
      <c r="N19" s="394">
        <f t="shared" si="3"/>
        <v>0</v>
      </c>
      <c r="O19" s="395">
        <f>SUM(O9:O11)</f>
        <v>0</v>
      </c>
      <c r="P19" s="396">
        <f t="shared" si="3"/>
        <v>0</v>
      </c>
      <c r="Q19" s="395">
        <f t="shared" si="3"/>
        <v>0</v>
      </c>
      <c r="R19" s="395">
        <f t="shared" si="3"/>
        <v>0</v>
      </c>
      <c r="S19" s="395">
        <f t="shared" si="3"/>
        <v>0</v>
      </c>
    </row>
    <row r="20" spans="1:23" ht="12" customHeight="1">
      <c r="A20" s="176" t="s">
        <v>63</v>
      </c>
      <c r="B20" s="394">
        <f>SUM(B12:B14)</f>
        <v>0</v>
      </c>
      <c r="C20" s="395">
        <f>SUM(C12:C14)</f>
        <v>0</v>
      </c>
      <c r="D20" s="395">
        <f t="shared" ref="D20:J20" si="4">SUM(D12:D14)</f>
        <v>0</v>
      </c>
      <c r="E20" s="394">
        <f t="shared" si="4"/>
        <v>0</v>
      </c>
      <c r="F20" s="395">
        <f t="shared" si="4"/>
        <v>0</v>
      </c>
      <c r="G20" s="396">
        <f t="shared" si="4"/>
        <v>0</v>
      </c>
      <c r="H20" s="395">
        <f t="shared" si="4"/>
        <v>0</v>
      </c>
      <c r="I20" s="395">
        <f>SUM(I12:I14)</f>
        <v>0</v>
      </c>
      <c r="J20" s="396">
        <f t="shared" si="4"/>
        <v>0</v>
      </c>
      <c r="K20" s="395">
        <f>SUM(K12:K14)</f>
        <v>0</v>
      </c>
      <c r="L20" s="395">
        <f t="shared" ref="L20:S20" si="5">SUM(L12:L14)</f>
        <v>0</v>
      </c>
      <c r="M20" s="395">
        <f t="shared" si="5"/>
        <v>0</v>
      </c>
      <c r="N20" s="394">
        <f t="shared" si="5"/>
        <v>0</v>
      </c>
      <c r="O20" s="395">
        <f t="shared" si="5"/>
        <v>0</v>
      </c>
      <c r="P20" s="396">
        <f t="shared" si="5"/>
        <v>0</v>
      </c>
      <c r="Q20" s="395">
        <f t="shared" si="5"/>
        <v>0</v>
      </c>
      <c r="R20" s="395">
        <f t="shared" si="5"/>
        <v>0</v>
      </c>
      <c r="S20" s="395">
        <f t="shared" si="5"/>
        <v>0</v>
      </c>
    </row>
    <row r="21" spans="1:23" ht="12" customHeight="1">
      <c r="A21" s="179" t="s">
        <v>57</v>
      </c>
      <c r="B21" s="397">
        <f>SUM(B15:B17)</f>
        <v>0</v>
      </c>
      <c r="C21" s="398">
        <f>SUM(C15:C17)</f>
        <v>0</v>
      </c>
      <c r="D21" s="398">
        <f t="shared" ref="D21:J21" si="6">SUM(D15:D17)</f>
        <v>0</v>
      </c>
      <c r="E21" s="397">
        <f t="shared" si="6"/>
        <v>0</v>
      </c>
      <c r="F21" s="398">
        <f t="shared" si="6"/>
        <v>0</v>
      </c>
      <c r="G21" s="399">
        <f t="shared" si="6"/>
        <v>0</v>
      </c>
      <c r="H21" s="398">
        <f t="shared" si="6"/>
        <v>0</v>
      </c>
      <c r="I21" s="398">
        <f t="shared" si="6"/>
        <v>0</v>
      </c>
      <c r="J21" s="399">
        <f t="shared" si="6"/>
        <v>0</v>
      </c>
      <c r="K21" s="398">
        <f>SUM(K15:K17)</f>
        <v>0</v>
      </c>
      <c r="L21" s="398">
        <f t="shared" ref="L21:R21" si="7">SUM(L15:L17)</f>
        <v>0</v>
      </c>
      <c r="M21" s="398">
        <f t="shared" si="7"/>
        <v>0</v>
      </c>
      <c r="N21" s="397">
        <f t="shared" si="7"/>
        <v>0</v>
      </c>
      <c r="O21" s="398">
        <f t="shared" si="7"/>
        <v>0</v>
      </c>
      <c r="P21" s="399">
        <f t="shared" si="7"/>
        <v>0</v>
      </c>
      <c r="Q21" s="398">
        <f t="shared" si="7"/>
        <v>0</v>
      </c>
      <c r="R21" s="398">
        <f t="shared" si="7"/>
        <v>0</v>
      </c>
      <c r="S21" s="398">
        <f>SUM(S15:S17)</f>
        <v>0</v>
      </c>
    </row>
    <row r="22" spans="1:23" ht="12" customHeight="1">
      <c r="A22" s="176" t="s">
        <v>58</v>
      </c>
      <c r="B22" s="394">
        <f>SUM(B6:B11)</f>
        <v>1358.4932245705322</v>
      </c>
      <c r="C22" s="395">
        <f>SUM(C6:C11)</f>
        <v>21.090826081081463</v>
      </c>
      <c r="D22" s="395">
        <f t="shared" ref="D22:J22" si="8">SUM(D6:D11)</f>
        <v>1337.4023984894509</v>
      </c>
      <c r="E22" s="394">
        <f t="shared" si="8"/>
        <v>1072.0164650000002</v>
      </c>
      <c r="F22" s="395">
        <f t="shared" si="8"/>
        <v>22.543822000000002</v>
      </c>
      <c r="G22" s="396">
        <f t="shared" si="8"/>
        <v>1049.4726430000001</v>
      </c>
      <c r="H22" s="395">
        <f t="shared" si="8"/>
        <v>27.008981054151</v>
      </c>
      <c r="I22" s="395">
        <f t="shared" si="8"/>
        <v>0.73833171288575983</v>
      </c>
      <c r="J22" s="396">
        <f t="shared" si="8"/>
        <v>2414.6223542564876</v>
      </c>
      <c r="K22" s="395">
        <f>SUM(K6:K11)</f>
        <v>14821.128696358002</v>
      </c>
      <c r="L22" s="395">
        <f t="shared" ref="L22:S22" si="9">SUM(L6:L11)</f>
        <v>229.22669813229999</v>
      </c>
      <c r="M22" s="395">
        <f t="shared" si="9"/>
        <v>14591.9019982257</v>
      </c>
      <c r="N22" s="394">
        <f t="shared" si="9"/>
        <v>11639.27169</v>
      </c>
      <c r="O22" s="395">
        <f t="shared" si="9"/>
        <v>244.98545800399998</v>
      </c>
      <c r="P22" s="396">
        <f t="shared" si="9"/>
        <v>11394.286231996</v>
      </c>
      <c r="Q22" s="395">
        <f t="shared" si="9"/>
        <v>295.90098664655244</v>
      </c>
      <c r="R22" s="395">
        <f t="shared" si="9"/>
        <v>15.012800551679916</v>
      </c>
      <c r="S22" s="395">
        <f t="shared" si="9"/>
        <v>26297.102017419933</v>
      </c>
    </row>
    <row r="23" spans="1:23" ht="12" customHeight="1">
      <c r="A23" s="179" t="s">
        <v>59</v>
      </c>
      <c r="B23" s="397">
        <f>SUM(B12:B17)</f>
        <v>0</v>
      </c>
      <c r="C23" s="398">
        <f>SUM(C12:C17)</f>
        <v>0</v>
      </c>
      <c r="D23" s="398">
        <f t="shared" ref="D23:J23" si="10">SUM(D12:D17)</f>
        <v>0</v>
      </c>
      <c r="E23" s="397">
        <f t="shared" si="10"/>
        <v>0</v>
      </c>
      <c r="F23" s="398">
        <f t="shared" si="10"/>
        <v>0</v>
      </c>
      <c r="G23" s="399">
        <f t="shared" si="10"/>
        <v>0</v>
      </c>
      <c r="H23" s="398">
        <f t="shared" si="10"/>
        <v>0</v>
      </c>
      <c r="I23" s="398">
        <f t="shared" si="10"/>
        <v>0</v>
      </c>
      <c r="J23" s="399">
        <f t="shared" si="10"/>
        <v>0</v>
      </c>
      <c r="K23" s="398">
        <f>SUM(K12:K17)</f>
        <v>0</v>
      </c>
      <c r="L23" s="398">
        <f t="shared" ref="L23:S23" si="11">SUM(L12:L17)</f>
        <v>0</v>
      </c>
      <c r="M23" s="398">
        <f t="shared" si="11"/>
        <v>0</v>
      </c>
      <c r="N23" s="397">
        <f t="shared" si="11"/>
        <v>0</v>
      </c>
      <c r="O23" s="398">
        <f t="shared" si="11"/>
        <v>0</v>
      </c>
      <c r="P23" s="399">
        <f t="shared" si="11"/>
        <v>0</v>
      </c>
      <c r="Q23" s="398">
        <f t="shared" si="11"/>
        <v>0</v>
      </c>
      <c r="R23" s="398">
        <f t="shared" si="11"/>
        <v>0</v>
      </c>
      <c r="S23" s="398">
        <f t="shared" si="11"/>
        <v>0</v>
      </c>
    </row>
    <row r="24" spans="1:23" ht="12" customHeight="1">
      <c r="A24" s="182" t="s">
        <v>172</v>
      </c>
      <c r="B24" s="400">
        <f>SUM(B6:B17)</f>
        <v>1358.4932245705322</v>
      </c>
      <c r="C24" s="401">
        <f>SUM(C6:C17)</f>
        <v>21.090826081081463</v>
      </c>
      <c r="D24" s="401">
        <f t="shared" ref="D24:J24" si="12">SUM(D6:D17)</f>
        <v>1337.4023984894509</v>
      </c>
      <c r="E24" s="400">
        <f t="shared" si="12"/>
        <v>1072.0164650000002</v>
      </c>
      <c r="F24" s="401">
        <f t="shared" si="12"/>
        <v>22.543822000000002</v>
      </c>
      <c r="G24" s="402">
        <f t="shared" si="12"/>
        <v>1049.4726430000001</v>
      </c>
      <c r="H24" s="401">
        <f t="shared" si="12"/>
        <v>27.008981054151</v>
      </c>
      <c r="I24" s="401">
        <f t="shared" si="12"/>
        <v>0.73833171288575983</v>
      </c>
      <c r="J24" s="402">
        <f t="shared" si="12"/>
        <v>2414.6223542564876</v>
      </c>
      <c r="K24" s="401">
        <f>SUM(K6:K17)</f>
        <v>14821.128696358002</v>
      </c>
      <c r="L24" s="401">
        <f t="shared" ref="L24:S24" si="13">SUM(L6:L17)</f>
        <v>229.22669813229999</v>
      </c>
      <c r="M24" s="401">
        <f t="shared" si="13"/>
        <v>14591.9019982257</v>
      </c>
      <c r="N24" s="400">
        <f t="shared" si="13"/>
        <v>11639.27169</v>
      </c>
      <c r="O24" s="401">
        <f t="shared" si="13"/>
        <v>244.98545800399998</v>
      </c>
      <c r="P24" s="402">
        <f t="shared" si="13"/>
        <v>11394.286231996</v>
      </c>
      <c r="Q24" s="401">
        <f t="shared" si="13"/>
        <v>295.90098664655244</v>
      </c>
      <c r="R24" s="401">
        <f t="shared" si="13"/>
        <v>15.012800551679916</v>
      </c>
      <c r="S24" s="401">
        <f t="shared" si="13"/>
        <v>26297.102017419933</v>
      </c>
    </row>
    <row r="25" spans="1:23" ht="8.15" customHeight="1"/>
    <row r="26" spans="1:23" ht="13.5" customHeight="1">
      <c r="A26" s="458" t="s">
        <v>246</v>
      </c>
      <c r="B26" s="458"/>
      <c r="C26" s="458"/>
      <c r="D26" s="458"/>
      <c r="E26" s="458"/>
      <c r="F26" s="458"/>
      <c r="G26" s="458"/>
      <c r="H26" s="458"/>
      <c r="I26" s="458"/>
      <c r="J26" s="60"/>
      <c r="K26" s="458" t="s">
        <v>247</v>
      </c>
      <c r="L26" s="458"/>
      <c r="M26" s="458"/>
      <c r="N26" s="458"/>
      <c r="O26" s="458"/>
      <c r="P26" s="458"/>
      <c r="Q26" s="458"/>
      <c r="R26" s="458"/>
      <c r="S26" s="458"/>
      <c r="V26" s="393"/>
      <c r="W26" s="393"/>
    </row>
    <row r="27" spans="1:23" ht="8.15" customHeight="1">
      <c r="D27" s="61"/>
      <c r="E27" s="62" t="s">
        <v>197</v>
      </c>
      <c r="F27" s="62" t="s">
        <v>198</v>
      </c>
      <c r="G27" s="63"/>
      <c r="H27" s="63"/>
      <c r="L27" s="63"/>
      <c r="M27" s="62"/>
      <c r="N27" s="62" t="s">
        <v>199</v>
      </c>
      <c r="O27" s="61" t="s">
        <v>200</v>
      </c>
    </row>
    <row r="28" spans="1:23" ht="8.15" customHeight="1">
      <c r="D28" s="61" t="str">
        <f>A6</f>
        <v>Leden</v>
      </c>
      <c r="E28" s="62">
        <f>B6</f>
        <v>463.02032292276868</v>
      </c>
      <c r="F28" s="62">
        <f>C6*-1</f>
        <v>-20.941328995270386</v>
      </c>
      <c r="G28" s="63"/>
      <c r="L28" s="63"/>
      <c r="M28" s="62" t="str">
        <f>A6</f>
        <v>Leden</v>
      </c>
      <c r="N28" s="62">
        <f>E6</f>
        <v>596.49069199999997</v>
      </c>
      <c r="O28" s="62">
        <f>F6*-1</f>
        <v>-1.8698680000000001</v>
      </c>
    </row>
    <row r="29" spans="1:23" ht="8.15" customHeight="1">
      <c r="D29" s="61" t="str">
        <f t="shared" ref="D29:D39" si="14">A7</f>
        <v>Únor</v>
      </c>
      <c r="E29" s="62">
        <f t="shared" ref="E29:E39" si="15">B7</f>
        <v>557.94659742511897</v>
      </c>
      <c r="F29" s="62">
        <f t="shared" ref="F29:F39" si="16">C7*-1</f>
        <v>-0.11417086195799998</v>
      </c>
      <c r="G29" s="63"/>
      <c r="L29" s="63"/>
      <c r="M29" s="62" t="str">
        <f t="shared" ref="M29:M39" si="17">A7</f>
        <v>Únor</v>
      </c>
      <c r="N29" s="62">
        <f t="shared" ref="N29:N39" si="18">E7</f>
        <v>151.33870099999996</v>
      </c>
      <c r="O29" s="62">
        <f t="shared" ref="O29:O39" si="19">F7*-1</f>
        <v>-11.740470000000002</v>
      </c>
    </row>
    <row r="30" spans="1:23" ht="8.15" customHeight="1">
      <c r="D30" s="61" t="str">
        <f t="shared" si="14"/>
        <v>Březen</v>
      </c>
      <c r="E30" s="62">
        <f t="shared" si="15"/>
        <v>337.52630422264463</v>
      </c>
      <c r="F30" s="62">
        <f t="shared" si="16"/>
        <v>-3.5326223853076072E-2</v>
      </c>
      <c r="G30" s="63"/>
      <c r="L30" s="63"/>
      <c r="M30" s="62" t="str">
        <f t="shared" si="17"/>
        <v>Březen</v>
      </c>
      <c r="N30" s="62">
        <f t="shared" si="18"/>
        <v>324.18707200000006</v>
      </c>
      <c r="O30" s="62">
        <f t="shared" si="19"/>
        <v>-8.933484</v>
      </c>
    </row>
    <row r="31" spans="1:23" ht="8.15" customHeight="1">
      <c r="D31" s="61" t="str">
        <f t="shared" si="14"/>
        <v>Duben</v>
      </c>
      <c r="E31" s="62">
        <f t="shared" si="15"/>
        <v>0</v>
      </c>
      <c r="F31" s="62">
        <f t="shared" si="16"/>
        <v>0</v>
      </c>
      <c r="G31" s="63"/>
      <c r="L31" s="63"/>
      <c r="M31" s="62" t="str">
        <f t="shared" si="17"/>
        <v>Duben</v>
      </c>
      <c r="N31" s="62">
        <f t="shared" si="18"/>
        <v>0</v>
      </c>
      <c r="O31" s="62">
        <f t="shared" si="19"/>
        <v>0</v>
      </c>
    </row>
    <row r="32" spans="1:23" ht="8.15" customHeight="1">
      <c r="D32" s="61" t="str">
        <f t="shared" si="14"/>
        <v>Květen</v>
      </c>
      <c r="E32" s="62">
        <f t="shared" si="15"/>
        <v>0</v>
      </c>
      <c r="F32" s="62">
        <f t="shared" si="16"/>
        <v>0</v>
      </c>
      <c r="G32" s="63"/>
      <c r="L32" s="63"/>
      <c r="M32" s="62" t="str">
        <f t="shared" si="17"/>
        <v>Květen</v>
      </c>
      <c r="N32" s="62">
        <f t="shared" si="18"/>
        <v>0</v>
      </c>
      <c r="O32" s="62">
        <f t="shared" si="19"/>
        <v>0</v>
      </c>
    </row>
    <row r="33" spans="4:15" ht="8.15" customHeight="1">
      <c r="D33" s="61" t="str">
        <f t="shared" si="14"/>
        <v>Červen</v>
      </c>
      <c r="E33" s="62">
        <f t="shared" si="15"/>
        <v>0</v>
      </c>
      <c r="F33" s="62">
        <f t="shared" si="16"/>
        <v>0</v>
      </c>
      <c r="G33" s="63"/>
      <c r="L33" s="63"/>
      <c r="M33" s="62" t="str">
        <f t="shared" si="17"/>
        <v>Červen</v>
      </c>
      <c r="N33" s="62">
        <f t="shared" si="18"/>
        <v>0</v>
      </c>
      <c r="O33" s="62">
        <f t="shared" si="19"/>
        <v>0</v>
      </c>
    </row>
    <row r="34" spans="4:15" ht="8.15" customHeight="1">
      <c r="D34" s="61" t="str">
        <f t="shared" si="14"/>
        <v>Červenec</v>
      </c>
      <c r="E34" s="62">
        <f t="shared" si="15"/>
        <v>0</v>
      </c>
      <c r="F34" s="62">
        <f t="shared" si="16"/>
        <v>0</v>
      </c>
      <c r="G34" s="63"/>
      <c r="L34" s="63"/>
      <c r="M34" s="62" t="str">
        <f t="shared" si="17"/>
        <v>Červenec</v>
      </c>
      <c r="N34" s="62">
        <f t="shared" si="18"/>
        <v>0</v>
      </c>
      <c r="O34" s="62">
        <f t="shared" si="19"/>
        <v>0</v>
      </c>
    </row>
    <row r="35" spans="4:15" ht="8.15" customHeight="1">
      <c r="D35" s="61" t="str">
        <f t="shared" si="14"/>
        <v>Srpen</v>
      </c>
      <c r="E35" s="62">
        <f t="shared" si="15"/>
        <v>0</v>
      </c>
      <c r="F35" s="62">
        <f t="shared" si="16"/>
        <v>0</v>
      </c>
      <c r="G35" s="63"/>
      <c r="L35" s="63"/>
      <c r="M35" s="62" t="str">
        <f t="shared" si="17"/>
        <v>Srpen</v>
      </c>
      <c r="N35" s="62">
        <f t="shared" si="18"/>
        <v>0</v>
      </c>
      <c r="O35" s="62">
        <f t="shared" si="19"/>
        <v>0</v>
      </c>
    </row>
    <row r="36" spans="4:15" ht="8.15" customHeight="1">
      <c r="D36" s="61" t="str">
        <f t="shared" si="14"/>
        <v>Září</v>
      </c>
      <c r="E36" s="62">
        <f t="shared" si="15"/>
        <v>0</v>
      </c>
      <c r="F36" s="62">
        <f t="shared" si="16"/>
        <v>0</v>
      </c>
      <c r="G36" s="63"/>
      <c r="L36" s="63"/>
      <c r="M36" s="62" t="str">
        <f t="shared" si="17"/>
        <v>Září</v>
      </c>
      <c r="N36" s="62">
        <f t="shared" si="18"/>
        <v>0</v>
      </c>
      <c r="O36" s="62">
        <f t="shared" si="19"/>
        <v>0</v>
      </c>
    </row>
    <row r="37" spans="4:15" ht="8.15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5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5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zoomScaleNormal="100" zoomScaleSheetLayoutView="100" workbookViewId="0">
      <selection activeCell="E1" sqref="E1"/>
    </sheetView>
  </sheetViews>
  <sheetFormatPr defaultRowHeight="10"/>
  <cols>
    <col min="1" max="1" width="8.1796875" style="12" customWidth="1"/>
    <col min="2" max="3" width="7.7265625" style="12" customWidth="1"/>
    <col min="4" max="4" width="7.26953125" style="12" customWidth="1"/>
    <col min="5" max="6" width="7.7265625" style="12" customWidth="1"/>
    <col min="7" max="7" width="7.453125" style="12" customWidth="1"/>
    <col min="8" max="8" width="9.1796875" style="12" customWidth="1"/>
    <col min="9" max="12" width="7.7265625" style="12" customWidth="1"/>
    <col min="13" max="13" width="9" style="12" customWidth="1"/>
    <col min="14" max="18" width="4.7265625" style="12" customWidth="1"/>
    <col min="19" max="20" width="6.7265625" style="12" customWidth="1"/>
    <col min="21" max="259" width="9.1796875" style="12"/>
    <col min="260" max="272" width="10.7265625" style="12" customWidth="1"/>
    <col min="273" max="515" width="9.1796875" style="12"/>
    <col min="516" max="528" width="10.7265625" style="12" customWidth="1"/>
    <col min="529" max="771" width="9.1796875" style="12"/>
    <col min="772" max="784" width="10.7265625" style="12" customWidth="1"/>
    <col min="785" max="1027" width="9.1796875" style="12"/>
    <col min="1028" max="1040" width="10.7265625" style="12" customWidth="1"/>
    <col min="1041" max="1283" width="9.1796875" style="12"/>
    <col min="1284" max="1296" width="10.7265625" style="12" customWidth="1"/>
    <col min="1297" max="1539" width="9.1796875" style="12"/>
    <col min="1540" max="1552" width="10.7265625" style="12" customWidth="1"/>
    <col min="1553" max="1795" width="9.1796875" style="12"/>
    <col min="1796" max="1808" width="10.7265625" style="12" customWidth="1"/>
    <col min="1809" max="2051" width="9.1796875" style="12"/>
    <col min="2052" max="2064" width="10.7265625" style="12" customWidth="1"/>
    <col min="2065" max="2307" width="9.1796875" style="12"/>
    <col min="2308" max="2320" width="10.7265625" style="12" customWidth="1"/>
    <col min="2321" max="2563" width="9.1796875" style="12"/>
    <col min="2564" max="2576" width="10.7265625" style="12" customWidth="1"/>
    <col min="2577" max="2819" width="9.1796875" style="12"/>
    <col min="2820" max="2832" width="10.7265625" style="12" customWidth="1"/>
    <col min="2833" max="3075" width="9.1796875" style="12"/>
    <col min="3076" max="3088" width="10.7265625" style="12" customWidth="1"/>
    <col min="3089" max="3331" width="9.1796875" style="12"/>
    <col min="3332" max="3344" width="10.7265625" style="12" customWidth="1"/>
    <col min="3345" max="3587" width="9.1796875" style="12"/>
    <col min="3588" max="3600" width="10.7265625" style="12" customWidth="1"/>
    <col min="3601" max="3843" width="9.1796875" style="12"/>
    <col min="3844" max="3856" width="10.7265625" style="12" customWidth="1"/>
    <col min="3857" max="4099" width="9.1796875" style="12"/>
    <col min="4100" max="4112" width="10.7265625" style="12" customWidth="1"/>
    <col min="4113" max="4355" width="9.1796875" style="12"/>
    <col min="4356" max="4368" width="10.7265625" style="12" customWidth="1"/>
    <col min="4369" max="4611" width="9.1796875" style="12"/>
    <col min="4612" max="4624" width="10.7265625" style="12" customWidth="1"/>
    <col min="4625" max="4867" width="9.1796875" style="12"/>
    <col min="4868" max="4880" width="10.7265625" style="12" customWidth="1"/>
    <col min="4881" max="5123" width="9.1796875" style="12"/>
    <col min="5124" max="5136" width="10.7265625" style="12" customWidth="1"/>
    <col min="5137" max="5379" width="9.1796875" style="12"/>
    <col min="5380" max="5392" width="10.7265625" style="12" customWidth="1"/>
    <col min="5393" max="5635" width="9.1796875" style="12"/>
    <col min="5636" max="5648" width="10.7265625" style="12" customWidth="1"/>
    <col min="5649" max="5891" width="9.1796875" style="12"/>
    <col min="5892" max="5904" width="10.7265625" style="12" customWidth="1"/>
    <col min="5905" max="6147" width="9.1796875" style="12"/>
    <col min="6148" max="6160" width="10.7265625" style="12" customWidth="1"/>
    <col min="6161" max="6403" width="9.1796875" style="12"/>
    <col min="6404" max="6416" width="10.7265625" style="12" customWidth="1"/>
    <col min="6417" max="6659" width="9.1796875" style="12"/>
    <col min="6660" max="6672" width="10.7265625" style="12" customWidth="1"/>
    <col min="6673" max="6915" width="9.1796875" style="12"/>
    <col min="6916" max="6928" width="10.7265625" style="12" customWidth="1"/>
    <col min="6929" max="7171" width="9.1796875" style="12"/>
    <col min="7172" max="7184" width="10.7265625" style="12" customWidth="1"/>
    <col min="7185" max="7427" width="9.1796875" style="12"/>
    <col min="7428" max="7440" width="10.7265625" style="12" customWidth="1"/>
    <col min="7441" max="7683" width="9.1796875" style="12"/>
    <col min="7684" max="7696" width="10.7265625" style="12" customWidth="1"/>
    <col min="7697" max="7939" width="9.1796875" style="12"/>
    <col min="7940" max="7952" width="10.7265625" style="12" customWidth="1"/>
    <col min="7953" max="8195" width="9.1796875" style="12"/>
    <col min="8196" max="8208" width="10.7265625" style="12" customWidth="1"/>
    <col min="8209" max="8451" width="9.1796875" style="12"/>
    <col min="8452" max="8464" width="10.7265625" style="12" customWidth="1"/>
    <col min="8465" max="8707" width="9.1796875" style="12"/>
    <col min="8708" max="8720" width="10.7265625" style="12" customWidth="1"/>
    <col min="8721" max="8963" width="9.1796875" style="12"/>
    <col min="8964" max="8976" width="10.7265625" style="12" customWidth="1"/>
    <col min="8977" max="9219" width="9.1796875" style="12"/>
    <col min="9220" max="9232" width="10.7265625" style="12" customWidth="1"/>
    <col min="9233" max="9475" width="9.1796875" style="12"/>
    <col min="9476" max="9488" width="10.7265625" style="12" customWidth="1"/>
    <col min="9489" max="9731" width="9.1796875" style="12"/>
    <col min="9732" max="9744" width="10.7265625" style="12" customWidth="1"/>
    <col min="9745" max="9987" width="9.1796875" style="12"/>
    <col min="9988" max="10000" width="10.7265625" style="12" customWidth="1"/>
    <col min="10001" max="10243" width="9.1796875" style="12"/>
    <col min="10244" max="10256" width="10.7265625" style="12" customWidth="1"/>
    <col min="10257" max="10499" width="9.1796875" style="12"/>
    <col min="10500" max="10512" width="10.7265625" style="12" customWidth="1"/>
    <col min="10513" max="10755" width="9.1796875" style="12"/>
    <col min="10756" max="10768" width="10.7265625" style="12" customWidth="1"/>
    <col min="10769" max="11011" width="9.1796875" style="12"/>
    <col min="11012" max="11024" width="10.7265625" style="12" customWidth="1"/>
    <col min="11025" max="11267" width="9.1796875" style="12"/>
    <col min="11268" max="11280" width="10.7265625" style="12" customWidth="1"/>
    <col min="11281" max="11523" width="9.1796875" style="12"/>
    <col min="11524" max="11536" width="10.7265625" style="12" customWidth="1"/>
    <col min="11537" max="11779" width="9.1796875" style="12"/>
    <col min="11780" max="11792" width="10.7265625" style="12" customWidth="1"/>
    <col min="11793" max="12035" width="9.1796875" style="12"/>
    <col min="12036" max="12048" width="10.7265625" style="12" customWidth="1"/>
    <col min="12049" max="12291" width="9.1796875" style="12"/>
    <col min="12292" max="12304" width="10.7265625" style="12" customWidth="1"/>
    <col min="12305" max="12547" width="9.1796875" style="12"/>
    <col min="12548" max="12560" width="10.7265625" style="12" customWidth="1"/>
    <col min="12561" max="12803" width="9.1796875" style="12"/>
    <col min="12804" max="12816" width="10.7265625" style="12" customWidth="1"/>
    <col min="12817" max="13059" width="9.1796875" style="12"/>
    <col min="13060" max="13072" width="10.7265625" style="12" customWidth="1"/>
    <col min="13073" max="13315" width="9.1796875" style="12"/>
    <col min="13316" max="13328" width="10.7265625" style="12" customWidth="1"/>
    <col min="13329" max="13571" width="9.1796875" style="12"/>
    <col min="13572" max="13584" width="10.7265625" style="12" customWidth="1"/>
    <col min="13585" max="13827" width="9.1796875" style="12"/>
    <col min="13828" max="13840" width="10.7265625" style="12" customWidth="1"/>
    <col min="13841" max="14083" width="9.1796875" style="12"/>
    <col min="14084" max="14096" width="10.7265625" style="12" customWidth="1"/>
    <col min="14097" max="14339" width="9.1796875" style="12"/>
    <col min="14340" max="14352" width="10.7265625" style="12" customWidth="1"/>
    <col min="14353" max="14595" width="9.1796875" style="12"/>
    <col min="14596" max="14608" width="10.7265625" style="12" customWidth="1"/>
    <col min="14609" max="14851" width="9.1796875" style="12"/>
    <col min="14852" max="14864" width="10.7265625" style="12" customWidth="1"/>
    <col min="14865" max="15107" width="9.1796875" style="12"/>
    <col min="15108" max="15120" width="10.7265625" style="12" customWidth="1"/>
    <col min="15121" max="15363" width="9.1796875" style="12"/>
    <col min="15364" max="15376" width="10.7265625" style="12" customWidth="1"/>
    <col min="15377" max="15619" width="9.1796875" style="12"/>
    <col min="15620" max="15632" width="10.7265625" style="12" customWidth="1"/>
    <col min="15633" max="15875" width="9.1796875" style="12"/>
    <col min="15876" max="15888" width="10.7265625" style="12" customWidth="1"/>
    <col min="15889" max="16131" width="9.1796875" style="12"/>
    <col min="16132" max="16144" width="10.7265625" style="12" customWidth="1"/>
    <col min="16145" max="16384" width="9.1796875" style="12"/>
  </cols>
  <sheetData>
    <row r="1" spans="1:22" ht="20">
      <c r="A1" s="69" t="s">
        <v>286</v>
      </c>
    </row>
    <row r="2" spans="1:22" ht="18">
      <c r="A2" s="373" t="s">
        <v>292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6"/>
      <c r="B3" s="207"/>
      <c r="C3" s="207"/>
      <c r="D3" s="207"/>
      <c r="E3" s="207"/>
      <c r="F3" s="207"/>
      <c r="G3" s="207"/>
      <c r="H3" s="207"/>
      <c r="I3" s="207"/>
      <c r="J3" s="207"/>
      <c r="K3" s="208"/>
      <c r="L3" s="207"/>
      <c r="M3" s="207"/>
      <c r="N3" s="207"/>
      <c r="O3" s="207"/>
      <c r="P3" s="207"/>
      <c r="Q3" s="207"/>
      <c r="R3" s="207"/>
    </row>
    <row r="4" spans="1:22" ht="16" customHeight="1">
      <c r="A4" s="205">
        <f>'3.1'!A4</f>
        <v>2024</v>
      </c>
      <c r="B4" s="467" t="s">
        <v>258</v>
      </c>
      <c r="C4" s="470"/>
      <c r="D4" s="470"/>
      <c r="E4" s="470"/>
      <c r="F4" s="470"/>
      <c r="G4" s="470"/>
      <c r="H4" s="469"/>
      <c r="I4" s="467" t="s">
        <v>216</v>
      </c>
      <c r="J4" s="470"/>
      <c r="K4" s="470"/>
      <c r="L4" s="470"/>
      <c r="M4" s="470"/>
      <c r="N4" s="467" t="s">
        <v>228</v>
      </c>
      <c r="O4" s="470"/>
      <c r="P4" s="470"/>
      <c r="Q4" s="470"/>
      <c r="R4" s="469"/>
      <c r="S4" s="228" t="s">
        <v>258</v>
      </c>
      <c r="T4" s="228" t="s">
        <v>216</v>
      </c>
    </row>
    <row r="5" spans="1:22" ht="36.75" customHeight="1">
      <c r="A5" s="217"/>
      <c r="B5" s="471" t="s">
        <v>155</v>
      </c>
      <c r="C5" s="464"/>
      <c r="D5" s="464"/>
      <c r="E5" s="464" t="s">
        <v>156</v>
      </c>
      <c r="F5" s="464"/>
      <c r="G5" s="464"/>
      <c r="H5" s="197" t="s">
        <v>153</v>
      </c>
      <c r="I5" s="471" t="s">
        <v>155</v>
      </c>
      <c r="J5" s="464"/>
      <c r="K5" s="464" t="s">
        <v>156</v>
      </c>
      <c r="L5" s="464"/>
      <c r="M5" s="196" t="s">
        <v>153</v>
      </c>
      <c r="N5" s="471" t="s">
        <v>261</v>
      </c>
      <c r="O5" s="464"/>
      <c r="P5" s="464"/>
      <c r="Q5" s="464"/>
      <c r="R5" s="466"/>
      <c r="S5" s="463" t="s">
        <v>154</v>
      </c>
      <c r="T5" s="463"/>
    </row>
    <row r="6" spans="1:22" ht="44.25" customHeight="1">
      <c r="A6" s="224"/>
      <c r="B6" s="231">
        <f>A4</f>
        <v>2024</v>
      </c>
      <c r="C6" s="232">
        <f>B6-1</f>
        <v>2023</v>
      </c>
      <c r="D6" s="194" t="s">
        <v>262</v>
      </c>
      <c r="E6" s="232">
        <f>B6</f>
        <v>2024</v>
      </c>
      <c r="F6" s="232">
        <f>C6</f>
        <v>2023</v>
      </c>
      <c r="G6" s="194" t="s">
        <v>263</v>
      </c>
      <c r="H6" s="233">
        <f>B6</f>
        <v>2024</v>
      </c>
      <c r="I6" s="231">
        <f>B6</f>
        <v>2024</v>
      </c>
      <c r="J6" s="232">
        <f>C6</f>
        <v>2023</v>
      </c>
      <c r="K6" s="232">
        <f>B6</f>
        <v>2024</v>
      </c>
      <c r="L6" s="232">
        <f>C6</f>
        <v>2023</v>
      </c>
      <c r="M6" s="232">
        <f>B6</f>
        <v>2024</v>
      </c>
      <c r="N6" s="225" t="s">
        <v>62</v>
      </c>
      <c r="O6" s="226" t="s">
        <v>173</v>
      </c>
      <c r="P6" s="226" t="s">
        <v>174</v>
      </c>
      <c r="Q6" s="226" t="s">
        <v>114</v>
      </c>
      <c r="R6" s="227" t="s">
        <v>116</v>
      </c>
      <c r="S6" s="464"/>
      <c r="T6" s="464"/>
    </row>
    <row r="7" spans="1:22" ht="12" customHeight="1">
      <c r="A7" s="176" t="s">
        <v>160</v>
      </c>
      <c r="B7" s="183">
        <v>1051.7952206812033</v>
      </c>
      <c r="C7" s="177">
        <v>891.77987089563828</v>
      </c>
      <c r="D7" s="211">
        <v>0.17943368650478436</v>
      </c>
      <c r="E7" s="178">
        <v>1084.902433081342</v>
      </c>
      <c r="F7" s="178">
        <v>1018.2711816603346</v>
      </c>
      <c r="G7" s="211">
        <v>6.5435664507722091E-2</v>
      </c>
      <c r="H7" s="185">
        <v>1010</v>
      </c>
      <c r="I7" s="189">
        <v>11462.156219664001</v>
      </c>
      <c r="J7" s="178">
        <v>9714.563236209995</v>
      </c>
      <c r="K7" s="178">
        <v>11822.94892252703</v>
      </c>
      <c r="L7" s="177">
        <v>11092.490544684235</v>
      </c>
      <c r="M7" s="177">
        <v>11010</v>
      </c>
      <c r="N7" s="183">
        <v>-0.33870967741935487</v>
      </c>
      <c r="O7" s="177">
        <v>7.8</v>
      </c>
      <c r="P7" s="177">
        <v>-9.6</v>
      </c>
      <c r="Q7" s="177">
        <v>-1.2258064516129035</v>
      </c>
      <c r="R7" s="187">
        <v>0.8870967741935486</v>
      </c>
      <c r="S7" s="209">
        <v>62.514759106650565</v>
      </c>
      <c r="T7" s="209">
        <v>681.00186999999983</v>
      </c>
      <c r="U7" s="57"/>
      <c r="V7" s="68"/>
    </row>
    <row r="8" spans="1:22" ht="12" customHeight="1">
      <c r="A8" s="176" t="s">
        <v>161</v>
      </c>
      <c r="B8" s="183">
        <v>707.88728525791282</v>
      </c>
      <c r="C8" s="178">
        <v>860.76740305537987</v>
      </c>
      <c r="D8" s="211">
        <v>-0.17760909306602898</v>
      </c>
      <c r="E8" s="178">
        <v>880.8213424271529</v>
      </c>
      <c r="F8" s="178">
        <v>905.06624105235687</v>
      </c>
      <c r="G8" s="211">
        <v>-2.678798249840084E-2</v>
      </c>
      <c r="H8" s="185">
        <v>890</v>
      </c>
      <c r="I8" s="189">
        <v>7710.509711366999</v>
      </c>
      <c r="J8" s="178">
        <v>9341.3894159989995</v>
      </c>
      <c r="K8" s="178">
        <v>9594.1566633583807</v>
      </c>
      <c r="L8" s="177">
        <v>9822.1379840060417</v>
      </c>
      <c r="M8" s="177">
        <v>9700</v>
      </c>
      <c r="N8" s="189">
        <v>5.8928571428571415</v>
      </c>
      <c r="O8" s="178">
        <v>8.6</v>
      </c>
      <c r="P8" s="178">
        <v>2.8</v>
      </c>
      <c r="Q8" s="178">
        <v>-0.15517241379310354</v>
      </c>
      <c r="R8" s="187">
        <v>6.0480295566502447</v>
      </c>
      <c r="S8" s="209">
        <v>35.787999354436337</v>
      </c>
      <c r="T8" s="209">
        <v>388.38558799999953</v>
      </c>
      <c r="U8" s="57"/>
      <c r="V8" s="68"/>
    </row>
    <row r="9" spans="1:22" ht="12" customHeight="1">
      <c r="A9" s="179" t="s">
        <v>162</v>
      </c>
      <c r="B9" s="184">
        <v>654.93987099440471</v>
      </c>
      <c r="C9" s="181">
        <v>769.26811951702939</v>
      </c>
      <c r="D9" s="214">
        <v>-0.14861950680395222</v>
      </c>
      <c r="E9" s="181">
        <v>785.87253041470785</v>
      </c>
      <c r="F9" s="181">
        <v>813.43576392756404</v>
      </c>
      <c r="G9" s="214">
        <v>-3.3884954086320057E-2</v>
      </c>
      <c r="H9" s="186">
        <v>800</v>
      </c>
      <c r="I9" s="190">
        <v>7124.4360091459994</v>
      </c>
      <c r="J9" s="181">
        <v>8340.019322711998</v>
      </c>
      <c r="K9" s="181">
        <v>8548.7214968060198</v>
      </c>
      <c r="L9" s="180">
        <v>8818.8627824589057</v>
      </c>
      <c r="M9" s="188">
        <v>8720</v>
      </c>
      <c r="N9" s="190">
        <v>7.2451612903225797</v>
      </c>
      <c r="O9" s="181">
        <v>14.6</v>
      </c>
      <c r="P9" s="181">
        <v>2.2000000000000002</v>
      </c>
      <c r="Q9" s="181">
        <v>3.512903225806451</v>
      </c>
      <c r="R9" s="188">
        <v>3.7322580645161287</v>
      </c>
      <c r="S9" s="215">
        <v>42.330376839932882</v>
      </c>
      <c r="T9" s="215">
        <v>458.92476799999969</v>
      </c>
      <c r="U9" s="57"/>
      <c r="V9" s="68"/>
    </row>
    <row r="10" spans="1:22" ht="12" customHeight="1">
      <c r="A10" s="176" t="s">
        <v>163</v>
      </c>
      <c r="B10" s="183"/>
      <c r="C10" s="178">
        <v>606.43594392235718</v>
      </c>
      <c r="D10" s="405">
        <v>-9.6660842025596203E-2</v>
      </c>
      <c r="E10" s="178"/>
      <c r="F10" s="178">
        <v>542.12712609056382</v>
      </c>
      <c r="G10" s="211"/>
      <c r="H10" s="185">
        <v>530</v>
      </c>
      <c r="I10" s="189"/>
      <c r="J10" s="178">
        <v>6615.1744044379602</v>
      </c>
      <c r="K10" s="178"/>
      <c r="L10" s="177">
        <v>5913.6756724383122</v>
      </c>
      <c r="M10" s="177">
        <v>5770</v>
      </c>
      <c r="N10" s="183"/>
      <c r="O10" s="177"/>
      <c r="P10" s="177"/>
      <c r="Q10" s="177">
        <v>8.6366666666666667</v>
      </c>
      <c r="R10" s="187"/>
      <c r="S10" s="209"/>
      <c r="T10" s="209"/>
      <c r="U10" s="57"/>
      <c r="V10" s="68"/>
    </row>
    <row r="11" spans="1:22" ht="12" customHeight="1">
      <c r="A11" s="176" t="s">
        <v>164</v>
      </c>
      <c r="B11" s="183"/>
      <c r="C11" s="178">
        <v>368.85357592765939</v>
      </c>
      <c r="D11" s="405">
        <v>-5.1537139375086215E-2</v>
      </c>
      <c r="E11" s="178"/>
      <c r="F11" s="178">
        <v>354.09291505284216</v>
      </c>
      <c r="G11" s="211"/>
      <c r="H11" s="185">
        <v>350</v>
      </c>
      <c r="I11" s="189"/>
      <c r="J11" s="178">
        <v>4038.3717193379994</v>
      </c>
      <c r="K11" s="178"/>
      <c r="L11" s="177">
        <v>3876.7654904009873</v>
      </c>
      <c r="M11" s="177">
        <v>3810</v>
      </c>
      <c r="N11" s="189"/>
      <c r="O11" s="178"/>
      <c r="P11" s="178"/>
      <c r="Q11" s="178">
        <v>13.522580645161288</v>
      </c>
      <c r="R11" s="187"/>
      <c r="S11" s="209"/>
      <c r="T11" s="209"/>
      <c r="U11" s="57"/>
      <c r="V11" s="68"/>
    </row>
    <row r="12" spans="1:22" ht="12" customHeight="1">
      <c r="A12" s="179" t="s">
        <v>165</v>
      </c>
      <c r="B12" s="184"/>
      <c r="C12" s="181">
        <v>313.95310905674575</v>
      </c>
      <c r="D12" s="409">
        <v>-6.6600524629516641E-2</v>
      </c>
      <c r="E12" s="181"/>
      <c r="F12" s="181">
        <v>316.35299234701233</v>
      </c>
      <c r="G12" s="214"/>
      <c r="H12" s="186">
        <v>310</v>
      </c>
      <c r="I12" s="190"/>
      <c r="J12" s="181">
        <v>3439.013946421001</v>
      </c>
      <c r="K12" s="181"/>
      <c r="L12" s="180">
        <v>3465.302050812787</v>
      </c>
      <c r="M12" s="188">
        <v>3380</v>
      </c>
      <c r="N12" s="190"/>
      <c r="O12" s="181"/>
      <c r="P12" s="181"/>
      <c r="Q12" s="181">
        <v>16.59</v>
      </c>
      <c r="R12" s="188"/>
      <c r="S12" s="215"/>
      <c r="T12" s="215"/>
      <c r="U12" s="66"/>
      <c r="V12" s="68"/>
    </row>
    <row r="13" spans="1:22" ht="12" customHeight="1">
      <c r="A13" s="176" t="s">
        <v>166</v>
      </c>
      <c r="B13" s="183"/>
      <c r="C13" s="178">
        <v>281.16730328742176</v>
      </c>
      <c r="D13" s="405">
        <v>-2.5638163533632425E-2</v>
      </c>
      <c r="E13" s="178"/>
      <c r="F13" s="178">
        <v>289.09069131840243</v>
      </c>
      <c r="G13" s="211"/>
      <c r="H13" s="185">
        <v>280</v>
      </c>
      <c r="I13" s="189"/>
      <c r="J13" s="178">
        <v>3081.7762799849997</v>
      </c>
      <c r="K13" s="178"/>
      <c r="L13" s="177">
        <v>3168.6217595464409</v>
      </c>
      <c r="M13" s="177">
        <v>3050</v>
      </c>
      <c r="N13" s="183"/>
      <c r="O13" s="177"/>
      <c r="P13" s="177"/>
      <c r="Q13" s="177">
        <v>18.522580645161291</v>
      </c>
      <c r="R13" s="187"/>
      <c r="S13" s="209"/>
      <c r="T13" s="209"/>
      <c r="U13" s="57"/>
      <c r="V13" s="68"/>
    </row>
    <row r="14" spans="1:22" ht="12" customHeight="1">
      <c r="A14" s="176" t="s">
        <v>167</v>
      </c>
      <c r="B14" s="183"/>
      <c r="C14" s="178">
        <v>287.6215369775108</v>
      </c>
      <c r="D14" s="405">
        <v>-7.5486574383909794E-2</v>
      </c>
      <c r="E14" s="178"/>
      <c r="F14" s="178">
        <v>290.24586152556071</v>
      </c>
      <c r="G14" s="211"/>
      <c r="H14" s="185">
        <v>290</v>
      </c>
      <c r="I14" s="189"/>
      <c r="J14" s="178">
        <v>3154.9670279710044</v>
      </c>
      <c r="K14" s="178"/>
      <c r="L14" s="177">
        <v>3183.7536672011524</v>
      </c>
      <c r="M14" s="177">
        <v>3160</v>
      </c>
      <c r="N14" s="189"/>
      <c r="O14" s="178"/>
      <c r="P14" s="178"/>
      <c r="Q14" s="178">
        <v>18.119354838709679</v>
      </c>
      <c r="R14" s="187"/>
      <c r="S14" s="209"/>
      <c r="T14" s="209"/>
      <c r="U14" s="57"/>
      <c r="V14" s="68"/>
    </row>
    <row r="15" spans="1:22" ht="12" customHeight="1">
      <c r="A15" s="179" t="s">
        <v>168</v>
      </c>
      <c r="B15" s="184"/>
      <c r="C15" s="181">
        <v>302.26857171234781</v>
      </c>
      <c r="D15" s="409">
        <v>-0.21152394695098314</v>
      </c>
      <c r="E15" s="181"/>
      <c r="F15" s="181">
        <v>352.90832533559529</v>
      </c>
      <c r="G15" s="214"/>
      <c r="H15" s="186">
        <v>340</v>
      </c>
      <c r="I15" s="190"/>
      <c r="J15" s="181">
        <v>3320.3462229230008</v>
      </c>
      <c r="K15" s="181"/>
      <c r="L15" s="180">
        <v>3876.6115128278743</v>
      </c>
      <c r="M15" s="180">
        <v>3700</v>
      </c>
      <c r="N15" s="190"/>
      <c r="O15" s="181"/>
      <c r="P15" s="181"/>
      <c r="Q15" s="181">
        <v>13.223333333333333</v>
      </c>
      <c r="R15" s="188"/>
      <c r="S15" s="215"/>
      <c r="T15" s="215"/>
      <c r="U15" s="57"/>
      <c r="V15" s="68"/>
    </row>
    <row r="16" spans="1:22" ht="12" customHeight="1">
      <c r="A16" s="176" t="s">
        <v>169</v>
      </c>
      <c r="B16" s="183"/>
      <c r="C16" s="178">
        <v>465.54145508528813</v>
      </c>
      <c r="D16" s="405">
        <v>-8.2874517934280398E-2</v>
      </c>
      <c r="E16" s="178"/>
      <c r="F16" s="178">
        <v>546.33017523016531</v>
      </c>
      <c r="G16" s="211"/>
      <c r="H16" s="185">
        <v>530</v>
      </c>
      <c r="I16" s="189"/>
      <c r="J16" s="178">
        <v>5108.6494381160001</v>
      </c>
      <c r="K16" s="178"/>
      <c r="L16" s="177">
        <v>5995.1897134575938</v>
      </c>
      <c r="M16" s="177">
        <v>5770</v>
      </c>
      <c r="N16" s="183"/>
      <c r="O16" s="177"/>
      <c r="P16" s="177"/>
      <c r="Q16" s="177">
        <v>8.3548387096774199</v>
      </c>
      <c r="R16" s="187"/>
      <c r="S16" s="209"/>
      <c r="T16" s="209"/>
      <c r="U16" s="57"/>
      <c r="V16" s="68"/>
    </row>
    <row r="17" spans="1:22" ht="12" customHeight="1">
      <c r="A17" s="176" t="s">
        <v>170</v>
      </c>
      <c r="B17" s="183"/>
      <c r="C17" s="178">
        <v>731.11426618603377</v>
      </c>
      <c r="D17" s="405">
        <v>-1.595806517078735E-2</v>
      </c>
      <c r="E17" s="178"/>
      <c r="F17" s="178">
        <v>760.54545225178458</v>
      </c>
      <c r="G17" s="211"/>
      <c r="H17" s="185">
        <v>740</v>
      </c>
      <c r="I17" s="189"/>
      <c r="J17" s="178">
        <v>7992.1156112217432</v>
      </c>
      <c r="K17" s="178"/>
      <c r="L17" s="177">
        <v>8313.840206803643</v>
      </c>
      <c r="M17" s="177">
        <v>8060</v>
      </c>
      <c r="N17" s="189"/>
      <c r="O17" s="178"/>
      <c r="P17" s="178"/>
      <c r="Q17" s="178">
        <v>3.5466666666666664</v>
      </c>
      <c r="R17" s="187"/>
      <c r="S17" s="209"/>
      <c r="T17" s="209"/>
      <c r="U17" s="57"/>
      <c r="V17" s="68"/>
    </row>
    <row r="18" spans="1:22" ht="12" customHeight="1">
      <c r="A18" s="179" t="s">
        <v>171</v>
      </c>
      <c r="B18" s="184"/>
      <c r="C18" s="181">
        <v>879.80203918057634</v>
      </c>
      <c r="D18" s="409">
        <v>-8.9380128238194897E-2</v>
      </c>
      <c r="E18" s="181"/>
      <c r="F18" s="181">
        <v>964.3109404346792</v>
      </c>
      <c r="G18" s="214"/>
      <c r="H18" s="186">
        <v>950</v>
      </c>
      <c r="I18" s="190"/>
      <c r="J18" s="181">
        <v>9596.0610667806886</v>
      </c>
      <c r="K18" s="181"/>
      <c r="L18" s="180">
        <v>10517.805437680543</v>
      </c>
      <c r="M18" s="180">
        <v>10350</v>
      </c>
      <c r="N18" s="190"/>
      <c r="O18" s="181"/>
      <c r="P18" s="181"/>
      <c r="Q18" s="181">
        <v>-0.38387096774193558</v>
      </c>
      <c r="R18" s="188"/>
      <c r="S18" s="215"/>
      <c r="T18" s="215"/>
      <c r="U18" s="57"/>
      <c r="V18" s="68"/>
    </row>
    <row r="19" spans="1:22" ht="12" customHeight="1">
      <c r="A19" s="176" t="s">
        <v>48</v>
      </c>
      <c r="B19" s="220">
        <f>SUM(B7:B9)</f>
        <v>2414.6223769335211</v>
      </c>
      <c r="C19" s="391">
        <f>SUM(C7:C9)</f>
        <v>2521.8153934680477</v>
      </c>
      <c r="D19" s="211">
        <f>(B19-C19)/C19</f>
        <v>-4.2506290037000981E-2</v>
      </c>
      <c r="E19" s="212">
        <f t="shared" ref="E19:F19" si="0">SUM(E7:E9)</f>
        <v>2751.5963059232026</v>
      </c>
      <c r="F19" s="212">
        <f t="shared" si="0"/>
        <v>2736.7731866402555</v>
      </c>
      <c r="G19" s="211">
        <f t="shared" ref="G19:G25" si="1">(E19-F19)/F19</f>
        <v>5.4162761296066416E-3</v>
      </c>
      <c r="H19" s="378">
        <f t="shared" ref="H19:M19" si="2">SUM(H7:H9)</f>
        <v>2700</v>
      </c>
      <c r="I19" s="220">
        <f>SUM(I7:I9)</f>
        <v>26297.101940176999</v>
      </c>
      <c r="J19" s="391">
        <f t="shared" si="2"/>
        <v>27395.971974920991</v>
      </c>
      <c r="K19" s="212">
        <f t="shared" si="2"/>
        <v>29965.82708269143</v>
      </c>
      <c r="L19" s="212">
        <f t="shared" si="2"/>
        <v>29733.491311149184</v>
      </c>
      <c r="M19" s="378">
        <f t="shared" si="2"/>
        <v>29430</v>
      </c>
      <c r="N19" s="220">
        <f>AVERAGE(N7:N9)</f>
        <v>4.2664362519201218</v>
      </c>
      <c r="O19" s="212">
        <f>MAX(O7:O9)</f>
        <v>14.6</v>
      </c>
      <c r="P19" s="212">
        <f>MIN(P7:P9)</f>
        <v>-9.6</v>
      </c>
      <c r="Q19" s="212">
        <f>AVERAGE(Q7:Q9)</f>
        <v>0.71064145346681462</v>
      </c>
      <c r="R19" s="223">
        <f>N19-Q19</f>
        <v>3.5557947984533071</v>
      </c>
      <c r="S19" s="212">
        <f>SUM(S7:S9)</f>
        <v>140.63313530101979</v>
      </c>
      <c r="T19" s="212">
        <f>SUM(T7:T9)</f>
        <v>1528.3122259999989</v>
      </c>
      <c r="U19" s="63"/>
      <c r="V19" s="68"/>
    </row>
    <row r="20" spans="1:22" ht="12" customHeight="1">
      <c r="A20" s="176" t="s">
        <v>56</v>
      </c>
      <c r="B20" s="403">
        <f>SUM(B10:B12)</f>
        <v>0</v>
      </c>
      <c r="C20" s="212">
        <f>SUM(C10:C12)</f>
        <v>1289.2426289067623</v>
      </c>
      <c r="D20" s="405">
        <f>(B20-C20)/C20</f>
        <v>-1</v>
      </c>
      <c r="E20" s="404">
        <f t="shared" ref="E20:I20" si="3">SUM(E10:E12)</f>
        <v>0</v>
      </c>
      <c r="F20" s="212">
        <f t="shared" ref="F20" si="4">SUM(F10:F12)</f>
        <v>1212.5730334904183</v>
      </c>
      <c r="G20" s="405">
        <f>(E20-F20)/F20</f>
        <v>-1</v>
      </c>
      <c r="H20" s="223">
        <f>SUM(H10:H12)</f>
        <v>1190</v>
      </c>
      <c r="I20" s="403">
        <f t="shared" si="3"/>
        <v>0</v>
      </c>
      <c r="J20" s="212">
        <f t="shared" ref="J20" si="5">SUM(J10:J12)</f>
        <v>14092.56007019696</v>
      </c>
      <c r="K20" s="404">
        <f>SUM(K10:K12)</f>
        <v>0</v>
      </c>
      <c r="L20" s="212">
        <f>SUM(L10:L12)</f>
        <v>13255.743213652086</v>
      </c>
      <c r="M20" s="223">
        <f>SUM(M10:M12)</f>
        <v>12960</v>
      </c>
      <c r="N20" s="403" t="e">
        <f>AVERAGE(N10:N12)</f>
        <v>#DIV/0!</v>
      </c>
      <c r="O20" s="404">
        <f>MAX(O10:O12)</f>
        <v>0</v>
      </c>
      <c r="P20" s="404">
        <f>MIN(P10:P12)</f>
        <v>0</v>
      </c>
      <c r="Q20" s="212">
        <f>AVERAGE(Q10:Q12)</f>
        <v>12.916415770609319</v>
      </c>
      <c r="R20" s="406" t="e">
        <f t="shared" ref="R20:R25" si="6">N20-Q20</f>
        <v>#DIV/0!</v>
      </c>
      <c r="S20" s="404">
        <f>SUM(S10:S12)</f>
        <v>0</v>
      </c>
      <c r="T20" s="404">
        <f>SUM(T10:T12)</f>
        <v>0</v>
      </c>
      <c r="V20" s="68"/>
    </row>
    <row r="21" spans="1:22" ht="12" customHeight="1">
      <c r="A21" s="176" t="s">
        <v>63</v>
      </c>
      <c r="B21" s="403">
        <f>SUM(B13:B15)</f>
        <v>0</v>
      </c>
      <c r="C21" s="212">
        <f>SUM(C13:C15)</f>
        <v>871.05741197728037</v>
      </c>
      <c r="D21" s="405">
        <f t="shared" ref="D21:D25" si="7">(B21-C21)/C21</f>
        <v>-1</v>
      </c>
      <c r="E21" s="404">
        <f t="shared" ref="E21:K21" si="8">SUM(E13:E15)</f>
        <v>0</v>
      </c>
      <c r="F21" s="212">
        <f t="shared" ref="F21" si="9">SUM(F13:F15)</f>
        <v>932.24487817955833</v>
      </c>
      <c r="G21" s="405">
        <f t="shared" si="1"/>
        <v>-1</v>
      </c>
      <c r="H21" s="223">
        <f>SUM(H13:H15)</f>
        <v>910</v>
      </c>
      <c r="I21" s="403">
        <f t="shared" si="8"/>
        <v>0</v>
      </c>
      <c r="J21" s="212">
        <f t="shared" ref="J21" si="10">SUM(J13:J15)</f>
        <v>9557.0895308790059</v>
      </c>
      <c r="K21" s="404">
        <f t="shared" si="8"/>
        <v>0</v>
      </c>
      <c r="L21" s="212">
        <f t="shared" ref="L21" si="11">SUM(L13:L15)</f>
        <v>10228.986939575469</v>
      </c>
      <c r="M21" s="223">
        <f>SUM(M13:M15)</f>
        <v>9910</v>
      </c>
      <c r="N21" s="403" t="e">
        <f>AVERAGE(N13:N15)</f>
        <v>#DIV/0!</v>
      </c>
      <c r="O21" s="404">
        <f>MAX(O13:O15)</f>
        <v>0</v>
      </c>
      <c r="P21" s="404">
        <f>MIN(P13:P15)</f>
        <v>0</v>
      </c>
      <c r="Q21" s="212">
        <f>AVERAGE(Q13:Q15)</f>
        <v>16.621756272401431</v>
      </c>
      <c r="R21" s="406" t="e">
        <f>N21-Q21</f>
        <v>#DIV/0!</v>
      </c>
      <c r="S21" s="404">
        <f t="shared" ref="S21:T21" si="12">SUM(S13:S15)</f>
        <v>0</v>
      </c>
      <c r="T21" s="404">
        <f t="shared" si="12"/>
        <v>0</v>
      </c>
      <c r="V21" s="68"/>
    </row>
    <row r="22" spans="1:22" ht="12" customHeight="1">
      <c r="A22" s="179" t="s">
        <v>57</v>
      </c>
      <c r="B22" s="407">
        <f>SUM(B16:B18)</f>
        <v>0</v>
      </c>
      <c r="C22" s="388">
        <f>SUM(C16:C18)</f>
        <v>2076.4577604518981</v>
      </c>
      <c r="D22" s="409">
        <f t="shared" si="7"/>
        <v>-1</v>
      </c>
      <c r="E22" s="408">
        <f t="shared" ref="E22:K22" si="13">SUM(E16:E18)</f>
        <v>0</v>
      </c>
      <c r="F22" s="388">
        <f t="shared" ref="F22" si="14">SUM(F16:F18)</f>
        <v>2271.186567916629</v>
      </c>
      <c r="G22" s="409">
        <f t="shared" si="1"/>
        <v>-1</v>
      </c>
      <c r="H22" s="386">
        <f>SUM(H16:H18)</f>
        <v>2220</v>
      </c>
      <c r="I22" s="407">
        <f t="shared" si="13"/>
        <v>0</v>
      </c>
      <c r="J22" s="388">
        <f t="shared" ref="J22" si="15">SUM(J16:J18)</f>
        <v>22696.826116118435</v>
      </c>
      <c r="K22" s="408">
        <f t="shared" si="13"/>
        <v>0</v>
      </c>
      <c r="L22" s="388">
        <f t="shared" ref="L22" si="16">SUM(L16:L18)</f>
        <v>24826.835357941782</v>
      </c>
      <c r="M22" s="386">
        <f>SUM(M16:M18)</f>
        <v>24180</v>
      </c>
      <c r="N22" s="407" t="e">
        <f>AVERAGE(N16:N18)</f>
        <v>#DIV/0!</v>
      </c>
      <c r="O22" s="408">
        <f>MAX(O16:O18)</f>
        <v>0</v>
      </c>
      <c r="P22" s="408">
        <f>MIN(P16:P18)</f>
        <v>0</v>
      </c>
      <c r="Q22" s="388">
        <f>AVERAGE(Q16:Q18)</f>
        <v>3.83921146953405</v>
      </c>
      <c r="R22" s="410" t="e">
        <f t="shared" si="6"/>
        <v>#DIV/0!</v>
      </c>
      <c r="S22" s="408">
        <f t="shared" ref="S22:T22" si="17">SUM(S16:S18)</f>
        <v>0</v>
      </c>
      <c r="T22" s="408">
        <f t="shared" si="17"/>
        <v>0</v>
      </c>
      <c r="V22" s="68"/>
    </row>
    <row r="23" spans="1:22" ht="12" customHeight="1">
      <c r="A23" s="176" t="s">
        <v>58</v>
      </c>
      <c r="B23" s="403">
        <f>SUM(B7:B12)</f>
        <v>2414.6223769335211</v>
      </c>
      <c r="C23" s="212">
        <f>SUM(C7:C12)</f>
        <v>3811.0580223748098</v>
      </c>
      <c r="D23" s="405">
        <f t="shared" si="7"/>
        <v>-0.36641678957464902</v>
      </c>
      <c r="E23" s="404">
        <f>SUM(E7:E12)</f>
        <v>2751.5963059232026</v>
      </c>
      <c r="F23" s="212">
        <f>SUM(F7:F12)</f>
        <v>3949.3462201306738</v>
      </c>
      <c r="G23" s="405">
        <f>(E23-F23)/F23</f>
        <v>-0.30327802310728802</v>
      </c>
      <c r="H23" s="223">
        <f>SUM(H7:H12)</f>
        <v>3890</v>
      </c>
      <c r="I23" s="403">
        <f t="shared" ref="I23:K23" si="18">SUM(I7:I12)</f>
        <v>26297.101940176999</v>
      </c>
      <c r="J23" s="212">
        <f t="shared" ref="J23" si="19">SUM(J7:J12)</f>
        <v>41488.53204511795</v>
      </c>
      <c r="K23" s="404">
        <f t="shared" si="18"/>
        <v>29965.82708269143</v>
      </c>
      <c r="L23" s="212">
        <f t="shared" ref="L23" si="20">SUM(L7:L12)</f>
        <v>42989.234524801272</v>
      </c>
      <c r="M23" s="223">
        <f>SUM(M7:M12)</f>
        <v>42390</v>
      </c>
      <c r="N23" s="403">
        <f>AVERAGE(N7:N12)</f>
        <v>4.2664362519201218</v>
      </c>
      <c r="O23" s="404">
        <f>MAX(O7:O12)</f>
        <v>14.6</v>
      </c>
      <c r="P23" s="404">
        <f>MIN(P7:P12)</f>
        <v>-9.6</v>
      </c>
      <c r="Q23" s="212">
        <f>AVERAGE(Q7:Q12)</f>
        <v>6.8135286120380663</v>
      </c>
      <c r="R23" s="406">
        <f t="shared" si="6"/>
        <v>-2.5470923601179445</v>
      </c>
      <c r="S23" s="404">
        <f>SUM(S7:S12)</f>
        <v>140.63313530101979</v>
      </c>
      <c r="T23" s="404">
        <f>SUM(T7:T12)</f>
        <v>1528.3122259999989</v>
      </c>
      <c r="V23" s="68"/>
    </row>
    <row r="24" spans="1:22" ht="12" customHeight="1">
      <c r="A24" s="179" t="s">
        <v>59</v>
      </c>
      <c r="B24" s="407">
        <f>SUM(B13:B18)</f>
        <v>0</v>
      </c>
      <c r="C24" s="388">
        <f>SUM(C13:C18)</f>
        <v>2947.5151724291786</v>
      </c>
      <c r="D24" s="409">
        <f t="shared" si="7"/>
        <v>-1</v>
      </c>
      <c r="E24" s="408">
        <f t="shared" ref="E24:K24" si="21">SUM(E13:E18)</f>
        <v>0</v>
      </c>
      <c r="F24" s="388">
        <f t="shared" ref="F24" si="22">SUM(F13:F18)</f>
        <v>3203.4314460961873</v>
      </c>
      <c r="G24" s="409">
        <f t="shared" si="1"/>
        <v>-1</v>
      </c>
      <c r="H24" s="386">
        <f>SUM(H13:H18)</f>
        <v>3130</v>
      </c>
      <c r="I24" s="407">
        <f t="shared" si="21"/>
        <v>0</v>
      </c>
      <c r="J24" s="388">
        <f t="shared" ref="J24" si="23">SUM(J13:J18)</f>
        <v>32253.91564699744</v>
      </c>
      <c r="K24" s="408">
        <f t="shared" si="21"/>
        <v>0</v>
      </c>
      <c r="L24" s="388">
        <f t="shared" ref="L24" si="24">SUM(L13:L18)</f>
        <v>35055.822297517247</v>
      </c>
      <c r="M24" s="386">
        <f>SUM(M13:M18)</f>
        <v>34090</v>
      </c>
      <c r="N24" s="407" t="e">
        <f>AVERAGE(N13:N18)</f>
        <v>#DIV/0!</v>
      </c>
      <c r="O24" s="408">
        <f>MAX(O13:O18)</f>
        <v>0</v>
      </c>
      <c r="P24" s="408">
        <f>MIN(P13:P18)</f>
        <v>0</v>
      </c>
      <c r="Q24" s="388">
        <f>AVERAGE(Q13:Q18)</f>
        <v>10.230483870967742</v>
      </c>
      <c r="R24" s="410" t="e">
        <f t="shared" si="6"/>
        <v>#DIV/0!</v>
      </c>
      <c r="S24" s="408">
        <f t="shared" ref="S24:T24" si="25">SUM(S13:S18)</f>
        <v>0</v>
      </c>
      <c r="T24" s="408">
        <f t="shared" si="25"/>
        <v>0</v>
      </c>
      <c r="V24" s="68"/>
    </row>
    <row r="25" spans="1:22" ht="12" customHeight="1">
      <c r="A25" s="216" t="s">
        <v>172</v>
      </c>
      <c r="B25" s="411">
        <f>SUM(B7:B18)</f>
        <v>2414.6223769335211</v>
      </c>
      <c r="C25" s="389">
        <f>SUM(C7:C18)</f>
        <v>6758.5731948039893</v>
      </c>
      <c r="D25" s="413">
        <f t="shared" si="7"/>
        <v>-0.64273193359955183</v>
      </c>
      <c r="E25" s="412">
        <f t="shared" ref="E25:K25" si="26">SUM(E7:E18)</f>
        <v>2751.5963059232026</v>
      </c>
      <c r="F25" s="389">
        <f t="shared" ref="F25" si="27">SUM(F7:F18)</f>
        <v>7152.7776662268625</v>
      </c>
      <c r="G25" s="413">
        <f t="shared" si="1"/>
        <v>-0.61531080171618313</v>
      </c>
      <c r="H25" s="387">
        <f>SUM(H7:H18)</f>
        <v>7020</v>
      </c>
      <c r="I25" s="411">
        <f t="shared" si="26"/>
        <v>26297.101940176999</v>
      </c>
      <c r="J25" s="389">
        <f t="shared" ref="J25" si="28">SUM(J7:J18)</f>
        <v>73742.447692115384</v>
      </c>
      <c r="K25" s="412">
        <f t="shared" si="26"/>
        <v>29965.82708269143</v>
      </c>
      <c r="L25" s="389">
        <f t="shared" ref="L25" si="29">SUM(L7:L18)</f>
        <v>78045.056822318511</v>
      </c>
      <c r="M25" s="387">
        <f>SUM(M7:M18)</f>
        <v>76480</v>
      </c>
      <c r="N25" s="411">
        <f>AVERAGE(N7:N18)</f>
        <v>4.2664362519201218</v>
      </c>
      <c r="O25" s="412">
        <f>MAX(O7:O18)</f>
        <v>14.6</v>
      </c>
      <c r="P25" s="412">
        <f>MIN(P7:P18)</f>
        <v>-9.6</v>
      </c>
      <c r="Q25" s="389">
        <f>AVERAGE(Q7:Q18)</f>
        <v>8.5220062415029041</v>
      </c>
      <c r="R25" s="414">
        <f t="shared" si="6"/>
        <v>-4.2555699895827823</v>
      </c>
      <c r="S25" s="412">
        <f t="shared" ref="S25:T25" si="30">SUM(S7:S18)</f>
        <v>140.63313530101979</v>
      </c>
      <c r="T25" s="412">
        <f t="shared" si="30"/>
        <v>1528.3122259999989</v>
      </c>
      <c r="V25" s="68"/>
    </row>
    <row r="26" spans="1:22" ht="11.25" customHeight="1">
      <c r="A26" s="473" t="s">
        <v>320</v>
      </c>
      <c r="B26" s="473"/>
      <c r="C26" s="473"/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473"/>
      <c r="O26" s="473"/>
      <c r="P26" s="473"/>
      <c r="Q26" s="473"/>
      <c r="R26" s="473"/>
      <c r="S26" s="473"/>
      <c r="T26" s="473"/>
    </row>
    <row r="27" spans="1:22" ht="15" customHeight="1">
      <c r="A27" s="472" t="s">
        <v>248</v>
      </c>
      <c r="B27" s="472"/>
      <c r="C27" s="472"/>
      <c r="D27" s="472"/>
      <c r="E27" s="472"/>
      <c r="F27" s="472"/>
      <c r="G27" s="472"/>
      <c r="H27" s="472"/>
      <c r="I27" s="472"/>
      <c r="J27" s="472" t="s">
        <v>157</v>
      </c>
      <c r="K27" s="472"/>
      <c r="L27" s="472"/>
      <c r="M27" s="472"/>
      <c r="N27" s="472"/>
      <c r="O27" s="472"/>
      <c r="P27" s="472"/>
      <c r="Q27" s="472"/>
      <c r="R27" s="472"/>
      <c r="S27" s="472"/>
      <c r="T27" s="472"/>
    </row>
    <row r="28" spans="1:22" ht="8.15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7" customHeight="1">
      <c r="A29" s="61"/>
      <c r="B29" s="61"/>
      <c r="C29" s="61"/>
      <c r="D29" s="61" t="str">
        <f>A7</f>
        <v>Leden</v>
      </c>
      <c r="E29" s="62">
        <f>B7</f>
        <v>1051.7952206812033</v>
      </c>
      <c r="F29" s="62">
        <f>E7</f>
        <v>1084.902433081342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-0.33870967741935487</v>
      </c>
      <c r="O29" s="62">
        <f>Q7</f>
        <v>-1.2258064516129035</v>
      </c>
      <c r="P29" s="62"/>
      <c r="Q29" s="61"/>
      <c r="R29" s="61"/>
      <c r="S29" s="61"/>
      <c r="T29" s="61"/>
    </row>
    <row r="30" spans="1:22" ht="7" customHeight="1">
      <c r="A30" s="61"/>
      <c r="B30" s="61"/>
      <c r="C30" s="61"/>
      <c r="D30" s="61" t="str">
        <f t="shared" ref="D30:D39" si="31">A8</f>
        <v>Únor</v>
      </c>
      <c r="E30" s="62">
        <f t="shared" ref="E30:E40" si="32">B8</f>
        <v>707.88728525791282</v>
      </c>
      <c r="F30" s="62">
        <f t="shared" ref="F30:F40" si="33">E8</f>
        <v>880.8213424271529</v>
      </c>
      <c r="G30" s="62"/>
      <c r="H30" s="62"/>
      <c r="I30" s="61"/>
      <c r="J30" s="61"/>
      <c r="K30" s="61"/>
      <c r="L30" s="61"/>
      <c r="M30" s="61" t="str">
        <f t="shared" ref="M30:M40" si="34">A8</f>
        <v>Únor</v>
      </c>
      <c r="N30" s="62">
        <f t="shared" ref="N30:N40" si="35">N8</f>
        <v>5.8928571428571415</v>
      </c>
      <c r="O30" s="62">
        <f t="shared" ref="O30:O40" si="36">Q8</f>
        <v>-0.15517241379310354</v>
      </c>
      <c r="P30" s="62"/>
      <c r="Q30" s="61"/>
      <c r="R30" s="61"/>
      <c r="S30" s="61"/>
      <c r="T30" s="61"/>
    </row>
    <row r="31" spans="1:22" ht="7" customHeight="1">
      <c r="A31" s="61"/>
      <c r="B31" s="61"/>
      <c r="C31" s="61"/>
      <c r="D31" s="61" t="str">
        <f t="shared" si="31"/>
        <v>Březen</v>
      </c>
      <c r="E31" s="62">
        <f t="shared" si="32"/>
        <v>654.93987099440471</v>
      </c>
      <c r="F31" s="62">
        <f t="shared" si="33"/>
        <v>785.87253041470785</v>
      </c>
      <c r="G31" s="62"/>
      <c r="H31" s="62"/>
      <c r="I31" s="61"/>
      <c r="J31" s="61"/>
      <c r="K31" s="61"/>
      <c r="L31" s="61"/>
      <c r="M31" s="61" t="str">
        <f t="shared" si="34"/>
        <v>Březen</v>
      </c>
      <c r="N31" s="62">
        <f t="shared" si="35"/>
        <v>7.2451612903225797</v>
      </c>
      <c r="O31" s="62">
        <f t="shared" si="36"/>
        <v>3.512903225806451</v>
      </c>
      <c r="P31" s="62"/>
      <c r="Q31" s="61"/>
      <c r="R31" s="61"/>
      <c r="S31" s="61"/>
      <c r="T31" s="61"/>
    </row>
    <row r="32" spans="1:22" ht="7" customHeight="1">
      <c r="A32" s="61"/>
      <c r="B32" s="61"/>
      <c r="C32" s="61"/>
      <c r="D32" s="61" t="str">
        <f t="shared" si="31"/>
        <v>Duben</v>
      </c>
      <c r="E32" s="62">
        <f t="shared" si="32"/>
        <v>0</v>
      </c>
      <c r="F32" s="62">
        <f t="shared" si="33"/>
        <v>0</v>
      </c>
      <c r="G32" s="62"/>
      <c r="H32" s="62"/>
      <c r="I32" s="61"/>
      <c r="J32" s="61"/>
      <c r="K32" s="61"/>
      <c r="L32" s="61"/>
      <c r="M32" s="61" t="str">
        <f t="shared" si="34"/>
        <v>Duben</v>
      </c>
      <c r="N32" s="62">
        <f t="shared" si="35"/>
        <v>0</v>
      </c>
      <c r="O32" s="62">
        <f t="shared" si="36"/>
        <v>8.6366666666666667</v>
      </c>
      <c r="P32" s="62"/>
      <c r="Q32" s="61"/>
      <c r="R32" s="61"/>
      <c r="S32" s="61"/>
      <c r="T32" s="61"/>
    </row>
    <row r="33" spans="1:20" ht="7" customHeight="1">
      <c r="A33" s="61"/>
      <c r="B33" s="61"/>
      <c r="C33" s="61"/>
      <c r="D33" s="61" t="str">
        <f t="shared" si="31"/>
        <v>Květen</v>
      </c>
      <c r="E33" s="62">
        <f t="shared" si="32"/>
        <v>0</v>
      </c>
      <c r="F33" s="62">
        <f t="shared" si="33"/>
        <v>0</v>
      </c>
      <c r="G33" s="62"/>
      <c r="H33" s="62"/>
      <c r="I33" s="61"/>
      <c r="J33" s="61"/>
      <c r="K33" s="61"/>
      <c r="L33" s="61"/>
      <c r="M33" s="61" t="str">
        <f t="shared" si="34"/>
        <v>Květen</v>
      </c>
      <c r="N33" s="62">
        <f t="shared" si="35"/>
        <v>0</v>
      </c>
      <c r="O33" s="62">
        <f t="shared" si="36"/>
        <v>13.522580645161288</v>
      </c>
      <c r="P33" s="62"/>
      <c r="Q33" s="61"/>
      <c r="R33" s="61"/>
      <c r="S33" s="61"/>
      <c r="T33" s="61"/>
    </row>
    <row r="34" spans="1:20" ht="7" customHeight="1">
      <c r="A34" s="61"/>
      <c r="B34" s="61"/>
      <c r="C34" s="61"/>
      <c r="D34" s="61" t="str">
        <f t="shared" si="31"/>
        <v>Červen</v>
      </c>
      <c r="E34" s="62">
        <f t="shared" si="32"/>
        <v>0</v>
      </c>
      <c r="F34" s="62">
        <f t="shared" si="33"/>
        <v>0</v>
      </c>
      <c r="G34" s="62"/>
      <c r="H34" s="62"/>
      <c r="I34" s="61"/>
      <c r="J34" s="61"/>
      <c r="K34" s="61"/>
      <c r="L34" s="61"/>
      <c r="M34" s="61" t="str">
        <f t="shared" si="34"/>
        <v>Červen</v>
      </c>
      <c r="N34" s="62">
        <f t="shared" si="35"/>
        <v>0</v>
      </c>
      <c r="O34" s="62">
        <f t="shared" si="36"/>
        <v>16.59</v>
      </c>
      <c r="P34" s="62"/>
      <c r="Q34" s="61"/>
      <c r="R34" s="61"/>
      <c r="S34" s="61"/>
      <c r="T34" s="61"/>
    </row>
    <row r="35" spans="1:20" ht="7" customHeight="1">
      <c r="A35" s="61"/>
      <c r="B35" s="61"/>
      <c r="C35" s="61"/>
      <c r="D35" s="61" t="str">
        <f t="shared" si="31"/>
        <v>Červenec</v>
      </c>
      <c r="E35" s="62">
        <f t="shared" si="32"/>
        <v>0</v>
      </c>
      <c r="F35" s="62">
        <f t="shared" si="33"/>
        <v>0</v>
      </c>
      <c r="G35" s="62"/>
      <c r="H35" s="62"/>
      <c r="I35" s="61"/>
      <c r="J35" s="61"/>
      <c r="K35" s="61"/>
      <c r="L35" s="61"/>
      <c r="M35" s="61" t="str">
        <f t="shared" si="34"/>
        <v>Červenec</v>
      </c>
      <c r="N35" s="62">
        <f t="shared" si="35"/>
        <v>0</v>
      </c>
      <c r="O35" s="62">
        <f t="shared" si="36"/>
        <v>18.522580645161291</v>
      </c>
      <c r="P35" s="62"/>
      <c r="Q35" s="61"/>
      <c r="R35" s="61"/>
      <c r="S35" s="61"/>
      <c r="T35" s="61"/>
    </row>
    <row r="36" spans="1:20" ht="7" customHeight="1">
      <c r="A36" s="61"/>
      <c r="B36" s="61"/>
      <c r="C36" s="61"/>
      <c r="D36" s="61" t="str">
        <f t="shared" si="31"/>
        <v>Srpen</v>
      </c>
      <c r="E36" s="62">
        <f t="shared" si="32"/>
        <v>0</v>
      </c>
      <c r="F36" s="62">
        <f t="shared" si="33"/>
        <v>0</v>
      </c>
      <c r="G36" s="62"/>
      <c r="H36" s="62"/>
      <c r="I36" s="61"/>
      <c r="J36" s="61"/>
      <c r="K36" s="61"/>
      <c r="L36" s="61"/>
      <c r="M36" s="61" t="str">
        <f t="shared" si="34"/>
        <v>Srpen</v>
      </c>
      <c r="N36" s="62">
        <f t="shared" si="35"/>
        <v>0</v>
      </c>
      <c r="O36" s="62">
        <f t="shared" si="36"/>
        <v>18.119354838709679</v>
      </c>
      <c r="P36" s="62"/>
      <c r="Q36" s="61"/>
      <c r="R36" s="61"/>
      <c r="S36" s="61"/>
      <c r="T36" s="61"/>
    </row>
    <row r="37" spans="1:20" ht="7" customHeight="1">
      <c r="A37" s="61"/>
      <c r="B37" s="61"/>
      <c r="C37" s="61"/>
      <c r="D37" s="61" t="str">
        <f t="shared" si="31"/>
        <v>Září</v>
      </c>
      <c r="E37" s="62">
        <f t="shared" si="32"/>
        <v>0</v>
      </c>
      <c r="F37" s="62">
        <f t="shared" si="33"/>
        <v>0</v>
      </c>
      <c r="G37" s="62"/>
      <c r="H37" s="62"/>
      <c r="I37" s="61"/>
      <c r="J37" s="61"/>
      <c r="K37" s="61"/>
      <c r="L37" s="61"/>
      <c r="M37" s="61" t="str">
        <f t="shared" si="34"/>
        <v>Září</v>
      </c>
      <c r="N37" s="62">
        <f t="shared" si="35"/>
        <v>0</v>
      </c>
      <c r="O37" s="62">
        <f t="shared" si="36"/>
        <v>13.223333333333333</v>
      </c>
      <c r="P37" s="62"/>
      <c r="Q37" s="61"/>
      <c r="R37" s="61"/>
      <c r="S37" s="61"/>
      <c r="T37" s="61"/>
    </row>
    <row r="38" spans="1:20" ht="7" customHeight="1">
      <c r="A38" s="61"/>
      <c r="B38" s="61"/>
      <c r="C38" s="61"/>
      <c r="D38" s="61" t="str">
        <f t="shared" si="31"/>
        <v>Říjen</v>
      </c>
      <c r="E38" s="62">
        <f t="shared" si="32"/>
        <v>0</v>
      </c>
      <c r="F38" s="62">
        <f t="shared" si="33"/>
        <v>0</v>
      </c>
      <c r="G38" s="62"/>
      <c r="H38" s="62"/>
      <c r="I38" s="61"/>
      <c r="J38" s="61"/>
      <c r="K38" s="61"/>
      <c r="L38" s="61"/>
      <c r="M38" s="61" t="str">
        <f t="shared" si="34"/>
        <v>Říjen</v>
      </c>
      <c r="N38" s="62">
        <f t="shared" si="35"/>
        <v>0</v>
      </c>
      <c r="O38" s="62">
        <f t="shared" si="36"/>
        <v>8.3548387096774199</v>
      </c>
      <c r="P38" s="62"/>
      <c r="Q38" s="61"/>
      <c r="R38" s="61"/>
      <c r="S38" s="61"/>
      <c r="T38" s="61"/>
    </row>
    <row r="39" spans="1:20" ht="7" customHeight="1">
      <c r="A39" s="61"/>
      <c r="B39" s="61"/>
      <c r="C39" s="61"/>
      <c r="D39" s="61" t="str">
        <f t="shared" si="31"/>
        <v>Listopad</v>
      </c>
      <c r="E39" s="62">
        <f t="shared" si="32"/>
        <v>0</v>
      </c>
      <c r="F39" s="62">
        <f t="shared" si="33"/>
        <v>0</v>
      </c>
      <c r="G39" s="61"/>
      <c r="H39" s="61"/>
      <c r="I39" s="61"/>
      <c r="J39" s="61"/>
      <c r="K39" s="61"/>
      <c r="L39" s="61"/>
      <c r="M39" s="61" t="str">
        <f t="shared" si="34"/>
        <v>Listopad</v>
      </c>
      <c r="N39" s="62">
        <f t="shared" si="35"/>
        <v>0</v>
      </c>
      <c r="O39" s="62">
        <f t="shared" si="36"/>
        <v>3.5466666666666664</v>
      </c>
      <c r="P39" s="61"/>
      <c r="Q39" s="61"/>
      <c r="R39" s="61"/>
      <c r="S39" s="61"/>
      <c r="T39" s="61"/>
    </row>
    <row r="40" spans="1:20" ht="7" customHeight="1">
      <c r="A40" s="61"/>
      <c r="B40" s="61"/>
      <c r="C40" s="61"/>
      <c r="D40" s="61" t="str">
        <f>A18</f>
        <v>Prosinec</v>
      </c>
      <c r="E40" s="62">
        <f t="shared" si="32"/>
        <v>0</v>
      </c>
      <c r="F40" s="62">
        <f t="shared" si="33"/>
        <v>0</v>
      </c>
      <c r="G40" s="61"/>
      <c r="H40" s="61"/>
      <c r="I40" s="61"/>
      <c r="J40" s="61"/>
      <c r="K40" s="61"/>
      <c r="L40" s="61"/>
      <c r="M40" s="61" t="str">
        <f t="shared" si="34"/>
        <v>Prosinec</v>
      </c>
      <c r="N40" s="62">
        <f t="shared" si="35"/>
        <v>0</v>
      </c>
      <c r="O40" s="62">
        <f t="shared" si="36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A27:I27"/>
    <mergeCell ref="J27:T27"/>
    <mergeCell ref="A26:T26"/>
    <mergeCell ref="B5:D5"/>
    <mergeCell ref="E5:G5"/>
    <mergeCell ref="S5:T6"/>
    <mergeCell ref="I4:M4"/>
    <mergeCell ref="N4:R4"/>
    <mergeCell ref="N5:R5"/>
    <mergeCell ref="B4:H4"/>
    <mergeCell ref="I5:J5"/>
    <mergeCell ref="K5:L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B22 D19:E19 B24 D23 I21:I22 I20 I24 I23 N19:R19 N20 N21:T22 N24:T24 N23:R23 P20:R20 E20 D21:E22 D24:E24 G19 G21:G22 G24 K21:K22 K24 K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E1" sqref="E1"/>
    </sheetView>
  </sheetViews>
  <sheetFormatPr defaultRowHeight="10"/>
  <cols>
    <col min="1" max="1" width="8.26953125" style="12" customWidth="1"/>
    <col min="2" max="3" width="5.453125" style="12" customWidth="1"/>
    <col min="4" max="4" width="6.54296875" style="12" customWidth="1"/>
    <col min="5" max="5" width="7.7265625" style="12" customWidth="1"/>
    <col min="6" max="6" width="4.1796875" style="12" customWidth="1"/>
    <col min="7" max="7" width="7.7265625" style="12" customWidth="1"/>
    <col min="8" max="13" width="6.7265625" style="12" customWidth="1"/>
    <col min="14" max="14" width="7.54296875" style="12" customWidth="1"/>
    <col min="15" max="18" width="7.26953125" style="12" customWidth="1"/>
    <col min="19" max="20" width="6.7265625" style="12" customWidth="1"/>
    <col min="21" max="21" width="8" style="12" customWidth="1"/>
    <col min="22" max="22" width="9.26953125" style="12" bestFit="1" customWidth="1"/>
    <col min="23" max="23" width="11.453125" style="12" bestFit="1" customWidth="1"/>
    <col min="24" max="262" width="9.1796875" style="12"/>
    <col min="263" max="275" width="10.7265625" style="12" customWidth="1"/>
    <col min="276" max="518" width="9.1796875" style="12"/>
    <col min="519" max="531" width="10.7265625" style="12" customWidth="1"/>
    <col min="532" max="774" width="9.1796875" style="12"/>
    <col min="775" max="787" width="10.7265625" style="12" customWidth="1"/>
    <col min="788" max="1030" width="9.1796875" style="12"/>
    <col min="1031" max="1043" width="10.7265625" style="12" customWidth="1"/>
    <col min="1044" max="1286" width="9.1796875" style="12"/>
    <col min="1287" max="1299" width="10.7265625" style="12" customWidth="1"/>
    <col min="1300" max="1542" width="9.1796875" style="12"/>
    <col min="1543" max="1555" width="10.7265625" style="12" customWidth="1"/>
    <col min="1556" max="1798" width="9.1796875" style="12"/>
    <col min="1799" max="1811" width="10.7265625" style="12" customWidth="1"/>
    <col min="1812" max="2054" width="9.1796875" style="12"/>
    <col min="2055" max="2067" width="10.7265625" style="12" customWidth="1"/>
    <col min="2068" max="2310" width="9.1796875" style="12"/>
    <col min="2311" max="2323" width="10.7265625" style="12" customWidth="1"/>
    <col min="2324" max="2566" width="9.1796875" style="12"/>
    <col min="2567" max="2579" width="10.7265625" style="12" customWidth="1"/>
    <col min="2580" max="2822" width="9.1796875" style="12"/>
    <col min="2823" max="2835" width="10.7265625" style="12" customWidth="1"/>
    <col min="2836" max="3078" width="9.1796875" style="12"/>
    <col min="3079" max="3091" width="10.7265625" style="12" customWidth="1"/>
    <col min="3092" max="3334" width="9.1796875" style="12"/>
    <col min="3335" max="3347" width="10.7265625" style="12" customWidth="1"/>
    <col min="3348" max="3590" width="9.1796875" style="12"/>
    <col min="3591" max="3603" width="10.7265625" style="12" customWidth="1"/>
    <col min="3604" max="3846" width="9.1796875" style="12"/>
    <col min="3847" max="3859" width="10.7265625" style="12" customWidth="1"/>
    <col min="3860" max="4102" width="9.1796875" style="12"/>
    <col min="4103" max="4115" width="10.7265625" style="12" customWidth="1"/>
    <col min="4116" max="4358" width="9.1796875" style="12"/>
    <col min="4359" max="4371" width="10.7265625" style="12" customWidth="1"/>
    <col min="4372" max="4614" width="9.1796875" style="12"/>
    <col min="4615" max="4627" width="10.7265625" style="12" customWidth="1"/>
    <col min="4628" max="4870" width="9.1796875" style="12"/>
    <col min="4871" max="4883" width="10.7265625" style="12" customWidth="1"/>
    <col min="4884" max="5126" width="9.1796875" style="12"/>
    <col min="5127" max="5139" width="10.7265625" style="12" customWidth="1"/>
    <col min="5140" max="5382" width="9.1796875" style="12"/>
    <col min="5383" max="5395" width="10.7265625" style="12" customWidth="1"/>
    <col min="5396" max="5638" width="9.1796875" style="12"/>
    <col min="5639" max="5651" width="10.7265625" style="12" customWidth="1"/>
    <col min="5652" max="5894" width="9.1796875" style="12"/>
    <col min="5895" max="5907" width="10.7265625" style="12" customWidth="1"/>
    <col min="5908" max="6150" width="9.1796875" style="12"/>
    <col min="6151" max="6163" width="10.7265625" style="12" customWidth="1"/>
    <col min="6164" max="6406" width="9.1796875" style="12"/>
    <col min="6407" max="6419" width="10.7265625" style="12" customWidth="1"/>
    <col min="6420" max="6662" width="9.1796875" style="12"/>
    <col min="6663" max="6675" width="10.7265625" style="12" customWidth="1"/>
    <col min="6676" max="6918" width="9.1796875" style="12"/>
    <col min="6919" max="6931" width="10.7265625" style="12" customWidth="1"/>
    <col min="6932" max="7174" width="9.1796875" style="12"/>
    <col min="7175" max="7187" width="10.7265625" style="12" customWidth="1"/>
    <col min="7188" max="7430" width="9.1796875" style="12"/>
    <col min="7431" max="7443" width="10.7265625" style="12" customWidth="1"/>
    <col min="7444" max="7686" width="9.1796875" style="12"/>
    <col min="7687" max="7699" width="10.7265625" style="12" customWidth="1"/>
    <col min="7700" max="7942" width="9.1796875" style="12"/>
    <col min="7943" max="7955" width="10.7265625" style="12" customWidth="1"/>
    <col min="7956" max="8198" width="9.1796875" style="12"/>
    <col min="8199" max="8211" width="10.7265625" style="12" customWidth="1"/>
    <col min="8212" max="8454" width="9.1796875" style="12"/>
    <col min="8455" max="8467" width="10.7265625" style="12" customWidth="1"/>
    <col min="8468" max="8710" width="9.1796875" style="12"/>
    <col min="8711" max="8723" width="10.7265625" style="12" customWidth="1"/>
    <col min="8724" max="8966" width="9.1796875" style="12"/>
    <col min="8967" max="8979" width="10.7265625" style="12" customWidth="1"/>
    <col min="8980" max="9222" width="9.1796875" style="12"/>
    <col min="9223" max="9235" width="10.7265625" style="12" customWidth="1"/>
    <col min="9236" max="9478" width="9.1796875" style="12"/>
    <col min="9479" max="9491" width="10.7265625" style="12" customWidth="1"/>
    <col min="9492" max="9734" width="9.1796875" style="12"/>
    <col min="9735" max="9747" width="10.7265625" style="12" customWidth="1"/>
    <col min="9748" max="9990" width="9.1796875" style="12"/>
    <col min="9991" max="10003" width="10.7265625" style="12" customWidth="1"/>
    <col min="10004" max="10246" width="9.1796875" style="12"/>
    <col min="10247" max="10259" width="10.7265625" style="12" customWidth="1"/>
    <col min="10260" max="10502" width="9.1796875" style="12"/>
    <col min="10503" max="10515" width="10.7265625" style="12" customWidth="1"/>
    <col min="10516" max="10758" width="9.1796875" style="12"/>
    <col min="10759" max="10771" width="10.7265625" style="12" customWidth="1"/>
    <col min="10772" max="11014" width="9.1796875" style="12"/>
    <col min="11015" max="11027" width="10.7265625" style="12" customWidth="1"/>
    <col min="11028" max="11270" width="9.1796875" style="12"/>
    <col min="11271" max="11283" width="10.7265625" style="12" customWidth="1"/>
    <col min="11284" max="11526" width="9.1796875" style="12"/>
    <col min="11527" max="11539" width="10.7265625" style="12" customWidth="1"/>
    <col min="11540" max="11782" width="9.1796875" style="12"/>
    <col min="11783" max="11795" width="10.7265625" style="12" customWidth="1"/>
    <col min="11796" max="12038" width="9.1796875" style="12"/>
    <col min="12039" max="12051" width="10.7265625" style="12" customWidth="1"/>
    <col min="12052" max="12294" width="9.1796875" style="12"/>
    <col min="12295" max="12307" width="10.7265625" style="12" customWidth="1"/>
    <col min="12308" max="12550" width="9.1796875" style="12"/>
    <col min="12551" max="12563" width="10.7265625" style="12" customWidth="1"/>
    <col min="12564" max="12806" width="9.1796875" style="12"/>
    <col min="12807" max="12819" width="10.7265625" style="12" customWidth="1"/>
    <col min="12820" max="13062" width="9.1796875" style="12"/>
    <col min="13063" max="13075" width="10.7265625" style="12" customWidth="1"/>
    <col min="13076" max="13318" width="9.1796875" style="12"/>
    <col min="13319" max="13331" width="10.7265625" style="12" customWidth="1"/>
    <col min="13332" max="13574" width="9.1796875" style="12"/>
    <col min="13575" max="13587" width="10.7265625" style="12" customWidth="1"/>
    <col min="13588" max="13830" width="9.1796875" style="12"/>
    <col min="13831" max="13843" width="10.7265625" style="12" customWidth="1"/>
    <col min="13844" max="14086" width="9.1796875" style="12"/>
    <col min="14087" max="14099" width="10.7265625" style="12" customWidth="1"/>
    <col min="14100" max="14342" width="9.1796875" style="12"/>
    <col min="14343" max="14355" width="10.7265625" style="12" customWidth="1"/>
    <col min="14356" max="14598" width="9.1796875" style="12"/>
    <col min="14599" max="14611" width="10.7265625" style="12" customWidth="1"/>
    <col min="14612" max="14854" width="9.1796875" style="12"/>
    <col min="14855" max="14867" width="10.7265625" style="12" customWidth="1"/>
    <col min="14868" max="15110" width="9.1796875" style="12"/>
    <col min="15111" max="15123" width="10.7265625" style="12" customWidth="1"/>
    <col min="15124" max="15366" width="9.1796875" style="12"/>
    <col min="15367" max="15379" width="10.7265625" style="12" customWidth="1"/>
    <col min="15380" max="15622" width="9.1796875" style="12"/>
    <col min="15623" max="15635" width="10.7265625" style="12" customWidth="1"/>
    <col min="15636" max="15878" width="9.1796875" style="12"/>
    <col min="15879" max="15891" width="10.7265625" style="12" customWidth="1"/>
    <col min="15892" max="16134" width="9.1796875" style="12"/>
    <col min="16135" max="16147" width="10.7265625" style="12" customWidth="1"/>
    <col min="16148" max="16384" width="9.1796875" style="12"/>
  </cols>
  <sheetData>
    <row r="1" spans="1:36" ht="18">
      <c r="A1" s="461" t="s">
        <v>293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36" ht="6" customHeight="1">
      <c r="A2" s="237"/>
      <c r="B2" s="475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</row>
    <row r="3" spans="1:36" ht="18" customHeight="1">
      <c r="A3" s="248">
        <f>'3.1'!A4</f>
        <v>2024</v>
      </c>
      <c r="B3" s="467" t="s">
        <v>159</v>
      </c>
      <c r="C3" s="470"/>
      <c r="D3" s="470"/>
      <c r="E3" s="470"/>
      <c r="F3" s="470"/>
      <c r="G3" s="469"/>
      <c r="H3" s="470" t="s">
        <v>60</v>
      </c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</row>
    <row r="4" spans="1:36" ht="18" customHeight="1">
      <c r="A4" s="210"/>
      <c r="B4" s="245"/>
      <c r="C4" s="246"/>
      <c r="D4" s="246"/>
      <c r="E4" s="246"/>
      <c r="F4" s="246"/>
      <c r="G4" s="247"/>
      <c r="H4" s="249" t="s">
        <v>258</v>
      </c>
      <c r="I4" s="249"/>
      <c r="J4" s="249"/>
      <c r="K4" s="249"/>
      <c r="L4" s="249"/>
      <c r="M4" s="477" t="s">
        <v>264</v>
      </c>
      <c r="N4" s="249"/>
      <c r="O4" s="250" t="s">
        <v>216</v>
      </c>
      <c r="P4" s="249"/>
      <c r="Q4" s="249"/>
      <c r="R4" s="249"/>
      <c r="S4" s="249"/>
      <c r="T4" s="477" t="s">
        <v>264</v>
      </c>
      <c r="U4" s="249"/>
    </row>
    <row r="5" spans="1:36" ht="16.5" customHeight="1">
      <c r="A5" s="213"/>
      <c r="B5" s="231" t="s">
        <v>4</v>
      </c>
      <c r="C5" s="232" t="s">
        <v>5</v>
      </c>
      <c r="D5" s="194" t="s">
        <v>6</v>
      </c>
      <c r="E5" s="232" t="s">
        <v>7</v>
      </c>
      <c r="F5" s="232" t="s">
        <v>93</v>
      </c>
      <c r="G5" s="233" t="s">
        <v>0</v>
      </c>
      <c r="H5" s="232" t="s">
        <v>4</v>
      </c>
      <c r="I5" s="232" t="s">
        <v>5</v>
      </c>
      <c r="J5" s="194" t="s">
        <v>6</v>
      </c>
      <c r="K5" s="232" t="s">
        <v>7</v>
      </c>
      <c r="L5" s="232" t="s">
        <v>93</v>
      </c>
      <c r="M5" s="478"/>
      <c r="N5" s="232" t="s">
        <v>0</v>
      </c>
      <c r="O5" s="231" t="s">
        <v>4</v>
      </c>
      <c r="P5" s="232" t="s">
        <v>5</v>
      </c>
      <c r="Q5" s="194" t="s">
        <v>6</v>
      </c>
      <c r="R5" s="232" t="s">
        <v>7</v>
      </c>
      <c r="S5" s="232" t="s">
        <v>93</v>
      </c>
      <c r="T5" s="478"/>
      <c r="U5" s="232" t="s">
        <v>0</v>
      </c>
    </row>
    <row r="6" spans="1:36" ht="13" customHeight="1">
      <c r="A6" s="176" t="s">
        <v>160</v>
      </c>
      <c r="B6" s="240">
        <v>1548</v>
      </c>
      <c r="C6" s="235">
        <v>6077</v>
      </c>
      <c r="D6" s="236">
        <v>202192</v>
      </c>
      <c r="E6" s="236">
        <v>2540139</v>
      </c>
      <c r="F6" s="236">
        <v>278</v>
      </c>
      <c r="G6" s="242">
        <v>2750234</v>
      </c>
      <c r="H6" s="177">
        <v>382.52765231841204</v>
      </c>
      <c r="I6" s="177">
        <v>106.709627556996</v>
      </c>
      <c r="J6" s="178">
        <v>192.67292802533004</v>
      </c>
      <c r="K6" s="178">
        <v>350.46454600796898</v>
      </c>
      <c r="L6" s="178">
        <v>7.8849768933910003</v>
      </c>
      <c r="M6" s="178">
        <v>11.535517484905689</v>
      </c>
      <c r="N6" s="178">
        <v>1051.7952482870037</v>
      </c>
      <c r="O6" s="183">
        <v>4168.85133649</v>
      </c>
      <c r="P6" s="177">
        <v>1162.89294417</v>
      </c>
      <c r="Q6" s="178">
        <v>2099.5875926137551</v>
      </c>
      <c r="R6" s="178">
        <v>3819.0342502951903</v>
      </c>
      <c r="S6" s="178">
        <v>85.902997389999996</v>
      </c>
      <c r="T6" s="178">
        <v>125.88713796399999</v>
      </c>
      <c r="U6" s="178">
        <v>11462.156258922945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3" customHeight="1">
      <c r="A7" s="176" t="s">
        <v>161</v>
      </c>
      <c r="B7" s="240">
        <v>1548</v>
      </c>
      <c r="C7" s="236">
        <v>6071</v>
      </c>
      <c r="D7" s="236">
        <v>202045</v>
      </c>
      <c r="E7" s="236">
        <v>2537765</v>
      </c>
      <c r="F7" s="236">
        <v>278</v>
      </c>
      <c r="G7" s="242">
        <v>2747707</v>
      </c>
      <c r="H7" s="177">
        <v>281.25152734882994</v>
      </c>
      <c r="I7" s="178">
        <v>70.568061602554991</v>
      </c>
      <c r="J7" s="178">
        <v>118.75824651466502</v>
      </c>
      <c r="K7" s="178">
        <v>214.69217283203403</v>
      </c>
      <c r="L7" s="178">
        <v>7.3014021622570011</v>
      </c>
      <c r="M7" s="178">
        <v>15.315787542063999</v>
      </c>
      <c r="N7" s="178">
        <v>707.88719800240494</v>
      </c>
      <c r="O7" s="183">
        <v>3062.9331973560002</v>
      </c>
      <c r="P7" s="178">
        <v>768.80139308000003</v>
      </c>
      <c r="Q7" s="178">
        <v>1293.6089623508872</v>
      </c>
      <c r="R7" s="178">
        <v>2338.3255160071549</v>
      </c>
      <c r="S7" s="178">
        <v>79.508402719999992</v>
      </c>
      <c r="T7" s="178">
        <v>167.332213247</v>
      </c>
      <c r="U7" s="178">
        <v>7710.5096847610421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3" customHeight="1">
      <c r="A8" s="179" t="s">
        <v>162</v>
      </c>
      <c r="B8" s="241">
        <v>1541</v>
      </c>
      <c r="C8" s="239">
        <v>6018</v>
      </c>
      <c r="D8" s="239">
        <v>201951</v>
      </c>
      <c r="E8" s="239">
        <v>2534993</v>
      </c>
      <c r="F8" s="239">
        <v>277</v>
      </c>
      <c r="G8" s="243">
        <v>2744780</v>
      </c>
      <c r="H8" s="180">
        <v>287.29503820459399</v>
      </c>
      <c r="I8" s="181">
        <v>62.788242370287996</v>
      </c>
      <c r="J8" s="181">
        <v>104.00309048247901</v>
      </c>
      <c r="K8" s="181">
        <v>181.03398005336001</v>
      </c>
      <c r="L8" s="181">
        <v>7.5902210650469994</v>
      </c>
      <c r="M8" s="181">
        <v>12.229335791310668</v>
      </c>
      <c r="N8" s="181">
        <v>654.93990796707863</v>
      </c>
      <c r="O8" s="184">
        <v>3125.9669880960005</v>
      </c>
      <c r="P8" s="181">
        <v>682.94780813</v>
      </c>
      <c r="Q8" s="181">
        <v>1131.0509448609041</v>
      </c>
      <c r="R8" s="181">
        <v>1968.73388101304</v>
      </c>
      <c r="S8" s="181">
        <v>82.527548019999998</v>
      </c>
      <c r="T8" s="181">
        <v>133.20890361600007</v>
      </c>
      <c r="U8" s="181">
        <v>7124.436073735943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3" customHeight="1">
      <c r="A9" s="176" t="s">
        <v>163</v>
      </c>
      <c r="B9" s="240"/>
      <c r="C9" s="236"/>
      <c r="D9" s="236"/>
      <c r="E9" s="236"/>
      <c r="F9" s="236"/>
      <c r="G9" s="242"/>
      <c r="H9" s="177"/>
      <c r="I9" s="178"/>
      <c r="J9" s="178"/>
      <c r="K9" s="178"/>
      <c r="L9" s="178"/>
      <c r="M9" s="178"/>
      <c r="N9" s="178"/>
      <c r="O9" s="183"/>
      <c r="P9" s="178"/>
      <c r="Q9" s="178"/>
      <c r="R9" s="178"/>
      <c r="S9" s="178"/>
      <c r="T9" s="178"/>
      <c r="U9" s="178"/>
      <c r="V9" s="58"/>
      <c r="W9" s="57"/>
      <c r="X9" s="57"/>
      <c r="Y9" s="57"/>
    </row>
    <row r="10" spans="1:36" ht="13" customHeight="1">
      <c r="A10" s="176" t="s">
        <v>164</v>
      </c>
      <c r="B10" s="240"/>
      <c r="C10" s="236"/>
      <c r="D10" s="236"/>
      <c r="E10" s="236"/>
      <c r="F10" s="236"/>
      <c r="G10" s="242"/>
      <c r="H10" s="177"/>
      <c r="I10" s="178"/>
      <c r="J10" s="178"/>
      <c r="K10" s="178"/>
      <c r="L10" s="178"/>
      <c r="M10" s="178"/>
      <c r="N10" s="178"/>
      <c r="O10" s="183"/>
      <c r="P10" s="178"/>
      <c r="Q10" s="178"/>
      <c r="R10" s="178"/>
      <c r="S10" s="178"/>
      <c r="T10" s="178"/>
      <c r="U10" s="178"/>
      <c r="V10" s="58"/>
      <c r="W10" s="57"/>
      <c r="X10" s="57"/>
      <c r="Y10" s="57"/>
    </row>
    <row r="11" spans="1:36" ht="13" customHeight="1">
      <c r="A11" s="179" t="s">
        <v>165</v>
      </c>
      <c r="B11" s="241"/>
      <c r="C11" s="239"/>
      <c r="D11" s="239"/>
      <c r="E11" s="239"/>
      <c r="F11" s="239"/>
      <c r="G11" s="243"/>
      <c r="H11" s="180"/>
      <c r="I11" s="181"/>
      <c r="J11" s="181"/>
      <c r="K11" s="181"/>
      <c r="L11" s="181"/>
      <c r="M11" s="181"/>
      <c r="N11" s="181"/>
      <c r="O11" s="184"/>
      <c r="P11" s="181"/>
      <c r="Q11" s="181"/>
      <c r="R11" s="181"/>
      <c r="S11" s="181"/>
      <c r="T11" s="181"/>
      <c r="U11" s="181"/>
      <c r="V11" s="58"/>
      <c r="W11" s="57"/>
      <c r="X11" s="57"/>
      <c r="Y11" s="57"/>
    </row>
    <row r="12" spans="1:36" ht="13" customHeight="1">
      <c r="A12" s="176" t="s">
        <v>166</v>
      </c>
      <c r="B12" s="240"/>
      <c r="C12" s="236"/>
      <c r="D12" s="236"/>
      <c r="E12" s="236"/>
      <c r="F12" s="236"/>
      <c r="G12" s="242"/>
      <c r="H12" s="177"/>
      <c r="I12" s="178"/>
      <c r="J12" s="178"/>
      <c r="K12" s="178"/>
      <c r="L12" s="178"/>
      <c r="M12" s="178"/>
      <c r="N12" s="178"/>
      <c r="O12" s="183"/>
      <c r="P12" s="178"/>
      <c r="Q12" s="178"/>
      <c r="R12" s="178"/>
      <c r="S12" s="178"/>
      <c r="T12" s="178"/>
      <c r="U12" s="178"/>
      <c r="V12" s="58"/>
      <c r="W12" s="57"/>
      <c r="X12" s="57"/>
      <c r="Y12" s="57"/>
    </row>
    <row r="13" spans="1:36" ht="13" customHeight="1">
      <c r="A13" s="176" t="s">
        <v>167</v>
      </c>
      <c r="B13" s="240"/>
      <c r="C13" s="236"/>
      <c r="D13" s="236"/>
      <c r="E13" s="236"/>
      <c r="F13" s="236"/>
      <c r="G13" s="242"/>
      <c r="H13" s="177"/>
      <c r="I13" s="178"/>
      <c r="J13" s="178"/>
      <c r="K13" s="178"/>
      <c r="L13" s="178"/>
      <c r="M13" s="178"/>
      <c r="N13" s="178"/>
      <c r="O13" s="183"/>
      <c r="P13" s="178"/>
      <c r="Q13" s="178"/>
      <c r="R13" s="178"/>
      <c r="S13" s="178"/>
      <c r="T13" s="178"/>
      <c r="U13" s="178"/>
      <c r="V13" s="58"/>
      <c r="W13" s="57"/>
      <c r="X13" s="57"/>
      <c r="Y13" s="57"/>
    </row>
    <row r="14" spans="1:36" ht="13" customHeight="1">
      <c r="A14" s="179" t="s">
        <v>168</v>
      </c>
      <c r="B14" s="241"/>
      <c r="C14" s="239"/>
      <c r="D14" s="239"/>
      <c r="E14" s="239"/>
      <c r="F14" s="239"/>
      <c r="G14" s="243"/>
      <c r="H14" s="180"/>
      <c r="I14" s="181"/>
      <c r="J14" s="181"/>
      <c r="K14" s="181"/>
      <c r="L14" s="181"/>
      <c r="M14" s="181"/>
      <c r="N14" s="181"/>
      <c r="O14" s="184"/>
      <c r="P14" s="181"/>
      <c r="Q14" s="181"/>
      <c r="R14" s="181"/>
      <c r="S14" s="181"/>
      <c r="T14" s="181"/>
      <c r="U14" s="181"/>
      <c r="V14" s="58"/>
      <c r="W14" s="57"/>
      <c r="X14" s="57"/>
      <c r="Y14" s="57"/>
    </row>
    <row r="15" spans="1:36" ht="13" customHeight="1">
      <c r="A15" s="176" t="s">
        <v>169</v>
      </c>
      <c r="B15" s="240"/>
      <c r="C15" s="236"/>
      <c r="D15" s="236"/>
      <c r="E15" s="236"/>
      <c r="F15" s="236"/>
      <c r="G15" s="242"/>
      <c r="H15" s="177"/>
      <c r="I15" s="178"/>
      <c r="J15" s="178"/>
      <c r="K15" s="178"/>
      <c r="L15" s="178"/>
      <c r="M15" s="178"/>
      <c r="N15" s="178"/>
      <c r="O15" s="183"/>
      <c r="P15" s="178"/>
      <c r="Q15" s="178"/>
      <c r="R15" s="178"/>
      <c r="S15" s="178"/>
      <c r="T15" s="178"/>
      <c r="U15" s="178"/>
      <c r="V15" s="58"/>
      <c r="W15" s="57"/>
      <c r="X15" s="57"/>
      <c r="Y15" s="57"/>
    </row>
    <row r="16" spans="1:36" ht="13" customHeight="1">
      <c r="A16" s="176" t="s">
        <v>170</v>
      </c>
      <c r="B16" s="240"/>
      <c r="C16" s="236"/>
      <c r="D16" s="236"/>
      <c r="E16" s="236"/>
      <c r="F16" s="236"/>
      <c r="G16" s="242"/>
      <c r="H16" s="177"/>
      <c r="I16" s="178"/>
      <c r="J16" s="178"/>
      <c r="K16" s="178"/>
      <c r="L16" s="178"/>
      <c r="M16" s="178"/>
      <c r="N16" s="178"/>
      <c r="O16" s="183"/>
      <c r="P16" s="178"/>
      <c r="Q16" s="178"/>
      <c r="R16" s="178"/>
      <c r="S16" s="178"/>
      <c r="T16" s="178"/>
      <c r="U16" s="178"/>
      <c r="V16" s="58"/>
      <c r="W16" s="57"/>
      <c r="X16" s="57"/>
      <c r="Y16" s="57"/>
    </row>
    <row r="17" spans="1:25" ht="13" customHeight="1">
      <c r="A17" s="179" t="s">
        <v>171</v>
      </c>
      <c r="B17" s="241"/>
      <c r="C17" s="239"/>
      <c r="D17" s="239"/>
      <c r="E17" s="239"/>
      <c r="F17" s="239"/>
      <c r="G17" s="243"/>
      <c r="H17" s="180"/>
      <c r="I17" s="181"/>
      <c r="J17" s="181"/>
      <c r="K17" s="181"/>
      <c r="L17" s="181"/>
      <c r="M17" s="181"/>
      <c r="N17" s="181"/>
      <c r="O17" s="184"/>
      <c r="P17" s="181"/>
      <c r="Q17" s="181"/>
      <c r="R17" s="181"/>
      <c r="S17" s="181"/>
      <c r="T17" s="181"/>
      <c r="U17" s="181"/>
      <c r="V17" s="58"/>
      <c r="W17" s="57"/>
      <c r="X17" s="57"/>
      <c r="Y17" s="57"/>
    </row>
    <row r="18" spans="1:25" ht="13" customHeight="1">
      <c r="A18" s="176" t="s">
        <v>48</v>
      </c>
      <c r="B18" s="240">
        <f>B8</f>
        <v>1541</v>
      </c>
      <c r="C18" s="235">
        <f t="shared" ref="C18:E18" si="0">C8</f>
        <v>6018</v>
      </c>
      <c r="D18" s="235">
        <f t="shared" si="0"/>
        <v>201951</v>
      </c>
      <c r="E18" s="235">
        <f t="shared" si="0"/>
        <v>2534993</v>
      </c>
      <c r="F18" s="235">
        <f t="shared" ref="F18" si="1">F8</f>
        <v>277</v>
      </c>
      <c r="G18" s="244">
        <f>G8</f>
        <v>2744780</v>
      </c>
      <c r="H18" s="177">
        <f>SUM(H6:H8)</f>
        <v>951.07421787183603</v>
      </c>
      <c r="I18" s="177">
        <f>SUM(I6:I8)</f>
        <v>240.06593152983899</v>
      </c>
      <c r="J18" s="177">
        <f t="shared" ref="J18:K18" si="2">SUM(J6:J8)</f>
        <v>415.43426502247405</v>
      </c>
      <c r="K18" s="177">
        <f t="shared" si="2"/>
        <v>746.19069889336299</v>
      </c>
      <c r="L18" s="177">
        <f t="shared" ref="L18" si="3">SUM(L6:L8)</f>
        <v>22.776600120695001</v>
      </c>
      <c r="M18" s="177">
        <f t="shared" ref="M18" si="4">SUM(M6:M8)</f>
        <v>39.080640818280358</v>
      </c>
      <c r="N18" s="177">
        <f>SUM(N6:N8)</f>
        <v>2414.6223542564876</v>
      </c>
      <c r="O18" s="183">
        <f>SUM(O6:O8)</f>
        <v>10357.751521942</v>
      </c>
      <c r="P18" s="177">
        <f>SUM(P6:P8)</f>
        <v>2614.6421453799999</v>
      </c>
      <c r="Q18" s="177">
        <f t="shared" ref="Q18:U18" si="5">SUM(Q6:Q8)</f>
        <v>4524.2474998255457</v>
      </c>
      <c r="R18" s="177">
        <f t="shared" si="5"/>
        <v>8126.0936473153852</v>
      </c>
      <c r="S18" s="177">
        <f t="shared" ref="S18" si="6">SUM(S6:S8)</f>
        <v>247.93894812999997</v>
      </c>
      <c r="T18" s="177">
        <f t="shared" ref="T18" si="7">SUM(T6:T8)</f>
        <v>426.42825482700005</v>
      </c>
      <c r="U18" s="177">
        <f t="shared" si="5"/>
        <v>26297.102017419929</v>
      </c>
    </row>
    <row r="19" spans="1:25" ht="13" customHeight="1">
      <c r="A19" s="176" t="s">
        <v>56</v>
      </c>
      <c r="B19" s="415">
        <f>B11</f>
        <v>0</v>
      </c>
      <c r="C19" s="416">
        <f t="shared" ref="C19:G19" si="8">C11</f>
        <v>0</v>
      </c>
      <c r="D19" s="416">
        <f t="shared" si="8"/>
        <v>0</v>
      </c>
      <c r="E19" s="416">
        <f t="shared" si="8"/>
        <v>0</v>
      </c>
      <c r="F19" s="416">
        <f t="shared" ref="F19" si="9">F11</f>
        <v>0</v>
      </c>
      <c r="G19" s="417">
        <f t="shared" si="8"/>
        <v>0</v>
      </c>
      <c r="H19" s="395">
        <f>SUM(H9:H11)</f>
        <v>0</v>
      </c>
      <c r="I19" s="395">
        <f>SUM(I9:I11)</f>
        <v>0</v>
      </c>
      <c r="J19" s="395">
        <f t="shared" ref="J19:N19" si="10">SUM(J9:J11)</f>
        <v>0</v>
      </c>
      <c r="K19" s="395">
        <f t="shared" si="10"/>
        <v>0</v>
      </c>
      <c r="L19" s="395">
        <f t="shared" ref="L19" si="11">SUM(L9:L11)</f>
        <v>0</v>
      </c>
      <c r="M19" s="395">
        <f t="shared" ref="M19" si="12">SUM(M9:M11)</f>
        <v>0</v>
      </c>
      <c r="N19" s="395">
        <f t="shared" si="10"/>
        <v>0</v>
      </c>
      <c r="O19" s="394">
        <f>SUM(O9:O11)</f>
        <v>0</v>
      </c>
      <c r="P19" s="395">
        <f>SUM(P9:P11)</f>
        <v>0</v>
      </c>
      <c r="Q19" s="395">
        <f t="shared" ref="Q19:U19" si="13">SUM(Q9:Q11)</f>
        <v>0</v>
      </c>
      <c r="R19" s="395">
        <f t="shared" si="13"/>
        <v>0</v>
      </c>
      <c r="S19" s="395">
        <f t="shared" ref="S19" si="14">SUM(S9:S11)</f>
        <v>0</v>
      </c>
      <c r="T19" s="395">
        <f t="shared" ref="T19" si="15">SUM(T9:T11)</f>
        <v>0</v>
      </c>
      <c r="U19" s="395">
        <f t="shared" si="13"/>
        <v>0</v>
      </c>
    </row>
    <row r="20" spans="1:25" ht="13" customHeight="1">
      <c r="A20" s="176" t="s">
        <v>63</v>
      </c>
      <c r="B20" s="415">
        <f>B14</f>
        <v>0</v>
      </c>
      <c r="C20" s="416">
        <f t="shared" ref="C20:G20" si="16">C14</f>
        <v>0</v>
      </c>
      <c r="D20" s="416">
        <f t="shared" si="16"/>
        <v>0</v>
      </c>
      <c r="E20" s="416">
        <f t="shared" si="16"/>
        <v>0</v>
      </c>
      <c r="F20" s="416">
        <f t="shared" ref="F20" si="17">F14</f>
        <v>0</v>
      </c>
      <c r="G20" s="417">
        <f t="shared" si="16"/>
        <v>0</v>
      </c>
      <c r="H20" s="395">
        <f>SUM(H12:H14)</f>
        <v>0</v>
      </c>
      <c r="I20" s="395">
        <f>SUM(I12:I14)</f>
        <v>0</v>
      </c>
      <c r="J20" s="395">
        <f t="shared" ref="J20:N20" si="18">SUM(J12:J14)</f>
        <v>0</v>
      </c>
      <c r="K20" s="395">
        <f t="shared" si="18"/>
        <v>0</v>
      </c>
      <c r="L20" s="395">
        <f t="shared" ref="L20" si="19">SUM(L12:L14)</f>
        <v>0</v>
      </c>
      <c r="M20" s="395">
        <f t="shared" ref="M20" si="20">SUM(M12:M14)</f>
        <v>0</v>
      </c>
      <c r="N20" s="395">
        <f t="shared" si="18"/>
        <v>0</v>
      </c>
      <c r="O20" s="394">
        <f>SUM(O12:O14)</f>
        <v>0</v>
      </c>
      <c r="P20" s="395">
        <f>SUM(P12:P14)</f>
        <v>0</v>
      </c>
      <c r="Q20" s="395">
        <f t="shared" ref="Q20:U20" si="21">SUM(Q12:Q14)</f>
        <v>0</v>
      </c>
      <c r="R20" s="395">
        <f t="shared" si="21"/>
        <v>0</v>
      </c>
      <c r="S20" s="395">
        <f t="shared" ref="S20" si="22">SUM(S12:S14)</f>
        <v>0</v>
      </c>
      <c r="T20" s="395">
        <f t="shared" ref="T20" si="23">SUM(T12:T14)</f>
        <v>0</v>
      </c>
      <c r="U20" s="395">
        <f t="shared" si="21"/>
        <v>0</v>
      </c>
    </row>
    <row r="21" spans="1:25" ht="13" customHeight="1">
      <c r="A21" s="179" t="s">
        <v>57</v>
      </c>
      <c r="B21" s="418">
        <f>B17</f>
        <v>0</v>
      </c>
      <c r="C21" s="419">
        <f t="shared" ref="C21:E21" si="24">C17</f>
        <v>0</v>
      </c>
      <c r="D21" s="419">
        <f t="shared" si="24"/>
        <v>0</v>
      </c>
      <c r="E21" s="419">
        <f t="shared" si="24"/>
        <v>0</v>
      </c>
      <c r="F21" s="419">
        <f t="shared" ref="F21" si="25">F17</f>
        <v>0</v>
      </c>
      <c r="G21" s="420">
        <f>G17</f>
        <v>0</v>
      </c>
      <c r="H21" s="398">
        <f>SUM(H15:H17)</f>
        <v>0</v>
      </c>
      <c r="I21" s="398">
        <f>SUM(I15:I17)</f>
        <v>0</v>
      </c>
      <c r="J21" s="398">
        <f t="shared" ref="J21:N21" si="26">SUM(J15:J17)</f>
        <v>0</v>
      </c>
      <c r="K21" s="398">
        <f t="shared" si="26"/>
        <v>0</v>
      </c>
      <c r="L21" s="398">
        <f t="shared" ref="L21" si="27">SUM(L15:L17)</f>
        <v>0</v>
      </c>
      <c r="M21" s="398">
        <f t="shared" ref="M21" si="28">SUM(M15:M17)</f>
        <v>0</v>
      </c>
      <c r="N21" s="398">
        <f t="shared" si="26"/>
        <v>0</v>
      </c>
      <c r="O21" s="397">
        <f>SUM(O15:O17)</f>
        <v>0</v>
      </c>
      <c r="P21" s="398">
        <f>SUM(P15:P17)</f>
        <v>0</v>
      </c>
      <c r="Q21" s="398">
        <f t="shared" ref="Q21:U21" si="29">SUM(Q15:Q17)</f>
        <v>0</v>
      </c>
      <c r="R21" s="398">
        <f t="shared" si="29"/>
        <v>0</v>
      </c>
      <c r="S21" s="398">
        <f t="shared" ref="S21" si="30">SUM(S15:S17)</f>
        <v>0</v>
      </c>
      <c r="T21" s="398">
        <f t="shared" ref="T21" si="31">SUM(T15:T17)</f>
        <v>0</v>
      </c>
      <c r="U21" s="398">
        <f t="shared" si="29"/>
        <v>0</v>
      </c>
    </row>
    <row r="22" spans="1:25" ht="13" customHeight="1">
      <c r="A22" s="176" t="s">
        <v>58</v>
      </c>
      <c r="B22" s="415">
        <f>B11</f>
        <v>0</v>
      </c>
      <c r="C22" s="416">
        <f t="shared" ref="C22:G22" si="32">C11</f>
        <v>0</v>
      </c>
      <c r="D22" s="416">
        <f t="shared" si="32"/>
        <v>0</v>
      </c>
      <c r="E22" s="416">
        <f t="shared" si="32"/>
        <v>0</v>
      </c>
      <c r="F22" s="416">
        <f t="shared" ref="F22" si="33">F11</f>
        <v>0</v>
      </c>
      <c r="G22" s="417">
        <f t="shared" si="32"/>
        <v>0</v>
      </c>
      <c r="H22" s="395">
        <f>SUM(H6:H11)</f>
        <v>951.07421787183603</v>
      </c>
      <c r="I22" s="395">
        <f>SUM(I6:I11)</f>
        <v>240.06593152983899</v>
      </c>
      <c r="J22" s="395">
        <f t="shared" ref="J22:N22" si="34">SUM(J6:J11)</f>
        <v>415.43426502247405</v>
      </c>
      <c r="K22" s="395">
        <f t="shared" si="34"/>
        <v>746.19069889336299</v>
      </c>
      <c r="L22" s="395">
        <f t="shared" ref="L22" si="35">SUM(L6:L11)</f>
        <v>22.776600120695001</v>
      </c>
      <c r="M22" s="395">
        <f t="shared" ref="M22" si="36">SUM(M6:M11)</f>
        <v>39.080640818280358</v>
      </c>
      <c r="N22" s="395">
        <f t="shared" si="34"/>
        <v>2414.6223542564876</v>
      </c>
      <c r="O22" s="394">
        <f>SUM(O6:O11)</f>
        <v>10357.751521942</v>
      </c>
      <c r="P22" s="395">
        <f>SUM(P6:P11)</f>
        <v>2614.6421453799999</v>
      </c>
      <c r="Q22" s="395">
        <f t="shared" ref="Q22:U22" si="37">SUM(Q6:Q11)</f>
        <v>4524.2474998255457</v>
      </c>
      <c r="R22" s="395">
        <f t="shared" si="37"/>
        <v>8126.0936473153852</v>
      </c>
      <c r="S22" s="395">
        <f t="shared" ref="S22" si="38">SUM(S6:S11)</f>
        <v>247.93894812999997</v>
      </c>
      <c r="T22" s="395">
        <f t="shared" ref="T22" si="39">SUM(T6:T11)</f>
        <v>426.42825482700005</v>
      </c>
      <c r="U22" s="395">
        <f t="shared" si="37"/>
        <v>26297.102017419929</v>
      </c>
    </row>
    <row r="23" spans="1:25" ht="13" customHeight="1">
      <c r="A23" s="179" t="s">
        <v>59</v>
      </c>
      <c r="B23" s="418">
        <f>B17</f>
        <v>0</v>
      </c>
      <c r="C23" s="419">
        <f t="shared" ref="C23:G23" si="40">C17</f>
        <v>0</v>
      </c>
      <c r="D23" s="419">
        <f t="shared" si="40"/>
        <v>0</v>
      </c>
      <c r="E23" s="419">
        <f t="shared" si="40"/>
        <v>0</v>
      </c>
      <c r="F23" s="419">
        <f t="shared" ref="F23" si="41">F17</f>
        <v>0</v>
      </c>
      <c r="G23" s="420">
        <f t="shared" si="40"/>
        <v>0</v>
      </c>
      <c r="H23" s="398">
        <f>SUM(H12:H17)</f>
        <v>0</v>
      </c>
      <c r="I23" s="398">
        <f>SUM(I12:I17)</f>
        <v>0</v>
      </c>
      <c r="J23" s="398">
        <f t="shared" ref="J23:N23" si="42">SUM(J12:J17)</f>
        <v>0</v>
      </c>
      <c r="K23" s="398">
        <f t="shared" si="42"/>
        <v>0</v>
      </c>
      <c r="L23" s="398">
        <f t="shared" ref="L23" si="43">SUM(L12:L17)</f>
        <v>0</v>
      </c>
      <c r="M23" s="398">
        <f t="shared" ref="M23" si="44">SUM(M12:M17)</f>
        <v>0</v>
      </c>
      <c r="N23" s="398">
        <f t="shared" si="42"/>
        <v>0</v>
      </c>
      <c r="O23" s="397">
        <f>SUM(O12:O17)</f>
        <v>0</v>
      </c>
      <c r="P23" s="398">
        <f>SUM(P12:P17)</f>
        <v>0</v>
      </c>
      <c r="Q23" s="398">
        <f t="shared" ref="Q23:U23" si="45">SUM(Q12:Q17)</f>
        <v>0</v>
      </c>
      <c r="R23" s="398">
        <f t="shared" si="45"/>
        <v>0</v>
      </c>
      <c r="S23" s="398">
        <f t="shared" ref="S23" si="46">SUM(S12:S17)</f>
        <v>0</v>
      </c>
      <c r="T23" s="398">
        <f t="shared" ref="T23" si="47">SUM(T12:T17)</f>
        <v>0</v>
      </c>
      <c r="U23" s="398">
        <f t="shared" si="45"/>
        <v>0</v>
      </c>
    </row>
    <row r="24" spans="1:25" ht="13" customHeight="1">
      <c r="A24" s="179" t="s">
        <v>172</v>
      </c>
      <c r="B24" s="418">
        <f>B17</f>
        <v>0</v>
      </c>
      <c r="C24" s="419">
        <f t="shared" ref="C24:G24" si="48">C17</f>
        <v>0</v>
      </c>
      <c r="D24" s="419">
        <f t="shared" si="48"/>
        <v>0</v>
      </c>
      <c r="E24" s="419">
        <f t="shared" si="48"/>
        <v>0</v>
      </c>
      <c r="F24" s="419">
        <f t="shared" ref="F24" si="49">F17</f>
        <v>0</v>
      </c>
      <c r="G24" s="420">
        <f t="shared" si="48"/>
        <v>0</v>
      </c>
      <c r="H24" s="398">
        <f>SUM(H6:H17)</f>
        <v>951.07421787183603</v>
      </c>
      <c r="I24" s="398">
        <f>SUM(I6:I17)</f>
        <v>240.06593152983899</v>
      </c>
      <c r="J24" s="398">
        <f t="shared" ref="J24:N24" si="50">SUM(J6:J17)</f>
        <v>415.43426502247405</v>
      </c>
      <c r="K24" s="398">
        <f t="shared" si="50"/>
        <v>746.19069889336299</v>
      </c>
      <c r="L24" s="398">
        <f t="shared" ref="L24" si="51">SUM(L6:L17)</f>
        <v>22.776600120695001</v>
      </c>
      <c r="M24" s="398">
        <f t="shared" ref="M24" si="52">SUM(M6:M17)</f>
        <v>39.080640818280358</v>
      </c>
      <c r="N24" s="398">
        <f t="shared" si="50"/>
        <v>2414.6223542564876</v>
      </c>
      <c r="O24" s="397">
        <f>SUM(O6:O17)</f>
        <v>10357.751521942</v>
      </c>
      <c r="P24" s="398">
        <f>SUM(P6:P17)</f>
        <v>2614.6421453799999</v>
      </c>
      <c r="Q24" s="398">
        <f t="shared" ref="Q24:U24" si="53">SUM(Q6:Q17)</f>
        <v>4524.2474998255457</v>
      </c>
      <c r="R24" s="398">
        <f t="shared" si="53"/>
        <v>8126.0936473153852</v>
      </c>
      <c r="S24" s="398">
        <f t="shared" ref="S24" si="54">SUM(S6:S17)</f>
        <v>247.93894812999997</v>
      </c>
      <c r="T24" s="398">
        <f t="shared" ref="T24" si="55">SUM(T6:T17)</f>
        <v>426.42825482700005</v>
      </c>
      <c r="U24" s="398">
        <f t="shared" si="53"/>
        <v>26297.102017419929</v>
      </c>
    </row>
    <row r="25" spans="1:25" ht="15" customHeight="1"/>
    <row r="26" spans="1:25" ht="26.15" customHeight="1">
      <c r="A26" s="458" t="s">
        <v>309</v>
      </c>
      <c r="B26" s="458"/>
      <c r="C26" s="458"/>
      <c r="D26" s="458"/>
      <c r="E26" s="458"/>
      <c r="F26" s="458"/>
      <c r="G26" s="458"/>
      <c r="H26" s="458"/>
      <c r="I26" s="458" t="s">
        <v>252</v>
      </c>
      <c r="J26" s="458"/>
      <c r="K26" s="458"/>
      <c r="L26" s="458"/>
      <c r="M26" s="458"/>
      <c r="N26" s="118"/>
      <c r="O26" s="118"/>
      <c r="P26" s="458" t="s">
        <v>253</v>
      </c>
      <c r="Q26" s="472"/>
      <c r="R26" s="472"/>
      <c r="S26" s="472"/>
      <c r="T26" s="472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74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B18</f>
        <v>1541</v>
      </c>
      <c r="C28" s="74">
        <f>C18</f>
        <v>6018</v>
      </c>
      <c r="D28" s="74">
        <f>D18</f>
        <v>201951</v>
      </c>
      <c r="E28" s="74">
        <f>E18</f>
        <v>2534993</v>
      </c>
      <c r="F28" s="74">
        <f>F18</f>
        <v>277</v>
      </c>
      <c r="G28" s="375"/>
      <c r="H28" s="73" t="str">
        <f>A18</f>
        <v>I. čtvrtletí</v>
      </c>
      <c r="I28" s="75">
        <f>H18</f>
        <v>951.07421787183603</v>
      </c>
      <c r="J28" s="75">
        <f t="shared" ref="J28:M28" si="60">I18</f>
        <v>240.06593152983899</v>
      </c>
      <c r="K28" s="75">
        <f t="shared" si="60"/>
        <v>415.43426502247405</v>
      </c>
      <c r="L28" s="75">
        <f t="shared" si="60"/>
        <v>746.19069889336299</v>
      </c>
      <c r="M28" s="75">
        <f t="shared" si="60"/>
        <v>22.776600120695001</v>
      </c>
      <c r="N28" s="61"/>
      <c r="O28" s="72" t="str">
        <f>A18</f>
        <v>I. čtvrtletí</v>
      </c>
      <c r="P28" s="74">
        <f>O18</f>
        <v>10357.751521942</v>
      </c>
      <c r="Q28" s="74">
        <f t="shared" ref="Q28:T28" si="61">P18</f>
        <v>2614.6421453799999</v>
      </c>
      <c r="R28" s="74">
        <f t="shared" si="61"/>
        <v>4524.2474998255457</v>
      </c>
      <c r="S28" s="74">
        <f t="shared" si="61"/>
        <v>8126.0936473153852</v>
      </c>
      <c r="T28" s="74">
        <f t="shared" si="61"/>
        <v>247.93894812999997</v>
      </c>
      <c r="U28" s="63"/>
    </row>
    <row r="29" spans="1:25" ht="12" customHeight="1">
      <c r="B29" s="390"/>
      <c r="C29" s="390"/>
      <c r="D29" s="390"/>
      <c r="E29" s="375"/>
      <c r="F29" s="375"/>
      <c r="G29" s="375"/>
      <c r="H29" s="73" t="str">
        <f t="shared" ref="H29:H31" si="62">A19</f>
        <v>II. čtvrtletí</v>
      </c>
      <c r="I29" s="75">
        <f t="shared" ref="I29:M29" si="63">H19</f>
        <v>0</v>
      </c>
      <c r="J29" s="75">
        <f t="shared" si="63"/>
        <v>0</v>
      </c>
      <c r="K29" s="75">
        <f t="shared" si="63"/>
        <v>0</v>
      </c>
      <c r="L29" s="75">
        <f t="shared" si="63"/>
        <v>0</v>
      </c>
      <c r="M29" s="75">
        <f t="shared" si="63"/>
        <v>0</v>
      </c>
      <c r="N29" s="61"/>
      <c r="O29" s="72" t="str">
        <f t="shared" ref="O29:O31" si="64">A19</f>
        <v>II. čtvrtletí</v>
      </c>
      <c r="P29" s="74">
        <f t="shared" ref="P29:T29" si="65">O19</f>
        <v>0</v>
      </c>
      <c r="Q29" s="74">
        <f t="shared" si="65"/>
        <v>0</v>
      </c>
      <c r="R29" s="74">
        <f t="shared" si="65"/>
        <v>0</v>
      </c>
      <c r="S29" s="74">
        <f t="shared" si="65"/>
        <v>0</v>
      </c>
      <c r="T29" s="74">
        <f t="shared" si="65"/>
        <v>0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0</v>
      </c>
      <c r="J30" s="75">
        <f t="shared" si="66"/>
        <v>0</v>
      </c>
      <c r="K30" s="75">
        <f t="shared" si="66"/>
        <v>0</v>
      </c>
      <c r="L30" s="75">
        <f t="shared" si="66"/>
        <v>0</v>
      </c>
      <c r="M30" s="75">
        <f t="shared" si="66"/>
        <v>0</v>
      </c>
      <c r="N30" s="61"/>
      <c r="O30" s="72" t="str">
        <f t="shared" si="64"/>
        <v>III. čtvrtletí</v>
      </c>
      <c r="P30" s="74">
        <f t="shared" ref="P30:T30" si="67">O20</f>
        <v>0</v>
      </c>
      <c r="Q30" s="74">
        <f t="shared" si="67"/>
        <v>0</v>
      </c>
      <c r="R30" s="74">
        <f t="shared" si="67"/>
        <v>0</v>
      </c>
      <c r="S30" s="74">
        <f t="shared" si="67"/>
        <v>0</v>
      </c>
      <c r="T30" s="74">
        <f t="shared" si="67"/>
        <v>0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0</v>
      </c>
      <c r="J31" s="75">
        <f t="shared" si="68"/>
        <v>0</v>
      </c>
      <c r="K31" s="75">
        <f t="shared" si="68"/>
        <v>0</v>
      </c>
      <c r="L31" s="75">
        <f t="shared" si="68"/>
        <v>0</v>
      </c>
      <c r="M31" s="75">
        <f t="shared" si="68"/>
        <v>0</v>
      </c>
      <c r="N31" s="61"/>
      <c r="O31" s="72" t="str">
        <f t="shared" si="64"/>
        <v>IV. čtvrtletí</v>
      </c>
      <c r="P31" s="74">
        <f t="shared" ref="P31:T31" si="69">O21</f>
        <v>0</v>
      </c>
      <c r="Q31" s="74">
        <f t="shared" si="69"/>
        <v>0</v>
      </c>
      <c r="R31" s="74">
        <f t="shared" si="69"/>
        <v>0</v>
      </c>
      <c r="S31" s="74">
        <f t="shared" si="69"/>
        <v>0</v>
      </c>
      <c r="T31" s="74">
        <f t="shared" si="69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74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74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2024-05-16T07:29:38Z</cp:lastPrinted>
  <dcterms:created xsi:type="dcterms:W3CDTF">2010-02-15T08:19:53Z</dcterms:created>
  <dcterms:modified xsi:type="dcterms:W3CDTF">2024-05-16T07:31:17Z</dcterms:modified>
</cp:coreProperties>
</file>