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2\"/>
    </mc:Choice>
  </mc:AlternateContent>
  <xr:revisionPtr revIDLastSave="0" documentId="14_{882B052A-CAA5-4EF5-A5AE-4FAB761EF4D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80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</sheets>
  <definedNames>
    <definedName name="Datum_OTE">"2. 5. 2017"</definedName>
    <definedName name="_xlnm.Print_Area" localSheetId="4">'2'!$A$1:$I$51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/>
  <fileRecoveryPr repairLoad="1"/>
</workbook>
</file>

<file path=xl/calcChain.xml><?xml version="1.0" encoding="utf-8"?>
<calcChain xmlns="http://schemas.openxmlformats.org/spreadsheetml/2006/main">
  <c r="G26" i="108" l="1"/>
  <c r="B36" i="170" l="1"/>
  <c r="B35" i="170"/>
  <c r="B34" i="170"/>
  <c r="B33" i="170"/>
  <c r="B32" i="170"/>
  <c r="B31" i="170"/>
  <c r="B30" i="170"/>
  <c r="B29" i="170"/>
  <c r="B28" i="170"/>
  <c r="B27" i="170"/>
  <c r="B26" i="170"/>
  <c r="B25" i="170"/>
  <c r="B24" i="170"/>
  <c r="B23" i="170"/>
  <c r="B22" i="170"/>
  <c r="B21" i="170"/>
  <c r="B20" i="170"/>
  <c r="B19" i="170"/>
  <c r="B18" i="170"/>
  <c r="B17" i="170"/>
  <c r="B16" i="170"/>
  <c r="B15" i="170"/>
  <c r="B14" i="170"/>
  <c r="B13" i="170"/>
  <c r="B12" i="170"/>
  <c r="B11" i="170"/>
  <c r="B10" i="170"/>
  <c r="B9" i="170"/>
  <c r="B8" i="170"/>
  <c r="B7" i="170"/>
  <c r="B6" i="170"/>
  <c r="B5" i="170"/>
  <c r="B4" i="170"/>
  <c r="B3" i="170"/>
  <c r="A4" i="170"/>
  <c r="A5" i="170"/>
  <c r="A6" i="170"/>
  <c r="A7" i="170"/>
  <c r="A8" i="170"/>
  <c r="A9" i="170"/>
  <c r="A10" i="170"/>
  <c r="A11" i="170"/>
  <c r="A12" i="170"/>
  <c r="A13" i="170"/>
  <c r="A14" i="170"/>
  <c r="A15" i="170"/>
  <c r="A16" i="170"/>
  <c r="A17" i="170"/>
  <c r="A18" i="170"/>
  <c r="A19" i="170"/>
  <c r="A20" i="170"/>
  <c r="A21" i="170"/>
  <c r="A22" i="170"/>
  <c r="A23" i="170"/>
  <c r="A24" i="170"/>
  <c r="A25" i="170"/>
  <c r="A26" i="170"/>
  <c r="A27" i="170"/>
  <c r="A28" i="170"/>
  <c r="A29" i="170"/>
  <c r="A30" i="170"/>
  <c r="A31" i="170"/>
  <c r="A32" i="170"/>
  <c r="A33" i="170"/>
  <c r="A34" i="170"/>
  <c r="A35" i="170"/>
  <c r="A36" i="170"/>
  <c r="A3" i="170"/>
  <c r="A1" i="179"/>
  <c r="A1" i="141" l="1"/>
  <c r="A1" i="140"/>
  <c r="A1" i="139"/>
  <c r="A1" i="120"/>
  <c r="A1" i="163"/>
  <c r="A1" i="162"/>
  <c r="A1" i="161"/>
  <c r="A1" i="126"/>
  <c r="B4" i="126" l="1"/>
  <c r="B4" i="161"/>
  <c r="B4" i="162"/>
  <c r="B4" i="163"/>
  <c r="F7" i="141" l="1"/>
  <c r="B4" i="141"/>
  <c r="B4" i="140"/>
  <c r="B4" i="139"/>
  <c r="B4" i="120"/>
  <c r="A3" i="141"/>
  <c r="A3" i="120"/>
  <c r="A3" i="140"/>
  <c r="A3" i="139"/>
  <c r="I19" i="147" l="1"/>
  <c r="A30" i="128"/>
  <c r="A4" i="128"/>
  <c r="E7" i="120"/>
  <c r="D34" i="108"/>
  <c r="D34" i="109"/>
  <c r="D34" i="110"/>
  <c r="I34" i="110" s="1"/>
  <c r="D34" i="111"/>
  <c r="I34" i="111" s="1"/>
  <c r="D34" i="112"/>
  <c r="D34" i="113"/>
  <c r="D34" i="107"/>
  <c r="I34" i="107" s="1"/>
  <c r="I34" i="108"/>
  <c r="I34" i="109"/>
  <c r="I34" i="112"/>
  <c r="I34" i="113"/>
  <c r="D4" i="108" l="1"/>
  <c r="D4" i="109"/>
  <c r="D4" i="110"/>
  <c r="D4" i="111"/>
  <c r="D4" i="112"/>
  <c r="D4" i="113"/>
  <c r="D4" i="107"/>
  <c r="I41" i="167"/>
  <c r="I41" i="166"/>
  <c r="I41" i="168"/>
  <c r="I41" i="165"/>
  <c r="C41" i="167"/>
  <c r="C41" i="166"/>
  <c r="C41" i="168"/>
  <c r="C41" i="165"/>
  <c r="D3" i="167"/>
  <c r="I3" i="167" s="1"/>
  <c r="D3" i="166"/>
  <c r="I3" i="166" s="1"/>
  <c r="D3" i="168"/>
  <c r="I3" i="168" s="1"/>
  <c r="D3" i="165"/>
  <c r="I3" i="165" s="1"/>
  <c r="A3" i="133" l="1"/>
  <c r="D4" i="116"/>
  <c r="A3" i="145" l="1"/>
  <c r="A3" i="147"/>
  <c r="B6" i="146"/>
  <c r="A4" i="146"/>
  <c r="A3" i="122"/>
  <c r="E4" i="170" l="1"/>
  <c r="B22" i="122" l="1"/>
  <c r="B18" i="122"/>
  <c r="B23" i="147" l="1"/>
  <c r="H23" i="147"/>
  <c r="H14" i="116" l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K51" i="105" l="1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H16" i="179" s="1"/>
  <c r="K35" i="105"/>
  <c r="K34" i="105"/>
  <c r="K33" i="105"/>
  <c r="K32" i="105"/>
  <c r="K31" i="105"/>
  <c r="K30" i="105"/>
  <c r="K29" i="105"/>
  <c r="K28" i="105"/>
  <c r="K27" i="105"/>
  <c r="H14" i="179" s="1"/>
  <c r="K26" i="105"/>
  <c r="K25" i="105"/>
  <c r="K24" i="105"/>
  <c r="K23" i="105"/>
  <c r="K22" i="105"/>
  <c r="H13" i="179" s="1"/>
  <c r="K21" i="105"/>
  <c r="K20" i="105"/>
  <c r="K19" i="105"/>
  <c r="K18" i="105"/>
  <c r="H12" i="179" s="1"/>
  <c r="K17" i="105"/>
  <c r="K16" i="105"/>
  <c r="K15" i="105"/>
  <c r="K14" i="105"/>
  <c r="K13" i="105"/>
  <c r="K12" i="105"/>
  <c r="K11" i="105"/>
  <c r="H10" i="179" s="1"/>
  <c r="K10" i="105"/>
  <c r="K9" i="105"/>
  <c r="K8" i="105"/>
  <c r="H9" i="179" s="1"/>
  <c r="K7" i="105"/>
  <c r="K6" i="105"/>
  <c r="G51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E16" i="179" s="1"/>
  <c r="G35" i="105"/>
  <c r="G34" i="105"/>
  <c r="G33" i="105"/>
  <c r="G32" i="105"/>
  <c r="G31" i="105"/>
  <c r="G30" i="105"/>
  <c r="G29" i="105"/>
  <c r="G28" i="105"/>
  <c r="G27" i="105"/>
  <c r="E14" i="179" s="1"/>
  <c r="G26" i="105"/>
  <c r="G25" i="105"/>
  <c r="G24" i="105"/>
  <c r="G23" i="105"/>
  <c r="G22" i="105"/>
  <c r="E13" i="179" s="1"/>
  <c r="G21" i="105"/>
  <c r="G20" i="105"/>
  <c r="G19" i="105"/>
  <c r="G18" i="105"/>
  <c r="E12" i="179" s="1"/>
  <c r="G17" i="105"/>
  <c r="G16" i="105"/>
  <c r="G15" i="105"/>
  <c r="G14" i="105"/>
  <c r="G13" i="105"/>
  <c r="G12" i="105"/>
  <c r="G11" i="105"/>
  <c r="E10" i="179" s="1"/>
  <c r="G10" i="105"/>
  <c r="G9" i="105"/>
  <c r="G8" i="105"/>
  <c r="E9" i="179" s="1"/>
  <c r="G7" i="105"/>
  <c r="G6" i="105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R49" i="128" l="1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R44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R43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N30" i="146" l="1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A57" i="108" l="1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3" i="162"/>
  <c r="E20" i="170" s="1"/>
  <c r="A3" i="161"/>
  <c r="E19" i="170" s="1"/>
  <c r="A3" i="126"/>
  <c r="E18" i="170" s="1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H20" i="168"/>
  <c r="F10" i="161" s="1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K14" i="168"/>
  <c r="H14" i="168"/>
  <c r="G14" i="168"/>
  <c r="A14" i="168"/>
  <c r="H43" i="168" s="1"/>
  <c r="H13" i="168"/>
  <c r="F10" i="126" s="1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K7" i="168"/>
  <c r="H7" i="168"/>
  <c r="G7" i="168"/>
  <c r="A7" i="168"/>
  <c r="B42" i="168" s="1"/>
  <c r="D44" i="167"/>
  <c r="C44" i="167"/>
  <c r="D43" i="167"/>
  <c r="C43" i="167"/>
  <c r="D42" i="167"/>
  <c r="C42" i="167"/>
  <c r="J33" i="167"/>
  <c r="I33" i="167"/>
  <c r="F33" i="167"/>
  <c r="J32" i="167"/>
  <c r="I32" i="167"/>
  <c r="F32" i="167"/>
  <c r="D32" i="167"/>
  <c r="J31" i="167"/>
  <c r="I31" i="167"/>
  <c r="F31" i="167"/>
  <c r="D31" i="167"/>
  <c r="J30" i="167"/>
  <c r="I30" i="167"/>
  <c r="F30" i="167"/>
  <c r="D30" i="167"/>
  <c r="J29" i="167"/>
  <c r="I29" i="167"/>
  <c r="F29" i="167"/>
  <c r="D29" i="167"/>
  <c r="J28" i="167"/>
  <c r="I28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C45" i="167" l="1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13" i="168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J34" i="167"/>
  <c r="H31" i="167"/>
  <c r="G13" i="168"/>
  <c r="G20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I34" i="167"/>
  <c r="K32" i="167" s="1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J41" i="166" l="1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9" i="107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I45" i="165" l="1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G26" i="107"/>
  <c r="G20" i="107"/>
  <c r="G14" i="10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S19" i="146" l="1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I34" i="116"/>
  <c r="J33" i="116"/>
  <c r="I33" i="116"/>
  <c r="J32" i="116"/>
  <c r="I32" i="116"/>
  <c r="J31" i="116"/>
  <c r="I31" i="116"/>
  <c r="J30" i="116"/>
  <c r="I30" i="116"/>
  <c r="J29" i="116"/>
  <c r="I29" i="116"/>
  <c r="E11" i="161" l="1"/>
  <c r="E11" i="162"/>
  <c r="K14" i="116"/>
  <c r="K21" i="116"/>
  <c r="J35" i="116"/>
  <c r="D11" i="126"/>
  <c r="I35" i="116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3" i="116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Q19" i="146" l="1"/>
  <c r="E26" i="179" s="1"/>
  <c r="Q20" i="146"/>
  <c r="Q21" i="146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H44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25" i="108"/>
  <c r="G19" i="108"/>
  <c r="G13" i="108"/>
  <c r="G12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28" i="147" s="1"/>
  <c r="F19" i="147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G24" i="108"/>
  <c r="H23" i="108"/>
  <c r="G23" i="108"/>
  <c r="H22" i="108"/>
  <c r="G22" i="108"/>
  <c r="H21" i="108"/>
  <c r="G21" i="108"/>
  <c r="H20" i="108"/>
  <c r="H18" i="108"/>
  <c r="G18" i="108"/>
  <c r="H17" i="108"/>
  <c r="G17" i="108"/>
  <c r="H16" i="108"/>
  <c r="G16" i="108"/>
  <c r="H15" i="108"/>
  <c r="G15" i="108"/>
  <c r="H14" i="108"/>
  <c r="H12" i="108"/>
  <c r="H11" i="108"/>
  <c r="G11" i="108"/>
  <c r="H10" i="108"/>
  <c r="G10" i="108"/>
  <c r="H9" i="108"/>
  <c r="G9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G20" i="108"/>
  <c r="G14" i="108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0" i="108"/>
  <c r="G60" i="107"/>
  <c r="H62" i="107"/>
  <c r="G57" i="107"/>
  <c r="G61" i="107"/>
  <c r="G58" i="107"/>
  <c r="G32" i="108" l="1"/>
  <c r="G62" i="107"/>
  <c r="H39" i="145"/>
  <c r="H40" i="145"/>
  <c r="B39" i="145"/>
  <c r="I20" i="122" l="1"/>
  <c r="B20" i="122"/>
  <c r="P21" i="146" l="1"/>
  <c r="O21" i="146"/>
  <c r="N21" i="146"/>
  <c r="Q24" i="146"/>
  <c r="T25" i="146"/>
  <c r="S25" i="146"/>
  <c r="Q25" i="146"/>
  <c r="P25" i="146"/>
  <c r="O25" i="146"/>
  <c r="N25" i="146"/>
  <c r="K25" i="146"/>
  <c r="I25" i="146"/>
  <c r="E25" i="146"/>
  <c r="B25" i="146"/>
  <c r="T24" i="146"/>
  <c r="S24" i="146"/>
  <c r="P24" i="146"/>
  <c r="O24" i="146"/>
  <c r="N24" i="146"/>
  <c r="K24" i="146"/>
  <c r="I24" i="146"/>
  <c r="E24" i="146"/>
  <c r="B24" i="146"/>
  <c r="T23" i="146"/>
  <c r="S23" i="146"/>
  <c r="Q23" i="146"/>
  <c r="P23" i="146"/>
  <c r="O23" i="146"/>
  <c r="N23" i="146"/>
  <c r="K23" i="146"/>
  <c r="I23" i="146"/>
  <c r="E23" i="146"/>
  <c r="B23" i="146"/>
  <c r="T22" i="146"/>
  <c r="S22" i="146"/>
  <c r="Q22" i="146"/>
  <c r="P22" i="146"/>
  <c r="O22" i="146"/>
  <c r="N22" i="146"/>
  <c r="K22" i="146"/>
  <c r="I22" i="146"/>
  <c r="E22" i="146"/>
  <c r="B22" i="146"/>
  <c r="T21" i="146"/>
  <c r="S21" i="146"/>
  <c r="K21" i="146"/>
  <c r="I21" i="146"/>
  <c r="E21" i="146"/>
  <c r="B21" i="146"/>
  <c r="T20" i="146"/>
  <c r="S20" i="146"/>
  <c r="P20" i="146"/>
  <c r="O20" i="146"/>
  <c r="N20" i="146"/>
  <c r="R20" i="146" s="1"/>
  <c r="K20" i="146"/>
  <c r="I20" i="146"/>
  <c r="E20" i="146"/>
  <c r="B20" i="146"/>
  <c r="T19" i="146"/>
  <c r="P19" i="146"/>
  <c r="O19" i="146"/>
  <c r="N19" i="146"/>
  <c r="K19" i="146"/>
  <c r="H22" i="179" s="1"/>
  <c r="I19" i="146"/>
  <c r="H19" i="179" s="1"/>
  <c r="E19" i="146"/>
  <c r="E22" i="179" s="1"/>
  <c r="B19" i="146"/>
  <c r="E19" i="179" s="1"/>
  <c r="R19" i="146" l="1"/>
  <c r="E27" i="179" s="1"/>
  <c r="E25" i="179"/>
  <c r="D19" i="146"/>
  <c r="E20" i="179" s="1"/>
  <c r="D22" i="146"/>
  <c r="D24" i="146"/>
  <c r="D21" i="146"/>
  <c r="D20" i="146"/>
  <c r="R22" i="146"/>
  <c r="R23" i="146"/>
  <c r="G19" i="146"/>
  <c r="E23" i="179" s="1"/>
  <c r="D25" i="146"/>
  <c r="G25" i="146"/>
  <c r="R25" i="146"/>
  <c r="G22" i="146"/>
  <c r="G23" i="146"/>
  <c r="G24" i="146"/>
  <c r="R24" i="146"/>
  <c r="R21" i="146"/>
  <c r="D23" i="146"/>
  <c r="G20" i="146"/>
  <c r="G21" i="146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C19" i="147"/>
  <c r="D19" i="147"/>
  <c r="E19" i="147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C28" i="147" s="1"/>
  <c r="D18" i="147"/>
  <c r="D28" i="147" s="1"/>
  <c r="E18" i="147"/>
  <c r="E28" i="147" s="1"/>
  <c r="B18" i="147"/>
  <c r="B28" i="147" s="1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I28" i="147" s="1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H29" i="179" s="1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30" i="179" l="1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R18" i="122"/>
  <c r="Q18" i="122"/>
  <c r="N18" i="122"/>
  <c r="M18" i="122"/>
  <c r="L18" i="122"/>
  <c r="K18" i="122"/>
  <c r="P21" i="122"/>
  <c r="O21" i="122"/>
  <c r="P20" i="122"/>
  <c r="O20" i="122"/>
  <c r="O23" i="122"/>
  <c r="O19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B19" i="122"/>
  <c r="J18" i="122"/>
  <c r="I18" i="122"/>
  <c r="H18" i="122"/>
  <c r="E18" i="122"/>
  <c r="D18" i="122"/>
  <c r="G21" i="122"/>
  <c r="G20" i="122"/>
  <c r="G19" i="122"/>
  <c r="G24" i="122"/>
  <c r="O18" i="122" l="1"/>
  <c r="P18" i="122"/>
  <c r="F24" i="122"/>
  <c r="G18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21" i="120" l="1"/>
  <c r="E30" i="116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E38" i="179" s="1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E7" i="163"/>
  <c r="E33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9" i="163" l="1"/>
  <c r="E35" i="179" s="1"/>
  <c r="E8" i="163"/>
  <c r="G28" i="116"/>
  <c r="F23" i="120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G32" i="107" l="1"/>
  <c r="C21" i="14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<sst xmlns="http://schemas.openxmlformats.org/spreadsheetml/2006/main" count="1541" uniqueCount="318">
  <si>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</si>
  <si>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</si>
  <si>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</si>
  <si>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</si>
  <si>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</si>
  <si>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</si>
  <si>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</si>
  <si>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</si>
  <si>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</si>
  <si>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</si>
  <si>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</si>
  <si>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</si>
  <si>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</si>
  <si>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</si>
  <si>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</si>
  <si>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</si>
  <si>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</si>
  <si>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</si>
  <si>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</si>
  <si>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</si>
  <si>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</si>
  <si>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</si>
  <si>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</si>
  <si>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</si>
  <si>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</si>
  <si>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</si>
  <si>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</si>
  <si>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</si>
  <si>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</si>
  <si>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</si>
  <si>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</si>
  <si>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</si>
  <si>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</si>
  <si>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</si>
  <si>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</si>
  <si>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</si>
  <si>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</si>
  <si>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</si>
  <si>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</si>
  <si>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</si>
  <si>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</si>
  <si>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</si>
  <si>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</si>
  <si>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</si>
  <si>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</si>
  <si>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</si>
  <si>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</si>
  <si>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</si>
  <si>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</si>
  <si>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</si>
  <si>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</si>
  <si>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</si>
  <si>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</si>
  <si>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</si>
  <si>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</si>
  <si>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</si>
  <si>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</si>
  <si>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</si>
  <si>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</si>
  <si>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</si>
  <si>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</si>
  <si>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</si>
  <si>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</si>
  <si>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</si>
  <si>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</si>
  <si>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Moravia GS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</si>
  <si>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</si>
  <si>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</si>
  <si>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</si>
  <si>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</si>
  <si>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</si>
  <si>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</si>
  <si>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</si>
  <si>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</si>
  <si>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</si>
  <si>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</si>
  <si>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</si>
  <si>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</si>
  <si>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</si>
  <si>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</si>
  <si>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</si>
  <si>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</si>
  <si>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</si>
  <si>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</si>
  <si>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</si>
  <si>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</si>
  <si>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</si>
  <si>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</si>
  <si>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</si>
  <si>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</si>
  <si>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</si>
  <si>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</si>
  <si>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</si>
  <si>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</si>
  <si>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</si>
  <si>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</si>
  <si>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</si>
  <si>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</si>
  <si>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</si>
  <si>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</si>
  <si>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</si>
  <si>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</si>
  <si>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</si>
  <si>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</si>
  <si>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</si>
  <si>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</si>
  <si>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</si>
  <si>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</si>
  <si>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</si>
  <si>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</si>
  <si>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</si>
  <si>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</si>
  <si>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</si>
  <si>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</si>
  <si>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</si>
  <si>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</si>
  <si>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</si>
  <si>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</si>
  <si>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</si>
  <si>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</si>
  <si>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</si>
  <si>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</si>
  <si>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</si>
  <si>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</si>
  <si>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</si>
  <si>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</si>
  <si>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</si>
  <si>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</si>
  <si>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</si>
  <si>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</si>
  <si>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</si>
  <si>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</si>
  <si>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</si>
  <si>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</si>
  <si>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</si>
  <si>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</si>
  <si>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</si>
  <si>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</si>
  <si>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</si>
  <si>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</si>
  <si>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</si>
  <si>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</si>
  <si>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</si>
  <si>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</si>
  <si>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</si>
  <si>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</si>
  <si>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</si>
  <si>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</si>
  <si>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</si>
  <si>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</si>
  <si>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</si>
  <si>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</si>
  <si>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</si>
  <si>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</si>
  <si>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</si>
  <si>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</si>
  <si>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</si>
  <si>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</si>
  <si>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Denní fyzické množství plynu pro pohon kompresních stanic a ostatní plyn, který představuje neměřené hodnoty rozdílového množství celkové bilance PS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</si>
  <si>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</si>
  <si>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</si>
  <si>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</si>
  <si>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</si>
  <si>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</si>
  <si>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</si>
  <si>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</si>
  <si>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</si>
  <si>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</si>
  <si>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</si>
  <si>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</si>
  <si>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</si>
  <si>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</si>
  <si>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</si>
  <si>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</si>
  <si>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</si>
  <si>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</si>
  <si>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</si>
  <si>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</si>
  <si>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</si>
  <si>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</si>
  <si>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</si>
  <si>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</si>
  <si>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</si>
  <si>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</si>
  <si>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</si>
  <si>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</si>
  <si>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</si>
  <si>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</si>
  <si>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</si>
  <si>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</si>
  <si>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</si>
  <si>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</si>
  <si>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</si>
  <si>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</si>
  <si>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</si>
  <si>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</si>
  <si>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Podíl jednotlivých kategorií na celkovém počtu zákazníků</t>
  </si>
  <si>
    <t>připojena 
k RDS</t>
  </si>
  <si>
    <t>připojena 
k LDS</t>
  </si>
  <si>
    <t>spotřeba 
v LDS, která není v RDS</t>
  </si>
  <si>
    <t>Do ČR</t>
  </si>
  <si>
    <t>Z ČR</t>
  </si>
  <si>
    <t>Ze ZP</t>
  </si>
  <si>
    <t>Do ZP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</si>
  <si>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</si>
  <si>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t>RWE GS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</si>
  <si>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</si>
  <si>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</si>
  <si>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</si>
  <si>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</si>
  <si>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</si>
  <si>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</si>
  <si>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±1,0</t>
  </si>
  <si>
    <t>EG.D, a.s.</t>
  </si>
  <si>
    <t>Společnost EG.D, a.s. (provozovatel regionální distribuční soustavy)</t>
  </si>
  <si>
    <t>EG.D</t>
  </si>
  <si>
    <t xml:space="preserve"> EG.D</t>
  </si>
  <si>
    <t>MND ES</t>
  </si>
  <si>
    <t>Společnost MND Energy Storage a.s. (provozovatel zásobníku plynu)</t>
  </si>
  <si>
    <t>* Prognóza spotřeby plynu na rok 2022 byla zpracována v prosinci 2021.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</si>
  <si>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</si>
  <si>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</si>
  <si>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</si>
  <si>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</si>
  <si>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</si>
  <si>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</si>
  <si>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</si>
  <si>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</si>
  <si>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</si>
  <si>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</si>
  <si>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</si>
  <si>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</si>
  <si>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</si>
  <si>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</si>
  <si>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</si>
  <si>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</si>
  <si>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</si>
  <si>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</si>
  <si>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</si>
  <si>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</si>
  <si>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PP Distribuce</t>
  </si>
  <si>
    <t>Podíl / meziroční změna u společnosti GasNet</t>
  </si>
  <si>
    <t>Podíl / meziroční změna u společnosti EG.D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</si>
  <si>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</si>
  <si>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</si>
  <si>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</si>
  <si>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</si>
  <si>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</si>
  <si>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</si>
  <si>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</si>
  <si>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</si>
  <si>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</si>
  <si>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</si>
  <si>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</si>
  <si>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</si>
  <si>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</si>
  <si>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</si>
  <si>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</si>
  <si>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</si>
  <si>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</si>
  <si>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</si>
  <si>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</si>
  <si>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</si>
  <si>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</si>
  <si>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</si>
  <si>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rPr>
        <b/>
        <sz val="24"/>
        <color rgb="FF1A3366"/>
        <rFont val="Arial"/>
        <family val="2"/>
        <charset val="238"/>
      </rPr>
      <t xml:space="preserve">ČTVRTLETNÍ ZPRÁVA O PROVOZU 
PLYNÁRENSKÉ SOUSTAVY
ČESKÉ REPUBLIKY
</t>
    </r>
    <r>
      <rPr>
        <b/>
        <sz val="24"/>
        <color theme="8"/>
        <rFont val="Arial"/>
        <family val="2"/>
        <charset val="238"/>
      </rPr>
      <t>ZA I. ČTVRTLETÍ 2022</t>
    </r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</si>
  <si>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</si>
  <si>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</si>
  <si>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</si>
  <si>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</si>
  <si>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</si>
  <si>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</si>
  <si>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</si>
  <si>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</si>
  <si>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</si>
  <si>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</si>
  <si>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</si>
  <si>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</si>
  <si>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</si>
  <si>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</si>
  <si>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</si>
  <si>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</si>
  <si>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</si>
  <si>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</si>
  <si>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</si>
  <si>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</si>
  <si>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</si>
  <si>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</si>
  <si>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</si>
  <si>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</si>
  <si>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</si>
  <si>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</si>
  <si>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</si>
  <si>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</si>
  <si>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</si>
  <si>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</si>
  <si>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</si>
  <si>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</si>
  <si>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kompetencí,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2022, kterou ERÚ předpokládá zveřejnit do konce května roku 2023.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</si>
  <si>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</si>
  <si>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</si>
  <si>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</si>
  <si>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</si>
  <si>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</si>
  <si>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</si>
  <si>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5.2 Spotřeba zemního plynu u společnosti PP Distribuce</t>
  </si>
  <si>
    <t>5.3 Spotřeba zemního plynu u společnosti GasNet</t>
  </si>
  <si>
    <t>5.4 Spotřeba zemního plynu u společnosti EG.D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</si>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</sst>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</numFmts>
  <fonts count="141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FF0000"/>
      <name val="Arial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7"/>
      <color rgb="FF153366"/>
      <name val="Arial"/>
      <family val="2"/>
      <charset val="238"/>
      <scheme val="minor"/>
    </font>
    <font>
      <b/>
      <sz val="24"/>
      <color theme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39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68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" fontId="34" fillId="0" borderId="0">
      <alignment horizontal="lef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0"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" fontId="45" fillId="0" borderId="8" applyAlignment="0">
      <alignment horizontal="left" vertical="center"/>
    </xf>
    <xf numFmtId="173" fontId="46" fillId="4" borderId="9" applyNumberFormat="0" applyFont="0" applyFill="0" applyBorder="0" applyAlignment="0">
      <alignment horizontal="center"/>
    </xf>
    <xf numFmtId="173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6" fontId="9" fillId="52" borderId="0"/>
    <xf numFmtId="176" fontId="9" fillId="52" borderId="0"/>
    <xf numFmtId="176" fontId="9" fillId="52" borderId="0"/>
    <xf numFmtId="176" fontId="9" fillId="52" borderId="0"/>
    <xf numFmtId="0" fontId="61" fillId="53" borderId="13" applyNumberFormat="0" applyAlignment="0" applyProtection="0"/>
    <xf numFmtId="176" fontId="9" fillId="54" borderId="0"/>
    <xf numFmtId="176" fontId="9" fillId="54" borderId="0"/>
    <xf numFmtId="176" fontId="9" fillId="54" borderId="0"/>
    <xf numFmtId="176" fontId="9" fillId="54" borderId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17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</cellStyleXfs>
  <cellXfs count="535">
    <xf numFmtId="0" fontId="0" fillId="0" borderId="0" xfId="0"/>
    <xf numFmtId="0" fontId="92" fillId="0" borderId="0" xfId="2" applyFont="1" applyFill="1" applyBorder="1" applyAlignment="1">
      <alignment horizontal="left"/>
    </xf>
    <xf numFmtId="0" fontId="94" fillId="0" borderId="0" xfId="2" applyFont="1" applyFill="1"/>
    <xf numFmtId="0" fontId="95" fillId="0" borderId="0" xfId="2" applyFont="1" applyFill="1" applyAlignment="1"/>
    <xf numFmtId="0" fontId="45" fillId="0" borderId="0" xfId="2" applyFont="1" applyFill="1"/>
    <xf numFmtId="0" fontId="96" fillId="0" borderId="0" xfId="2" applyFont="1" applyFill="1" applyBorder="1" applyAlignment="1">
      <alignment horizontal="left"/>
    </xf>
    <xf numFmtId="0" fontId="45" fillId="0" borderId="0" xfId="2" applyFont="1" applyFill="1" applyAlignment="1"/>
    <xf numFmtId="0" fontId="45" fillId="0" borderId="0" xfId="2" applyFont="1" applyFill="1" applyAlignment="1">
      <alignment horizontal="left" vertical="top" wrapText="1"/>
    </xf>
    <xf numFmtId="0" fontId="45" fillId="0" borderId="0" xfId="2" applyFont="1" applyFill="1" applyAlignment="1">
      <alignment horizontal="center" vertical="top" wrapText="1"/>
    </xf>
    <xf numFmtId="0" fontId="45" fillId="0" borderId="0" xfId="2" applyFont="1" applyFill="1" applyAlignment="1">
      <alignment vertical="top"/>
    </xf>
    <xf numFmtId="0" fontId="45" fillId="0" borderId="0" xfId="2" applyFont="1" applyFill="1" applyBorder="1" applyAlignment="1">
      <alignment horizontal="center" vertical="top" wrapText="1"/>
    </xf>
    <xf numFmtId="0" fontId="11" fillId="0" borderId="0" xfId="2" applyFont="1" applyFill="1" applyAlignment="1">
      <alignment vertical="top" wrapText="1"/>
    </xf>
    <xf numFmtId="0" fontId="45" fillId="0" borderId="0" xfId="2" applyFont="1" applyFill="1" applyBorder="1"/>
    <xf numFmtId="0" fontId="91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horizontal="justify" vertical="top" wrapText="1"/>
    </xf>
    <xf numFmtId="0" fontId="91" fillId="0" borderId="0" xfId="2" applyFont="1" applyFill="1" applyBorder="1" applyAlignment="1">
      <alignment horizontal="left" vertical="top"/>
    </xf>
    <xf numFmtId="0" fontId="92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/>
    </xf>
    <xf numFmtId="0" fontId="92" fillId="0" borderId="0" xfId="527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 wrapText="1"/>
    </xf>
    <xf numFmtId="0" fontId="92" fillId="0" borderId="0" xfId="527" applyFont="1" applyFill="1" applyBorder="1" applyAlignment="1">
      <alignment vertical="top" wrapText="1"/>
    </xf>
    <xf numFmtId="0" fontId="98" fillId="0" borderId="0" xfId="2" applyFont="1" applyFill="1" applyBorder="1" applyAlignment="1">
      <alignment horizontal="right"/>
    </xf>
    <xf numFmtId="0" fontId="92" fillId="0" borderId="0" xfId="2" applyFont="1" applyFill="1" applyBorder="1"/>
    <xf numFmtId="0" fontId="92" fillId="0" borderId="0" xfId="2" applyFont="1" applyFill="1" applyBorder="1" applyAlignment="1">
      <alignment horizontal="left" vertical="top"/>
    </xf>
    <xf numFmtId="0" fontId="98" fillId="0" borderId="0" xfId="2" applyFont="1" applyFill="1" applyBorder="1"/>
    <xf numFmtId="0" fontId="99" fillId="0" borderId="0" xfId="2" applyFont="1" applyFill="1"/>
    <xf numFmtId="0" fontId="100" fillId="0" borderId="0" xfId="2" applyFont="1" applyFill="1" applyAlignment="1"/>
    <xf numFmtId="0" fontId="101" fillId="0" borderId="0" xfId="2" applyFont="1" applyFill="1" applyBorder="1" applyAlignment="1"/>
    <xf numFmtId="0" fontId="99" fillId="0" borderId="0" xfId="2" applyFont="1" applyFill="1" applyAlignment="1"/>
    <xf numFmtId="0" fontId="54" fillId="2" borderId="0" xfId="2" applyFont="1" applyFill="1" applyAlignment="1">
      <alignment vertical="top" wrapText="1"/>
    </xf>
    <xf numFmtId="0" fontId="99" fillId="0" borderId="0" xfId="2" applyFont="1" applyFill="1" applyAlignment="1">
      <alignment vertical="top" wrapText="1"/>
    </xf>
    <xf numFmtId="3" fontId="92" fillId="0" borderId="0" xfId="2" applyNumberFormat="1" applyFont="1" applyFill="1"/>
    <xf numFmtId="0" fontId="92" fillId="0" borderId="0" xfId="2" applyFont="1" applyFill="1"/>
    <xf numFmtId="0" fontId="54" fillId="2" borderId="0" xfId="2" applyFont="1" applyFill="1" applyAlignment="1">
      <alignment horizontal="right" vertical="top" wrapText="1"/>
    </xf>
    <xf numFmtId="0" fontId="99" fillId="0" borderId="0" xfId="2" applyFont="1" applyFill="1" applyAlignment="1">
      <alignment horizontal="right" vertical="top" wrapText="1"/>
    </xf>
    <xf numFmtId="3" fontId="99" fillId="0" borderId="0" xfId="2" applyNumberFormat="1" applyFont="1" applyFill="1"/>
    <xf numFmtId="167" fontId="92" fillId="0" borderId="0" xfId="1" applyNumberFormat="1" applyFont="1" applyFill="1"/>
    <xf numFmtId="0" fontId="92" fillId="0" borderId="0" xfId="0" applyFont="1" applyAlignment="1">
      <alignment horizontal="right"/>
    </xf>
    <xf numFmtId="165" fontId="92" fillId="0" borderId="0" xfId="2" applyNumberFormat="1" applyFont="1" applyFill="1"/>
    <xf numFmtId="0" fontId="45" fillId="0" borderId="0" xfId="0" applyFont="1" applyFill="1"/>
    <xf numFmtId="0" fontId="45" fillId="0" borderId="0" xfId="0" applyFont="1" applyFill="1" applyAlignment="1"/>
    <xf numFmtId="3" fontId="45" fillId="0" borderId="0" xfId="0" applyNumberFormat="1" applyFont="1" applyFill="1" applyBorder="1"/>
    <xf numFmtId="2" fontId="45" fillId="0" borderId="0" xfId="0" applyNumberFormat="1" applyFont="1" applyFill="1"/>
    <xf numFmtId="0" fontId="45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104" fillId="0" borderId="0" xfId="2" applyFont="1" applyFill="1"/>
    <xf numFmtId="0" fontId="105" fillId="0" borderId="0" xfId="2" applyFont="1" applyFill="1" applyBorder="1" applyAlignment="1">
      <alignment horizontal="right"/>
    </xf>
    <xf numFmtId="0" fontId="106" fillId="0" borderId="0" xfId="2" applyFont="1" applyFill="1" applyBorder="1"/>
    <xf numFmtId="0" fontId="107" fillId="0" borderId="0" xfId="2" applyFont="1" applyFill="1" applyBorder="1" applyAlignment="1">
      <alignment horizontal="right"/>
    </xf>
    <xf numFmtId="0" fontId="105" fillId="0" borderId="0" xfId="2" applyFont="1" applyFill="1" applyBorder="1" applyAlignment="1">
      <alignment horizontal="left"/>
    </xf>
    <xf numFmtId="0" fontId="106" fillId="0" borderId="0" xfId="2" applyFont="1" applyFill="1" applyBorder="1" applyAlignment="1">
      <alignment horizontal="left"/>
    </xf>
    <xf numFmtId="1" fontId="106" fillId="0" borderId="0" xfId="2" applyNumberFormat="1" applyFont="1" applyFill="1" applyBorder="1" applyAlignment="1">
      <alignment horizontal="left"/>
    </xf>
    <xf numFmtId="0" fontId="106" fillId="0" borderId="0" xfId="2" applyNumberFormat="1" applyFont="1" applyFill="1" applyBorder="1" applyAlignment="1">
      <alignment horizontal="left"/>
    </xf>
    <xf numFmtId="0" fontId="106" fillId="0" borderId="0" xfId="2" applyFont="1" applyFill="1" applyBorder="1" applyAlignment="1">
      <alignment horizontal="right"/>
    </xf>
    <xf numFmtId="0" fontId="104" fillId="0" borderId="0" xfId="2" applyFont="1" applyFill="1" applyBorder="1" applyAlignment="1">
      <alignment horizontal="left"/>
    </xf>
    <xf numFmtId="0" fontId="104" fillId="0" borderId="0" xfId="0" applyFont="1" applyFill="1"/>
    <xf numFmtId="3" fontId="45" fillId="0" borderId="0" xfId="2" applyNumberFormat="1" applyFont="1" applyFill="1" applyBorder="1" applyAlignment="1">
      <alignment horizontal="right"/>
    </xf>
    <xf numFmtId="3" fontId="45" fillId="0" borderId="0" xfId="2" applyNumberFormat="1" applyFont="1" applyFill="1" applyBorder="1"/>
    <xf numFmtId="165" fontId="45" fillId="0" borderId="0" xfId="2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right"/>
    </xf>
    <xf numFmtId="0" fontId="45" fillId="0" borderId="0" xfId="2" applyFont="1" applyFill="1" applyBorder="1" applyAlignment="1">
      <alignment wrapText="1"/>
    </xf>
    <xf numFmtId="0" fontId="110" fillId="0" borderId="0" xfId="2" applyFont="1" applyFill="1" applyBorder="1"/>
    <xf numFmtId="165" fontId="110" fillId="0" borderId="0" xfId="2" applyNumberFormat="1" applyFont="1" applyFill="1" applyBorder="1"/>
    <xf numFmtId="165" fontId="45" fillId="0" borderId="0" xfId="2" applyNumberFormat="1" applyFont="1" applyFill="1" applyBorder="1"/>
    <xf numFmtId="0" fontId="11" fillId="0" borderId="0" xfId="2" applyFont="1" applyFill="1" applyBorder="1" applyAlignment="1"/>
    <xf numFmtId="4" fontId="45" fillId="0" borderId="0" xfId="2" applyNumberFormat="1" applyFont="1" applyFill="1" applyBorder="1"/>
    <xf numFmtId="3" fontId="116" fillId="0" borderId="0" xfId="2" applyNumberFormat="1" applyFont="1" applyFill="1" applyBorder="1"/>
    <xf numFmtId="0" fontId="118" fillId="0" borderId="0" xfId="2" applyFont="1" applyFill="1" applyBorder="1" applyAlignment="1">
      <alignment wrapText="1"/>
    </xf>
    <xf numFmtId="164" fontId="45" fillId="0" borderId="0" xfId="1" applyNumberFormat="1" applyFont="1" applyFill="1" applyBorder="1"/>
    <xf numFmtId="0" fontId="104" fillId="0" borderId="0" xfId="2" applyFont="1" applyFill="1" applyBorder="1"/>
    <xf numFmtId="1" fontId="110" fillId="0" borderId="0" xfId="2" applyNumberFormat="1" applyFont="1" applyFill="1" applyBorder="1" applyAlignment="1">
      <alignment horizontal="right" wrapText="1"/>
    </xf>
    <xf numFmtId="0" fontId="110" fillId="0" borderId="0" xfId="2" applyFont="1" applyFill="1" applyBorder="1" applyAlignment="1">
      <alignment wrapText="1"/>
    </xf>
    <xf numFmtId="0" fontId="110" fillId="0" borderId="0" xfId="2" applyFont="1" applyFill="1" applyBorder="1" applyAlignment="1">
      <alignment horizontal="right"/>
    </xf>
    <xf numFmtId="0" fontId="110" fillId="0" borderId="0" xfId="2" applyFont="1" applyFill="1" applyBorder="1" applyAlignment="1">
      <alignment horizontal="right" wrapText="1"/>
    </xf>
    <xf numFmtId="3" fontId="110" fillId="0" borderId="0" xfId="2" applyNumberFormat="1" applyFont="1" applyFill="1" applyBorder="1" applyAlignment="1">
      <alignment horizontal="right"/>
    </xf>
    <xf numFmtId="165" fontId="110" fillId="0" borderId="0" xfId="2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45" fillId="0" borderId="0" xfId="0" applyNumberFormat="1" applyFont="1" applyFill="1" applyBorder="1" applyAlignment="1">
      <alignment vertical="center"/>
    </xf>
    <xf numFmtId="0" fontId="121" fillId="0" borderId="0" xfId="0" applyFont="1" applyFill="1" applyBorder="1"/>
    <xf numFmtId="3" fontId="118" fillId="0" borderId="0" xfId="0" applyNumberFormat="1" applyFont="1" applyFill="1" applyBorder="1" applyAlignment="1">
      <alignment horizontal="right"/>
    </xf>
    <xf numFmtId="3" fontId="118" fillId="0" borderId="0" xfId="0" applyNumberFormat="1" applyFont="1" applyFill="1" applyBorder="1"/>
    <xf numFmtId="0" fontId="118" fillId="0" borderId="0" xfId="0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22" fillId="0" borderId="0" xfId="0" applyFont="1" applyFill="1"/>
    <xf numFmtId="0" fontId="123" fillId="0" borderId="0" xfId="0" applyFont="1" applyFill="1"/>
    <xf numFmtId="0" fontId="45" fillId="0" borderId="0" xfId="0" applyFont="1" applyFill="1" applyBorder="1" applyAlignment="1">
      <alignment horizontal="left" vertical="center"/>
    </xf>
    <xf numFmtId="3" fontId="45" fillId="0" borderId="0" xfId="0" applyNumberFormat="1" applyFont="1" applyFill="1" applyBorder="1" applyAlignment="1">
      <alignment horizontal="right" vertical="center"/>
    </xf>
    <xf numFmtId="165" fontId="124" fillId="0" borderId="0" xfId="0" applyNumberFormat="1" applyFont="1" applyFill="1"/>
    <xf numFmtId="165" fontId="9" fillId="0" borderId="0" xfId="0" applyNumberFormat="1" applyFont="1" applyFill="1"/>
    <xf numFmtId="3" fontId="122" fillId="0" borderId="0" xfId="0" applyNumberFormat="1" applyFont="1" applyFill="1"/>
    <xf numFmtId="1" fontId="122" fillId="0" borderId="0" xfId="0" applyNumberFormat="1" applyFont="1" applyFill="1"/>
    <xf numFmtId="3" fontId="11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/>
    <xf numFmtId="0" fontId="45" fillId="0" borderId="0" xfId="0" applyFont="1" applyFill="1" applyBorder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164" fontId="45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/>
    <xf numFmtId="0" fontId="45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123" fillId="0" borderId="0" xfId="0" applyFont="1" applyFill="1" applyBorder="1" applyAlignment="1">
      <alignment horizontal="left"/>
    </xf>
    <xf numFmtId="9" fontId="9" fillId="0" borderId="0" xfId="1" applyFont="1" applyFill="1" applyBorder="1"/>
    <xf numFmtId="0" fontId="9" fillId="0" borderId="0" xfId="0" applyFont="1" applyFill="1" applyAlignment="1">
      <alignment horizontal="left"/>
    </xf>
    <xf numFmtId="164" fontId="9" fillId="0" borderId="0" xfId="0" applyNumberFormat="1" applyFont="1" applyFill="1"/>
    <xf numFmtId="0" fontId="111" fillId="0" borderId="0" xfId="57" applyFont="1" applyFill="1"/>
    <xf numFmtId="0" fontId="9" fillId="0" borderId="0" xfId="2" applyFont="1" applyFill="1"/>
    <xf numFmtId="0" fontId="125" fillId="0" borderId="0" xfId="2" applyFont="1" applyFill="1" applyAlignment="1">
      <alignment horizontal="right"/>
    </xf>
    <xf numFmtId="167" fontId="110" fillId="0" borderId="0" xfId="2" applyNumberFormat="1" applyFont="1" applyFill="1" applyBorder="1" applyAlignment="1">
      <alignment horizontal="right"/>
    </xf>
    <xf numFmtId="167" fontId="45" fillId="0" borderId="0" xfId="2" applyNumberFormat="1" applyFont="1" applyFill="1" applyBorder="1" applyAlignment="1">
      <alignment horizontal="right"/>
    </xf>
    <xf numFmtId="3" fontId="124" fillId="0" borderId="0" xfId="2" applyNumberFormat="1" applyFont="1" applyFill="1" applyBorder="1"/>
    <xf numFmtId="0" fontId="9" fillId="0" borderId="0" xfId="2" applyFont="1" applyFill="1" applyBorder="1" applyAlignment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45" fillId="0" borderId="0" xfId="2" applyFont="1" applyFill="1" applyBorder="1" applyAlignment="1"/>
    <xf numFmtId="3" fontId="9" fillId="0" borderId="0" xfId="2" applyNumberFormat="1" applyFont="1" applyFill="1"/>
    <xf numFmtId="0" fontId="104" fillId="0" borderId="0" xfId="57" applyFont="1" applyFill="1"/>
    <xf numFmtId="0" fontId="126" fillId="0" borderId="0" xfId="2" applyFont="1" applyFill="1" applyBorder="1"/>
    <xf numFmtId="0" fontId="127" fillId="0" borderId="0" xfId="0" applyFont="1" applyFill="1" applyBorder="1" applyAlignment="1">
      <alignment vertical="center"/>
    </xf>
    <xf numFmtId="0" fontId="105" fillId="0" borderId="0" xfId="0" applyFont="1" applyFill="1" applyBorder="1"/>
    <xf numFmtId="0" fontId="127" fillId="0" borderId="0" xfId="0" applyFont="1" applyFill="1" applyBorder="1" applyAlignment="1">
      <alignment wrapText="1"/>
    </xf>
    <xf numFmtId="0" fontId="127" fillId="0" borderId="0" xfId="0" applyFont="1" applyFill="1" applyBorder="1" applyAlignment="1">
      <alignment vertical="center" wrapText="1"/>
    </xf>
    <xf numFmtId="0" fontId="105" fillId="0" borderId="0" xfId="0" applyFont="1" applyFill="1"/>
    <xf numFmtId="0" fontId="127" fillId="0" borderId="0" xfId="0" applyFont="1" applyFill="1" applyBorder="1"/>
    <xf numFmtId="0" fontId="10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 wrapText="1"/>
    </xf>
    <xf numFmtId="0" fontId="9" fillId="2" borderId="0" xfId="0" applyFont="1" applyFill="1" applyBorder="1"/>
    <xf numFmtId="3" fontId="45" fillId="2" borderId="0" xfId="0" applyNumberFormat="1" applyFont="1" applyFill="1" applyBorder="1" applyAlignment="1">
      <alignment horizontal="right" vertical="center"/>
    </xf>
    <xf numFmtId="1" fontId="93" fillId="2" borderId="0" xfId="0" applyNumberFormat="1" applyFont="1" applyFill="1" applyBorder="1" applyAlignment="1">
      <alignment horizontal="right" vertical="center" wrapText="1"/>
    </xf>
    <xf numFmtId="0" fontId="93" fillId="2" borderId="0" xfId="0" applyFont="1" applyFill="1" applyBorder="1" applyAlignment="1">
      <alignment horizontal="right" wrapText="1"/>
    </xf>
    <xf numFmtId="0" fontId="45" fillId="0" borderId="0" xfId="0" applyFont="1" applyFill="1" applyBorder="1" applyAlignment="1">
      <alignment horizontal="left" vertical="center"/>
    </xf>
    <xf numFmtId="0" fontId="119" fillId="0" borderId="0" xfId="0" applyFont="1" applyFill="1" applyBorder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133" fillId="0" borderId="0" xfId="1538" applyFont="1" applyAlignment="1">
      <alignment horizontal="left" vertical="center" wrapText="1"/>
    </xf>
    <xf numFmtId="0" fontId="27" fillId="0" borderId="0" xfId="1535" applyFont="1" applyAlignment="1">
      <alignment horizontal="center" vertical="center"/>
    </xf>
    <xf numFmtId="49" fontId="90" fillId="0" borderId="0" xfId="1538" applyNumberFormat="1" applyFont="1" applyAlignment="1">
      <alignment vertical="top" wrapText="1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 applyBorder="1" applyAlignment="1"/>
    <xf numFmtId="0" fontId="45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Border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center"/>
    </xf>
    <xf numFmtId="3" fontId="109" fillId="2" borderId="33" xfId="0" applyNumberFormat="1" applyFont="1" applyFill="1" applyBorder="1" applyAlignment="1">
      <alignment vertical="center"/>
    </xf>
    <xf numFmtId="3" fontId="109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9" fillId="2" borderId="32" xfId="0" applyNumberFormat="1" applyFont="1" applyFill="1" applyBorder="1" applyAlignment="1">
      <alignment vertical="center"/>
    </xf>
    <xf numFmtId="3" fontId="109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9" fillId="2" borderId="31" xfId="0" applyNumberFormat="1" applyFont="1" applyFill="1" applyBorder="1" applyAlignment="1">
      <alignment vertical="center"/>
    </xf>
    <xf numFmtId="3" fontId="109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9" fillId="2" borderId="34" xfId="0" applyNumberFormat="1" applyFont="1" applyFill="1" applyBorder="1" applyAlignment="1">
      <alignment vertical="center"/>
    </xf>
    <xf numFmtId="3" fontId="109" fillId="2" borderId="6" xfId="0" applyNumberFormat="1" applyFont="1" applyFill="1" applyBorder="1" applyAlignment="1">
      <alignment vertical="center"/>
    </xf>
    <xf numFmtId="0" fontId="45" fillId="2" borderId="0" xfId="0" applyFont="1" applyFill="1" applyBorder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 wrapText="1"/>
    </xf>
    <xf numFmtId="0" fontId="45" fillId="2" borderId="0" xfId="2" applyFont="1" applyFill="1" applyBorder="1" applyAlignment="1">
      <alignment horizontal="left" vertical="center"/>
    </xf>
    <xf numFmtId="165" fontId="45" fillId="2" borderId="0" xfId="2" applyNumberFormat="1" applyFont="1" applyFill="1" applyBorder="1" applyAlignment="1">
      <alignment horizontal="right" vertical="center"/>
    </xf>
    <xf numFmtId="165" fontId="45" fillId="2" borderId="0" xfId="2" applyNumberFormat="1" applyFont="1" applyFill="1" applyBorder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5" fontId="45" fillId="2" borderId="25" xfId="2" applyNumberFormat="1" applyFont="1" applyFill="1" applyBorder="1" applyAlignment="1">
      <alignment horizontal="right" vertical="center"/>
    </xf>
    <xf numFmtId="165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5" fontId="45" fillId="2" borderId="30" xfId="2" applyNumberFormat="1" applyFont="1" applyFill="1" applyBorder="1" applyAlignment="1">
      <alignment horizontal="right" vertical="center"/>
    </xf>
    <xf numFmtId="165" fontId="45" fillId="2" borderId="29" xfId="2" applyNumberFormat="1" applyFont="1" applyFill="1" applyBorder="1" applyAlignment="1">
      <alignment horizontal="right" vertical="center"/>
    </xf>
    <xf numFmtId="165" fontId="45" fillId="2" borderId="33" xfId="2" applyNumberFormat="1" applyFont="1" applyFill="1" applyBorder="1" applyAlignment="1">
      <alignment vertical="center"/>
    </xf>
    <xf numFmtId="165" fontId="45" fillId="2" borderId="32" xfId="2" applyNumberFormat="1" applyFont="1" applyFill="1" applyBorder="1" applyAlignment="1">
      <alignment vertical="center"/>
    </xf>
    <xf numFmtId="165" fontId="45" fillId="2" borderId="33" xfId="2" applyNumberFormat="1" applyFont="1" applyFill="1" applyBorder="1" applyAlignment="1">
      <alignment horizontal="right" vertical="center"/>
    </xf>
    <xf numFmtId="165" fontId="45" fillId="2" borderId="32" xfId="2" applyNumberFormat="1" applyFont="1" applyFill="1" applyBorder="1" applyAlignment="1">
      <alignment horizontal="right" vertical="center"/>
    </xf>
    <xf numFmtId="165" fontId="45" fillId="2" borderId="30" xfId="2" applyNumberFormat="1" applyFont="1" applyFill="1" applyBorder="1" applyAlignment="1">
      <alignment vertical="center"/>
    </xf>
    <xf numFmtId="165" fontId="45" fillId="2" borderId="29" xfId="2" applyNumberFormat="1" applyFont="1" applyFill="1" applyBorder="1" applyAlignment="1">
      <alignment vertical="center"/>
    </xf>
    <xf numFmtId="0" fontId="109" fillId="2" borderId="33" xfId="2" applyFont="1" applyFill="1" applyBorder="1" applyAlignment="1">
      <alignment horizontal="center" vertical="center" wrapText="1"/>
    </xf>
    <xf numFmtId="0" fontId="109" fillId="0" borderId="32" xfId="2" applyFont="1" applyFill="1" applyBorder="1"/>
    <xf numFmtId="0" fontId="109" fillId="2" borderId="29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wrapText="1"/>
    </xf>
    <xf numFmtId="0" fontId="109" fillId="2" borderId="32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0" xfId="0" applyFont="1" applyFill="1" applyBorder="1" applyAlignment="1"/>
    <xf numFmtId="0" fontId="109" fillId="2" borderId="25" xfId="0" applyFont="1" applyFill="1" applyBorder="1"/>
    <xf numFmtId="0" fontId="109" fillId="2" borderId="29" xfId="0" applyFont="1" applyFill="1" applyBorder="1" applyAlignment="1">
      <alignment horizontal="right"/>
    </xf>
    <xf numFmtId="0" fontId="109" fillId="2" borderId="25" xfId="0" applyFont="1" applyFill="1" applyBorder="1" applyAlignment="1">
      <alignment horizontal="right"/>
    </xf>
    <xf numFmtId="1" fontId="109" fillId="2" borderId="32" xfId="0" applyNumberFormat="1" applyFont="1" applyFill="1" applyBorder="1" applyAlignment="1">
      <alignment horizontal="right"/>
    </xf>
    <xf numFmtId="1" fontId="109" fillId="2" borderId="25" xfId="0" applyNumberFormat="1" applyFont="1" applyFill="1" applyBorder="1" applyAlignment="1">
      <alignment horizontal="right"/>
    </xf>
    <xf numFmtId="0" fontId="45" fillId="2" borderId="25" xfId="0" applyFont="1" applyFill="1" applyBorder="1" applyAlignment="1">
      <alignment horizontal="left" vertical="center"/>
    </xf>
    <xf numFmtId="0" fontId="109" fillId="2" borderId="31" xfId="2" applyFont="1" applyFill="1" applyBorder="1" applyAlignment="1">
      <alignment horizontal="left" vertical="center"/>
    </xf>
    <xf numFmtId="1" fontId="112" fillId="0" borderId="0" xfId="2" applyNumberFormat="1" applyFont="1" applyFill="1" applyBorder="1" applyAlignment="1">
      <alignment horizontal="left" vertical="top" wrapText="1"/>
    </xf>
    <xf numFmtId="0" fontId="109" fillId="0" borderId="0" xfId="2" applyFont="1" applyFill="1" applyBorder="1" applyAlignment="1">
      <alignment vertical="top" wrapText="1"/>
    </xf>
    <xf numFmtId="0" fontId="113" fillId="0" borderId="0" xfId="2" applyFont="1" applyFill="1" applyBorder="1" applyAlignment="1">
      <alignment horizontal="left" vertical="top" wrapText="1"/>
    </xf>
    <xf numFmtId="165" fontId="45" fillId="2" borderId="0" xfId="2" applyNumberFormat="1" applyFont="1" applyFill="1" applyBorder="1" applyAlignment="1">
      <alignment horizontal="right"/>
    </xf>
    <xf numFmtId="0" fontId="45" fillId="2" borderId="0" xfId="2" applyFont="1" applyFill="1" applyBorder="1" applyAlignment="1">
      <alignment horizontal="center" vertical="center" wrapText="1"/>
    </xf>
    <xf numFmtId="164" fontId="45" fillId="2" borderId="0" xfId="1" applyNumberFormat="1" applyFont="1" applyFill="1" applyBorder="1" applyAlignment="1">
      <alignment vertical="center"/>
    </xf>
    <xf numFmtId="165" fontId="45" fillId="2" borderId="0" xfId="20" applyNumberFormat="1" applyFont="1" applyFill="1" applyBorder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4" fontId="45" fillId="2" borderId="25" xfId="1" applyNumberFormat="1" applyFont="1" applyFill="1" applyBorder="1" applyAlignment="1">
      <alignment vertical="center"/>
    </xf>
    <xf numFmtId="165" fontId="45" fillId="2" borderId="25" xfId="2" applyNumberFormat="1" applyFont="1" applyFill="1" applyBorder="1" applyAlignment="1">
      <alignment horizontal="right"/>
    </xf>
    <xf numFmtId="165" fontId="45" fillId="2" borderId="25" xfId="20" applyNumberFormat="1" applyFont="1" applyFill="1" applyBorder="1" applyAlignment="1">
      <alignment horizontal="right" vertical="center"/>
    </xf>
    <xf numFmtId="0" fontId="45" fillId="2" borderId="6" xfId="2" applyFont="1" applyFill="1" applyBorder="1" applyAlignment="1">
      <alignment horizontal="left" vertical="center"/>
    </xf>
    <xf numFmtId="165" fontId="45" fillId="2" borderId="6" xfId="20" applyNumberFormat="1" applyFont="1" applyFill="1" applyBorder="1" applyAlignment="1">
      <alignment horizontal="right" vertical="center"/>
    </xf>
    <xf numFmtId="0" fontId="109" fillId="2" borderId="0" xfId="2" applyFont="1" applyFill="1" applyBorder="1" applyAlignment="1">
      <alignment horizontal="center" vertical="center" wrapText="1"/>
    </xf>
    <xf numFmtId="0" fontId="109" fillId="2" borderId="25" xfId="2" applyFont="1" applyFill="1" applyBorder="1" applyAlignment="1">
      <alignment horizontal="left"/>
    </xf>
    <xf numFmtId="0" fontId="109" fillId="2" borderId="25" xfId="0" applyFont="1" applyFill="1" applyBorder="1" applyAlignment="1">
      <alignment horizontal="right" wrapText="1"/>
    </xf>
    <xf numFmtId="165" fontId="45" fillId="2" borderId="30" xfId="20" applyNumberFormat="1" applyFont="1" applyFill="1" applyBorder="1" applyAlignment="1">
      <alignment horizontal="righ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165" fontId="45" fillId="2" borderId="33" xfId="20" applyNumberFormat="1" applyFont="1" applyFill="1" applyBorder="1" applyAlignment="1">
      <alignment horizontal="right" vertical="center"/>
    </xf>
    <xf numFmtId="165" fontId="45" fillId="2" borderId="32" xfId="20" applyNumberFormat="1" applyFont="1" applyFill="1" applyBorder="1" applyAlignment="1">
      <alignment horizontal="right" vertical="center"/>
    </xf>
    <xf numFmtId="165" fontId="45" fillId="2" borderId="34" xfId="20" applyNumberFormat="1" applyFont="1" applyFill="1" applyBorder="1" applyAlignment="1">
      <alignment horizontal="right" vertical="center"/>
    </xf>
    <xf numFmtId="0" fontId="45" fillId="0" borderId="32" xfId="2" applyFont="1" applyFill="1" applyBorder="1"/>
    <xf numFmtId="0" fontId="109" fillId="2" borderId="29" xfId="0" applyFont="1" applyFill="1" applyBorder="1" applyAlignment="1">
      <alignment horizontal="right" textRotation="90" wrapText="1"/>
    </xf>
    <xf numFmtId="0" fontId="109" fillId="2" borderId="25" xfId="0" applyFont="1" applyFill="1" applyBorder="1" applyAlignment="1">
      <alignment horizontal="right" textRotation="90" wrapText="1"/>
    </xf>
    <xf numFmtId="0" fontId="109" fillId="2" borderId="32" xfId="0" applyFont="1" applyFill="1" applyBorder="1" applyAlignment="1">
      <alignment horizontal="right" textRotation="90" wrapText="1"/>
    </xf>
    <xf numFmtId="165" fontId="110" fillId="2" borderId="30" xfId="20" applyNumberFormat="1" applyFont="1" applyFill="1" applyBorder="1" applyAlignment="1">
      <alignment horizontal="right" vertical="center"/>
    </xf>
    <xf numFmtId="165" fontId="110" fillId="2" borderId="29" xfId="20" applyNumberFormat="1" applyFont="1" applyFill="1" applyBorder="1" applyAlignment="1">
      <alignment horizontal="right" vertical="center"/>
    </xf>
    <xf numFmtId="165" fontId="110" fillId="2" borderId="27" xfId="20" applyNumberFormat="1" applyFont="1" applyFill="1" applyBorder="1" applyAlignment="1">
      <alignment horizontal="right" vertical="center"/>
    </xf>
    <xf numFmtId="164" fontId="110" fillId="2" borderId="0" xfId="1" applyNumberFormat="1" applyFont="1" applyFill="1" applyBorder="1" applyAlignment="1">
      <alignment vertical="center"/>
    </xf>
    <xf numFmtId="164" fontId="110" fillId="2" borderId="25" xfId="1" applyNumberFormat="1" applyFont="1" applyFill="1" applyBorder="1" applyAlignment="1">
      <alignment vertical="center"/>
    </xf>
    <xf numFmtId="164" fontId="110" fillId="2" borderId="6" xfId="1" applyNumberFormat="1" applyFont="1" applyFill="1" applyBorder="1" applyAlignment="1">
      <alignment vertical="center"/>
    </xf>
    <xf numFmtId="165" fontId="110" fillId="2" borderId="0" xfId="20" applyNumberFormat="1" applyFont="1" applyFill="1" applyBorder="1" applyAlignment="1">
      <alignment horizontal="right" vertical="center"/>
    </xf>
    <xf numFmtId="165" fontId="110" fillId="2" borderId="25" xfId="20" applyNumberFormat="1" applyFont="1" applyFill="1" applyBorder="1" applyAlignment="1">
      <alignment horizontal="right" vertical="center"/>
    </xf>
    <xf numFmtId="165" fontId="110" fillId="2" borderId="6" xfId="20" applyNumberFormat="1" applyFont="1" applyFill="1" applyBorder="1" applyAlignment="1">
      <alignment horizontal="right" vertical="center"/>
    </xf>
    <xf numFmtId="165" fontId="110" fillId="2" borderId="33" xfId="20" applyNumberFormat="1" applyFont="1" applyFill="1" applyBorder="1" applyAlignment="1">
      <alignment horizontal="right" vertical="center"/>
    </xf>
    <xf numFmtId="165" fontId="110" fillId="2" borderId="32" xfId="20" applyNumberFormat="1" applyFont="1" applyFill="1" applyBorder="1" applyAlignment="1">
      <alignment horizontal="right" vertical="center"/>
    </xf>
    <xf numFmtId="165" fontId="110" fillId="2" borderId="34" xfId="20" applyNumberFormat="1" applyFont="1" applyFill="1" applyBorder="1" applyAlignment="1">
      <alignment horizontal="right" vertical="center"/>
    </xf>
    <xf numFmtId="0" fontId="109" fillId="2" borderId="6" xfId="2" applyFont="1" applyFill="1" applyBorder="1" applyAlignment="1">
      <alignment horizontal="left" vertical="center"/>
    </xf>
    <xf numFmtId="0" fontId="109" fillId="2" borderId="0" xfId="0" applyFont="1" applyFill="1" applyBorder="1" applyAlignment="1">
      <alignment horizontal="left" vertical="top"/>
    </xf>
    <xf numFmtId="0" fontId="136" fillId="0" borderId="25" xfId="0" applyFont="1" applyFill="1" applyBorder="1"/>
    <xf numFmtId="0" fontId="136" fillId="0" borderId="25" xfId="0" applyFont="1" applyFill="1" applyBorder="1" applyAlignment="1"/>
    <xf numFmtId="1" fontId="109" fillId="2" borderId="29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1" fontId="109" fillId="2" borderId="32" xfId="2" applyNumberFormat="1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Border="1" applyAlignment="1">
      <alignment horizontal="right" vertical="center"/>
    </xf>
    <xf numFmtId="3" fontId="110" fillId="2" borderId="0" xfId="2" applyNumberFormat="1" applyFont="1" applyFill="1" applyBorder="1" applyAlignment="1">
      <alignment horizontal="right" vertical="center"/>
    </xf>
    <xf numFmtId="165" fontId="110" fillId="2" borderId="0" xfId="2" applyNumberFormat="1" applyFont="1" applyFill="1" applyBorder="1" applyAlignment="1">
      <alignment horizontal="right" vertical="center"/>
    </xf>
    <xf numFmtId="3" fontId="45" fillId="2" borderId="0" xfId="2" applyNumberFormat="1" applyFont="1" applyFill="1" applyBorder="1" applyAlignment="1">
      <alignment vertical="center"/>
    </xf>
    <xf numFmtId="0" fontId="109" fillId="0" borderId="25" xfId="2" applyFont="1" applyFill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9" fillId="2" borderId="30" xfId="2" applyFont="1" applyFill="1" applyBorder="1"/>
    <xf numFmtId="0" fontId="109" fillId="2" borderId="0" xfId="2" applyFont="1" applyFill="1" applyBorder="1"/>
    <xf numFmtId="0" fontId="109" fillId="2" borderId="33" xfId="2" applyFont="1" applyFill="1" applyBorder="1"/>
    <xf numFmtId="0" fontId="109" fillId="2" borderId="0" xfId="2" applyFont="1" applyFill="1" applyBorder="1" applyAlignment="1">
      <alignment horizontal="left" vertical="center" wrapText="1"/>
    </xf>
    <xf numFmtId="0" fontId="109" fillId="2" borderId="0" xfId="2" applyFont="1" applyFill="1" applyBorder="1" applyAlignment="1">
      <alignment vertical="center" wrapText="1"/>
    </xf>
    <xf numFmtId="0" fontId="109" fillId="2" borderId="30" xfId="2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horizontal="center"/>
    </xf>
    <xf numFmtId="0" fontId="109" fillId="2" borderId="0" xfId="0" applyFont="1" applyFill="1" applyBorder="1" applyAlignment="1">
      <alignment vertical="center"/>
    </xf>
    <xf numFmtId="1" fontId="112" fillId="0" borderId="25" xfId="0" applyNumberFormat="1" applyFont="1" applyFill="1" applyBorder="1" applyAlignment="1">
      <alignment vertical="top"/>
    </xf>
    <xf numFmtId="0" fontId="93" fillId="0" borderId="25" xfId="0" applyFont="1" applyFill="1" applyBorder="1" applyAlignment="1">
      <alignment vertical="top" wrapText="1"/>
    </xf>
    <xf numFmtId="165" fontId="45" fillId="2" borderId="0" xfId="0" applyNumberFormat="1" applyFont="1" applyFill="1" applyBorder="1" applyAlignment="1"/>
    <xf numFmtId="165" fontId="45" fillId="2" borderId="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top" wrapText="1"/>
    </xf>
    <xf numFmtId="165" fontId="45" fillId="2" borderId="0" xfId="0" applyNumberFormat="1" applyFont="1" applyFill="1" applyBorder="1" applyAlignment="1">
      <alignment vertical="top" wrapText="1"/>
    </xf>
    <xf numFmtId="3" fontId="45" fillId="2" borderId="0" xfId="0" applyNumberFormat="1" applyFont="1" applyFill="1" applyBorder="1" applyAlignment="1"/>
    <xf numFmtId="3" fontId="45" fillId="2" borderId="0" xfId="0" applyNumberFormat="1" applyFont="1" applyFill="1" applyBorder="1" applyAlignment="1">
      <alignment vertical="top"/>
    </xf>
    <xf numFmtId="0" fontId="109" fillId="2" borderId="25" xfId="0" applyFont="1" applyFill="1" applyBorder="1" applyAlignment="1">
      <alignment horizontal="left" wrapText="1"/>
    </xf>
    <xf numFmtId="165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5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 applyAlignment="1"/>
    <xf numFmtId="3" fontId="45" fillId="2" borderId="30" xfId="0" applyNumberFormat="1" applyFont="1" applyFill="1" applyBorder="1" applyAlignment="1">
      <alignment vertical="top"/>
    </xf>
    <xf numFmtId="165" fontId="45" fillId="2" borderId="33" xfId="0" applyNumberFormat="1" applyFont="1" applyFill="1" applyBorder="1" applyAlignment="1"/>
    <xf numFmtId="165" fontId="45" fillId="2" borderId="33" xfId="0" applyNumberFormat="1" applyFont="1" applyFill="1" applyBorder="1" applyAlignment="1">
      <alignment vertical="center"/>
    </xf>
    <xf numFmtId="165" fontId="45" fillId="2" borderId="33" xfId="0" applyNumberFormat="1" applyFont="1" applyFill="1" applyBorder="1" applyAlignment="1">
      <alignment vertical="top" wrapText="1"/>
    </xf>
    <xf numFmtId="165" fontId="45" fillId="2" borderId="32" xfId="0" applyNumberFormat="1" applyFont="1" applyFill="1" applyBorder="1" applyAlignment="1">
      <alignment vertical="center"/>
    </xf>
    <xf numFmtId="165" fontId="45" fillId="2" borderId="34" xfId="0" applyNumberFormat="1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wrapText="1"/>
    </xf>
    <xf numFmtId="0" fontId="120" fillId="2" borderId="32" xfId="0" applyFont="1" applyFill="1" applyBorder="1" applyAlignment="1">
      <alignment vertical="center"/>
    </xf>
    <xf numFmtId="3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5" fillId="0" borderId="25" xfId="0" applyFont="1" applyFill="1" applyBorder="1" applyAlignment="1">
      <alignment horizontal="left" wrapText="1"/>
    </xf>
    <xf numFmtId="3" fontId="45" fillId="0" borderId="25" xfId="0" applyNumberFormat="1" applyFont="1" applyFill="1" applyBorder="1"/>
    <xf numFmtId="3" fontId="45" fillId="0" borderId="25" xfId="0" applyNumberFormat="1" applyFont="1" applyFill="1" applyBorder="1" applyAlignment="1">
      <alignment horizontal="center"/>
    </xf>
    <xf numFmtId="0" fontId="9" fillId="0" borderId="25" xfId="0" applyFont="1" applyFill="1" applyBorder="1"/>
    <xf numFmtId="3" fontId="45" fillId="0" borderId="25" xfId="0" applyNumberFormat="1" applyFont="1" applyFill="1" applyBorder="1" applyAlignment="1">
      <alignment horizontal="right"/>
    </xf>
    <xf numFmtId="165" fontId="45" fillId="0" borderId="25" xfId="0" applyNumberFormat="1" applyFont="1" applyFill="1" applyBorder="1" applyAlignment="1">
      <alignment horizontal="center"/>
    </xf>
    <xf numFmtId="3" fontId="45" fillId="0" borderId="28" xfId="0" applyNumberFormat="1" applyFont="1" applyFill="1" applyBorder="1"/>
    <xf numFmtId="3" fontId="45" fillId="0" borderId="26" xfId="0" applyNumberFormat="1" applyFont="1" applyFill="1" applyBorder="1"/>
    <xf numFmtId="3" fontId="45" fillId="0" borderId="26" xfId="0" applyNumberFormat="1" applyFont="1" applyFill="1" applyBorder="1" applyAlignment="1">
      <alignment horizontal="center"/>
    </xf>
    <xf numFmtId="3" fontId="45" fillId="0" borderId="29" xfId="0" applyNumberFormat="1" applyFont="1" applyFill="1" applyBorder="1"/>
    <xf numFmtId="3" fontId="45" fillId="0" borderId="30" xfId="0" applyNumberFormat="1" applyFont="1" applyFill="1" applyBorder="1" applyAlignment="1">
      <alignment horizontal="right"/>
    </xf>
    <xf numFmtId="3" fontId="45" fillId="0" borderId="29" xfId="0" applyNumberFormat="1" applyFont="1" applyFill="1" applyBorder="1" applyAlignment="1">
      <alignment horizontal="right"/>
    </xf>
    <xf numFmtId="3" fontId="45" fillId="0" borderId="31" xfId="0" applyNumberFormat="1" applyFont="1" applyFill="1" applyBorder="1" applyAlignment="1">
      <alignment horizontal="center"/>
    </xf>
    <xf numFmtId="3" fontId="45" fillId="0" borderId="32" xfId="0" applyNumberFormat="1" applyFont="1" applyFill="1" applyBorder="1" applyAlignment="1">
      <alignment horizontal="center"/>
    </xf>
    <xf numFmtId="165" fontId="45" fillId="0" borderId="33" xfId="0" applyNumberFormat="1" applyFont="1" applyFill="1" applyBorder="1" applyAlignment="1">
      <alignment horizontal="center"/>
    </xf>
    <xf numFmtId="165" fontId="45" fillId="0" borderId="32" xfId="0" applyNumberFormat="1" applyFont="1" applyFill="1" applyBorder="1" applyAlignment="1">
      <alignment horizontal="center"/>
    </xf>
    <xf numFmtId="0" fontId="121" fillId="0" borderId="30" xfId="0" applyFont="1" applyFill="1" applyBorder="1"/>
    <xf numFmtId="3" fontId="118" fillId="0" borderId="30" xfId="0" applyNumberFormat="1" applyFont="1" applyFill="1" applyBorder="1" applyAlignment="1">
      <alignment horizontal="right"/>
    </xf>
    <xf numFmtId="0" fontId="118" fillId="0" borderId="30" xfId="0" applyFont="1" applyFill="1" applyBorder="1" applyAlignment="1">
      <alignment horizontal="right"/>
    </xf>
    <xf numFmtId="0" fontId="9" fillId="0" borderId="29" xfId="0" applyFont="1" applyFill="1" applyBorder="1"/>
    <xf numFmtId="0" fontId="121" fillId="0" borderId="33" xfId="0" applyFont="1" applyFill="1" applyBorder="1"/>
    <xf numFmtId="0" fontId="9" fillId="0" borderId="32" xfId="0" applyFont="1" applyFill="1" applyBorder="1"/>
    <xf numFmtId="0" fontId="127" fillId="0" borderId="30" xfId="0" applyFont="1" applyFill="1" applyBorder="1" applyAlignment="1">
      <alignment horizontal="left" vertical="top"/>
    </xf>
    <xf numFmtId="0" fontId="109" fillId="2" borderId="0" xfId="0" applyFont="1" applyFill="1" applyBorder="1" applyAlignment="1">
      <alignment horizontal="left" vertical="center"/>
    </xf>
    <xf numFmtId="1" fontId="93" fillId="0" borderId="0" xfId="0" applyNumberFormat="1" applyFont="1" applyFill="1" applyBorder="1" applyAlignment="1">
      <alignment vertical="center" wrapText="1"/>
    </xf>
    <xf numFmtId="1" fontId="93" fillId="0" borderId="0" xfId="0" applyNumberFormat="1" applyFont="1" applyFill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1" fontId="109" fillId="2" borderId="0" xfId="0" applyNumberFormat="1" applyFont="1" applyFill="1" applyBorder="1" applyAlignment="1">
      <alignment horizontal="right" vertical="center" wrapText="1"/>
    </xf>
    <xf numFmtId="0" fontId="109" fillId="2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wrapText="1"/>
    </xf>
    <xf numFmtId="164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4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4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3" fillId="0" borderId="25" xfId="0" applyNumberFormat="1" applyFont="1" applyFill="1" applyBorder="1" applyAlignment="1">
      <alignment vertical="center" wrapText="1"/>
    </xf>
    <xf numFmtId="1" fontId="93" fillId="0" borderId="25" xfId="0" applyNumberFormat="1" applyFont="1" applyFill="1" applyBorder="1" applyAlignment="1">
      <alignment horizontal="left" vertical="center" wrapText="1"/>
    </xf>
    <xf numFmtId="0" fontId="93" fillId="0" borderId="25" xfId="0" applyFont="1" applyFill="1" applyBorder="1" applyAlignment="1">
      <alignment vertical="center" wrapText="1"/>
    </xf>
    <xf numFmtId="0" fontId="109" fillId="2" borderId="0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center"/>
    </xf>
    <xf numFmtId="3" fontId="109" fillId="2" borderId="25" xfId="0" applyNumberFormat="1" applyFont="1" applyFill="1" applyBorder="1" applyAlignment="1">
      <alignment horizontal="right" vertical="center"/>
    </xf>
    <xf numFmtId="164" fontId="109" fillId="2" borderId="25" xfId="1" applyNumberFormat="1" applyFont="1" applyFill="1" applyBorder="1" applyAlignment="1">
      <alignment horizontal="right" vertical="center"/>
    </xf>
    <xf numFmtId="3" fontId="109" fillId="2" borderId="29" xfId="0" applyNumberFormat="1" applyFont="1" applyFill="1" applyBorder="1" applyAlignment="1">
      <alignment horizontal="right" vertical="center"/>
    </xf>
    <xf numFmtId="0" fontId="109" fillId="2" borderId="25" xfId="0" applyFont="1" applyFill="1" applyBorder="1" applyAlignment="1">
      <alignment vertical="top" wrapText="1"/>
    </xf>
    <xf numFmtId="0" fontId="109" fillId="2" borderId="25" xfId="0" applyFont="1" applyFill="1" applyBorder="1" applyAlignment="1">
      <alignment horizontal="left" vertical="top" wrapText="1"/>
    </xf>
    <xf numFmtId="165" fontId="115" fillId="2" borderId="0" xfId="1" applyNumberFormat="1" applyFont="1" applyFill="1" applyBorder="1" applyAlignment="1">
      <alignment horizontal="right" vertical="center"/>
    </xf>
    <xf numFmtId="165" fontId="115" fillId="2" borderId="0" xfId="0" applyNumberFormat="1" applyFont="1" applyFill="1" applyBorder="1" applyAlignment="1">
      <alignment horizontal="right" vertical="center"/>
    </xf>
    <xf numFmtId="165" fontId="45" fillId="2" borderId="0" xfId="1" applyNumberFormat="1" applyFont="1" applyFill="1" applyBorder="1" applyAlignment="1">
      <alignment horizontal="right" vertical="center"/>
    </xf>
    <xf numFmtId="165" fontId="45" fillId="2" borderId="0" xfId="0" applyNumberFormat="1" applyFont="1" applyFill="1" applyBorder="1" applyAlignment="1">
      <alignment horizontal="right" vertical="center"/>
    </xf>
    <xf numFmtId="165" fontId="45" fillId="2" borderId="25" xfId="1" applyNumberFormat="1" applyFont="1" applyFill="1" applyBorder="1" applyAlignment="1">
      <alignment horizontal="right" vertical="center"/>
    </xf>
    <xf numFmtId="165" fontId="45" fillId="2" borderId="25" xfId="0" applyNumberFormat="1" applyFont="1" applyFill="1" applyBorder="1" applyAlignment="1">
      <alignment horizontal="right" vertical="center"/>
    </xf>
    <xf numFmtId="165" fontId="115" fillId="2" borderId="30" xfId="1" applyNumberFormat="1" applyFont="1" applyFill="1" applyBorder="1" applyAlignment="1">
      <alignment horizontal="right" vertical="center"/>
    </xf>
    <xf numFmtId="165" fontId="45" fillId="2" borderId="29" xfId="1" applyNumberFormat="1" applyFont="1" applyFill="1" applyBorder="1" applyAlignment="1">
      <alignment horizontal="right" vertical="center"/>
    </xf>
    <xf numFmtId="164" fontId="45" fillId="2" borderId="33" xfId="1" applyNumberFormat="1" applyFont="1" applyFill="1" applyBorder="1" applyAlignment="1">
      <alignment horizontal="right" vertical="center"/>
    </xf>
    <xf numFmtId="164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9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9" fillId="2" borderId="29" xfId="2" applyFont="1" applyFill="1" applyBorder="1" applyAlignment="1">
      <alignment horizontal="right" textRotation="90" wrapText="1"/>
    </xf>
    <xf numFmtId="0" fontId="109" fillId="2" borderId="32" xfId="2" applyFont="1" applyFill="1" applyBorder="1" applyAlignment="1">
      <alignment horizontal="right" textRotation="90" wrapText="1"/>
    </xf>
    <xf numFmtId="3" fontId="110" fillId="2" borderId="30" xfId="2" applyNumberFormat="1" applyFont="1" applyFill="1" applyBorder="1" applyAlignment="1">
      <alignment horizontal="right" vertical="center"/>
    </xf>
    <xf numFmtId="3" fontId="110" fillId="2" borderId="33" xfId="2" applyNumberFormat="1" applyFont="1" applyFill="1" applyBorder="1" applyAlignment="1">
      <alignment horizontal="right" vertical="center"/>
    </xf>
    <xf numFmtId="3" fontId="110" fillId="2" borderId="29" xfId="2" applyNumberFormat="1" applyFont="1" applyFill="1" applyBorder="1" applyAlignment="1">
      <alignment horizontal="right" vertical="center"/>
    </xf>
    <xf numFmtId="3" fontId="110" fillId="2" borderId="25" xfId="2" applyNumberFormat="1" applyFont="1" applyFill="1" applyBorder="1" applyAlignment="1">
      <alignment horizontal="right" vertical="center"/>
    </xf>
    <xf numFmtId="3" fontId="110" fillId="2" borderId="32" xfId="2" applyNumberFormat="1" applyFont="1" applyFill="1" applyBorder="1" applyAlignment="1">
      <alignment horizontal="right" vertical="center"/>
    </xf>
    <xf numFmtId="3" fontId="110" fillId="2" borderId="27" xfId="2" applyNumberFormat="1" applyFont="1" applyFill="1" applyBorder="1" applyAlignment="1">
      <alignment horizontal="right" vertical="center"/>
    </xf>
    <xf numFmtId="3" fontId="110" fillId="2" borderId="6" xfId="2" applyNumberFormat="1" applyFont="1" applyFill="1" applyBorder="1" applyAlignment="1">
      <alignment horizontal="right" vertical="center"/>
    </xf>
    <xf numFmtId="3" fontId="110" fillId="2" borderId="34" xfId="2" applyNumberFormat="1" applyFont="1" applyFill="1" applyBorder="1" applyAlignment="1">
      <alignment horizontal="right" vertical="center"/>
    </xf>
    <xf numFmtId="0" fontId="109" fillId="2" borderId="26" xfId="0" applyFont="1" applyFill="1" applyBorder="1" applyAlignment="1">
      <alignment horizontal="left" vertical="top" wrapText="1"/>
    </xf>
    <xf numFmtId="0" fontId="109" fillId="2" borderId="28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vertical="center" wrapText="1"/>
    </xf>
    <xf numFmtId="0" fontId="109" fillId="2" borderId="29" xfId="0" applyFont="1" applyFill="1" applyBorder="1" applyAlignment="1">
      <alignment vertical="top" wrapText="1"/>
    </xf>
    <xf numFmtId="164" fontId="110" fillId="2" borderId="0" xfId="1" applyNumberFormat="1" applyFont="1" applyFill="1" applyBorder="1" applyAlignment="1">
      <alignment horizontal="right" vertical="center"/>
    </xf>
    <xf numFmtId="0" fontId="109" fillId="2" borderId="30" xfId="0" applyFont="1" applyFill="1" applyBorder="1" applyAlignment="1">
      <alignment horizontal="right"/>
    </xf>
    <xf numFmtId="0" fontId="109" fillId="2" borderId="0" xfId="0" applyFont="1" applyFill="1" applyBorder="1" applyAlignment="1">
      <alignment horizontal="right"/>
    </xf>
    <xf numFmtId="0" fontId="138" fillId="2" borderId="30" xfId="0" applyFont="1" applyFill="1" applyBorder="1" applyAlignment="1">
      <alignment horizontal="right" wrapText="1"/>
    </xf>
    <xf numFmtId="0" fontId="138" fillId="2" borderId="0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8" fillId="2" borderId="29" xfId="0" applyFont="1" applyFill="1" applyBorder="1" applyAlignment="1">
      <alignment horizontal="right" wrapText="1"/>
    </xf>
    <xf numFmtId="0" fontId="138" fillId="2" borderId="25" xfId="0" applyFont="1" applyFill="1" applyBorder="1" applyAlignment="1">
      <alignment horizontal="right" wrapText="1"/>
    </xf>
    <xf numFmtId="0" fontId="93" fillId="2" borderId="0" xfId="0" applyFont="1" applyFill="1" applyBorder="1" applyAlignment="1">
      <alignment horizontal="left" wrapText="1"/>
    </xf>
    <xf numFmtId="1" fontId="109" fillId="2" borderId="26" xfId="0" applyNumberFormat="1" applyFont="1" applyFill="1" applyBorder="1" applyAlignment="1">
      <alignment horizontal="left" vertical="center" wrapText="1"/>
    </xf>
    <xf numFmtId="0" fontId="45" fillId="2" borderId="0" xfId="0" applyFont="1" applyFill="1" applyBorder="1"/>
    <xf numFmtId="0" fontId="45" fillId="0" borderId="25" xfId="0" applyFont="1" applyFill="1" applyBorder="1"/>
    <xf numFmtId="0" fontId="109" fillId="2" borderId="25" xfId="0" applyFont="1" applyFill="1" applyBorder="1" applyAlignment="1">
      <alignment vertical="top"/>
    </xf>
    <xf numFmtId="0" fontId="109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horizontal="right" vertical="center"/>
    </xf>
    <xf numFmtId="0" fontId="109" fillId="2" borderId="6" xfId="0" applyFont="1" applyFill="1" applyBorder="1" applyAlignment="1">
      <alignment vertical="center" wrapText="1"/>
    </xf>
    <xf numFmtId="0" fontId="109" fillId="2" borderId="30" xfId="0" applyFont="1" applyFill="1" applyBorder="1" applyAlignment="1">
      <alignment vertical="top" wrapText="1"/>
    </xf>
    <xf numFmtId="0" fontId="129" fillId="0" borderId="30" xfId="0" applyFont="1" applyFill="1" applyBorder="1"/>
    <xf numFmtId="0" fontId="109" fillId="2" borderId="25" xfId="0" applyFont="1" applyFill="1" applyBorder="1" applyAlignment="1">
      <alignment horizontal="center" vertical="center" wrapText="1"/>
    </xf>
    <xf numFmtId="164" fontId="45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textRotation="90" wrapText="1"/>
    </xf>
    <xf numFmtId="0" fontId="109" fillId="2" borderId="25" xfId="2" applyFont="1" applyFill="1" applyBorder="1" applyAlignment="1">
      <alignment horizontal="center" textRotation="90" wrapText="1"/>
    </xf>
    <xf numFmtId="165" fontId="110" fillId="2" borderId="30" xfId="2" applyNumberFormat="1" applyFont="1" applyFill="1" applyBorder="1" applyAlignment="1">
      <alignment horizontal="right" vertical="center"/>
    </xf>
    <xf numFmtId="165" fontId="110" fillId="2" borderId="25" xfId="2" applyNumberFormat="1" applyFont="1" applyFill="1" applyBorder="1" applyAlignment="1">
      <alignment horizontal="right" vertical="center"/>
    </xf>
    <xf numFmtId="165" fontId="110" fillId="2" borderId="29" xfId="2" applyNumberFormat="1" applyFont="1" applyFill="1" applyBorder="1" applyAlignment="1">
      <alignment horizontal="right" vertical="center"/>
    </xf>
    <xf numFmtId="165" fontId="110" fillId="2" borderId="33" xfId="2" applyNumberFormat="1" applyFont="1" applyFill="1" applyBorder="1" applyAlignment="1">
      <alignment horizontal="right" vertical="center"/>
    </xf>
    <xf numFmtId="165" fontId="110" fillId="2" borderId="32" xfId="2" applyNumberFormat="1" applyFont="1" applyFill="1" applyBorder="1" applyAlignment="1">
      <alignment horizontal="right" vertical="center"/>
    </xf>
    <xf numFmtId="165" fontId="110" fillId="2" borderId="27" xfId="2" applyNumberFormat="1" applyFont="1" applyFill="1" applyBorder="1" applyAlignment="1">
      <alignment horizontal="right" vertical="center"/>
    </xf>
    <xf numFmtId="165" fontId="110" fillId="2" borderId="2" xfId="2" applyNumberFormat="1" applyFont="1" applyFill="1" applyBorder="1" applyAlignment="1">
      <alignment horizontal="right" vertical="center"/>
    </xf>
    <xf numFmtId="165" fontId="110" fillId="2" borderId="34" xfId="2" applyNumberFormat="1" applyFont="1" applyFill="1" applyBorder="1" applyAlignment="1">
      <alignment horizontal="right" vertical="center"/>
    </xf>
    <xf numFmtId="0" fontId="107" fillId="0" borderId="0" xfId="2" quotePrefix="1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40" fillId="0" borderId="0" xfId="2" applyFont="1" applyFill="1" applyBorder="1" applyAlignment="1"/>
    <xf numFmtId="0" fontId="130" fillId="0" borderId="0" xfId="1535" applyFont="1" applyAlignment="1">
      <alignment horizontal="left" vertical="center" wrapText="1"/>
    </xf>
    <xf numFmtId="0" fontId="132" fillId="0" borderId="0" xfId="1535" applyFont="1" applyAlignment="1">
      <alignment horizontal="left" vertical="center" wrapText="1"/>
    </xf>
    <xf numFmtId="0" fontId="32" fillId="0" borderId="0" xfId="1535" applyFont="1" applyAlignment="1">
      <alignment horizontal="center"/>
    </xf>
    <xf numFmtId="49" fontId="32" fillId="0" borderId="0" xfId="1535" applyNumberFormat="1" applyFont="1" applyAlignment="1">
      <alignment horizontal="center" vertical="center"/>
    </xf>
    <xf numFmtId="49" fontId="33" fillId="0" borderId="0" xfId="1535" applyNumberFormat="1" applyFont="1" applyAlignment="1">
      <alignment horizontal="center" vertical="center"/>
    </xf>
    <xf numFmtId="0" fontId="97" fillId="0" borderId="0" xfId="0" applyFont="1" applyFill="1" applyAlignment="1">
      <alignment horizontal="justify" vertical="top" wrapText="1"/>
    </xf>
    <xf numFmtId="3" fontId="92" fillId="0" borderId="0" xfId="2" applyNumberFormat="1" applyFont="1" applyFill="1" applyAlignment="1">
      <alignment horizontal="center"/>
    </xf>
    <xf numFmtId="0" fontId="107" fillId="0" borderId="25" xfId="2" applyFont="1" applyFill="1" applyBorder="1" applyAlignment="1">
      <alignment horizontal="left"/>
    </xf>
    <xf numFmtId="0" fontId="92" fillId="0" borderId="0" xfId="0" applyFont="1" applyBorder="1" applyAlignment="1">
      <alignment horizontal="right"/>
    </xf>
    <xf numFmtId="0" fontId="92" fillId="0" borderId="0" xfId="0" applyFont="1" applyAlignment="1">
      <alignment horizontal="right"/>
    </xf>
    <xf numFmtId="0" fontId="107" fillId="0" borderId="0" xfId="2" applyFont="1" applyFill="1" applyBorder="1" applyAlignment="1">
      <alignment horizontal="left"/>
    </xf>
    <xf numFmtId="0" fontId="54" fillId="2" borderId="0" xfId="2" applyFont="1" applyFill="1" applyAlignment="1">
      <alignment horizontal="right" vertical="top" wrapText="1"/>
    </xf>
    <xf numFmtId="0" fontId="54" fillId="2" borderId="0" xfId="2" applyFont="1" applyFill="1" applyAlignment="1">
      <alignment horizontal="justify" vertical="top" wrapText="1"/>
    </xf>
    <xf numFmtId="0" fontId="107" fillId="2" borderId="25" xfId="2" applyFont="1" applyFill="1" applyBorder="1" applyAlignment="1">
      <alignment horizontal="left" wrapText="1"/>
    </xf>
    <xf numFmtId="0" fontId="45" fillId="2" borderId="25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center" vertical="center" textRotation="90" wrapText="1"/>
    </xf>
    <xf numFmtId="0" fontId="109" fillId="2" borderId="0" xfId="0" applyFont="1" applyFill="1" applyBorder="1" applyAlignment="1">
      <alignment horizontal="center" vertical="center" textRotation="90" wrapText="1"/>
    </xf>
    <xf numFmtId="0" fontId="109" fillId="2" borderId="25" xfId="0" applyFont="1" applyFill="1" applyBorder="1" applyAlignment="1">
      <alignment horizontal="center" vertical="center" textRotation="90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0" xfId="0" applyFont="1" applyFill="1" applyBorder="1" applyAlignment="1">
      <alignment horizontal="left" vertical="top" wrapText="1"/>
    </xf>
    <xf numFmtId="0" fontId="45" fillId="2" borderId="25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3" fillId="0" borderId="0" xfId="0" applyFont="1" applyFill="1" applyAlignment="1">
      <alignment horizontal="justify" vertical="top" wrapText="1"/>
    </xf>
    <xf numFmtId="0" fontId="140" fillId="0" borderId="0" xfId="0" applyFont="1" applyFill="1" applyBorder="1" applyAlignment="1">
      <alignment horizontal="left"/>
    </xf>
    <xf numFmtId="1" fontId="93" fillId="0" borderId="0" xfId="0" applyNumberFormat="1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109" fillId="2" borderId="28" xfId="0" applyFont="1" applyFill="1" applyBorder="1" applyAlignment="1">
      <alignment horizontal="left" vertical="top"/>
    </xf>
    <xf numFmtId="0" fontId="109" fillId="2" borderId="26" xfId="0" applyFont="1" applyFill="1" applyBorder="1" applyAlignment="1">
      <alignment horizontal="left" vertical="top"/>
    </xf>
    <xf numFmtId="0" fontId="109" fillId="2" borderId="31" xfId="0" applyFont="1" applyFill="1" applyBorder="1" applyAlignment="1">
      <alignment horizontal="left" vertical="top"/>
    </xf>
    <xf numFmtId="0" fontId="45" fillId="2" borderId="0" xfId="0" applyFont="1" applyFill="1" applyBorder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109" fillId="2" borderId="27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 wrapText="1"/>
    </xf>
    <xf numFmtId="1" fontId="93" fillId="0" borderId="0" xfId="2" applyNumberFormat="1" applyFont="1" applyFill="1" applyBorder="1" applyAlignment="1">
      <alignment horizontal="center" vertical="center" wrapText="1"/>
    </xf>
    <xf numFmtId="0" fontId="93" fillId="0" borderId="0" xfId="2" applyFont="1" applyFill="1" applyBorder="1" applyAlignment="1">
      <alignment horizontal="center" vertical="center" wrapText="1"/>
    </xf>
    <xf numFmtId="0" fontId="140" fillId="0" borderId="0" xfId="2" applyFont="1" applyFill="1" applyBorder="1" applyAlignment="1">
      <alignment horizontal="left"/>
    </xf>
    <xf numFmtId="0" fontId="109" fillId="2" borderId="34" xfId="2" applyFont="1" applyFill="1" applyBorder="1" applyAlignment="1">
      <alignment horizontal="left" vertical="top" wrapText="1"/>
    </xf>
    <xf numFmtId="0" fontId="109" fillId="2" borderId="0" xfId="2" applyFont="1" applyFill="1" applyBorder="1" applyAlignment="1">
      <alignment horizontal="left" vertical="top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3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27" xfId="2" applyFont="1" applyFill="1" applyBorder="1" applyAlignment="1">
      <alignment horizontal="left" vertical="center" wrapText="1"/>
    </xf>
    <xf numFmtId="0" fontId="109" fillId="2" borderId="2" xfId="2" applyFont="1" applyFill="1" applyBorder="1" applyAlignment="1">
      <alignment horizontal="left" vertical="center" wrapText="1"/>
    </xf>
    <xf numFmtId="0" fontId="109" fillId="2" borderId="34" xfId="2" applyFont="1" applyFill="1" applyBorder="1" applyAlignment="1">
      <alignment horizontal="left" vertical="center" wrapText="1"/>
    </xf>
    <xf numFmtId="0" fontId="109" fillId="2" borderId="6" xfId="2" applyFont="1" applyFill="1" applyBorder="1" applyAlignment="1">
      <alignment horizontal="left" vertical="center" wrapText="1"/>
    </xf>
    <xf numFmtId="0" fontId="109" fillId="2" borderId="29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/>
    </xf>
    <xf numFmtId="0" fontId="117" fillId="0" borderId="0" xfId="2" applyFont="1" applyFill="1" applyBorder="1" applyAlignment="1">
      <alignment horizontal="right" vertical="center" wrapText="1"/>
    </xf>
    <xf numFmtId="1" fontId="45" fillId="0" borderId="0" xfId="2" applyNumberFormat="1" applyFont="1" applyFill="1" applyBorder="1" applyAlignment="1">
      <alignment horizontal="center" vertical="center"/>
    </xf>
    <xf numFmtId="1" fontId="93" fillId="0" borderId="25" xfId="2" applyNumberFormat="1" applyFont="1" applyFill="1" applyBorder="1" applyAlignment="1">
      <alignment horizontal="center" wrapText="1"/>
    </xf>
    <xf numFmtId="0" fontId="93" fillId="0" borderId="25" xfId="2" applyFont="1" applyFill="1" applyBorder="1" applyAlignment="1">
      <alignment horizontal="center" wrapText="1"/>
    </xf>
    <xf numFmtId="1" fontId="109" fillId="2" borderId="26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0" fontId="127" fillId="0" borderId="28" xfId="0" applyFont="1" applyFill="1" applyBorder="1" applyAlignment="1">
      <alignment horizontal="left"/>
    </xf>
    <xf numFmtId="0" fontId="127" fillId="0" borderId="26" xfId="0" applyFont="1" applyFill="1" applyBorder="1" applyAlignment="1">
      <alignment horizontal="left"/>
    </xf>
    <xf numFmtId="0" fontId="127" fillId="0" borderId="31" xfId="0" applyFont="1" applyFill="1" applyBorder="1" applyAlignment="1">
      <alignment horizontal="left"/>
    </xf>
    <xf numFmtId="0" fontId="140" fillId="0" borderId="0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/>
    </xf>
    <xf numFmtId="0" fontId="109" fillId="2" borderId="27" xfId="0" applyFont="1" applyFill="1" applyBorder="1" applyAlignment="1">
      <alignment horizontal="left" vertical="center"/>
    </xf>
    <xf numFmtId="0" fontId="109" fillId="2" borderId="34" xfId="0" applyFont="1" applyFill="1" applyBorder="1" applyAlignment="1">
      <alignment horizontal="lef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right" wrapText="1"/>
    </xf>
    <xf numFmtId="0" fontId="105" fillId="0" borderId="0" xfId="0" applyFont="1" applyFill="1" applyBorder="1" applyAlignment="1">
      <alignment horizontal="left"/>
    </xf>
    <xf numFmtId="1" fontId="105" fillId="0" borderId="0" xfId="0" applyNumberFormat="1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Border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5" fillId="0" borderId="0" xfId="0" applyFont="1" applyFill="1" applyBorder="1" applyAlignment="1">
      <alignment horizontal="left" wrapText="1"/>
    </xf>
    <xf numFmtId="1" fontId="112" fillId="0" borderId="25" xfId="0" applyNumberFormat="1" applyFont="1" applyFill="1" applyBorder="1" applyAlignment="1">
      <alignment horizontal="left" vertical="center"/>
    </xf>
    <xf numFmtId="0" fontId="109" fillId="2" borderId="3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right" wrapText="1"/>
    </xf>
    <xf numFmtId="1" fontId="109" fillId="2" borderId="30" xfId="0" applyNumberFormat="1" applyFont="1" applyFill="1" applyBorder="1" applyAlignment="1">
      <alignment horizontal="left" vertical="top"/>
    </xf>
    <xf numFmtId="1" fontId="109" fillId="2" borderId="0" xfId="0" applyNumberFormat="1" applyFont="1" applyFill="1" applyBorder="1" applyAlignment="1">
      <alignment horizontal="left" vertical="top"/>
    </xf>
    <xf numFmtId="1" fontId="109" fillId="2" borderId="29" xfId="0" applyNumberFormat="1" applyFont="1" applyFill="1" applyBorder="1" applyAlignment="1">
      <alignment horizontal="left" vertical="top"/>
    </xf>
    <xf numFmtId="1" fontId="109" fillId="2" borderId="25" xfId="0" applyNumberFormat="1" applyFont="1" applyFill="1" applyBorder="1" applyAlignment="1">
      <alignment horizontal="left" vertical="top"/>
    </xf>
    <xf numFmtId="0" fontId="109" fillId="2" borderId="28" xfId="0" applyFont="1" applyFill="1" applyBorder="1" applyAlignment="1">
      <alignment horizontal="left" vertical="top" wrapText="1"/>
    </xf>
    <xf numFmtId="0" fontId="109" fillId="2" borderId="29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top" wrapText="1"/>
    </xf>
    <xf numFmtId="1" fontId="109" fillId="2" borderId="28" xfId="0" applyNumberFormat="1" applyFont="1" applyFill="1" applyBorder="1" applyAlignment="1">
      <alignment horizontal="left" vertical="top"/>
    </xf>
    <xf numFmtId="1" fontId="109" fillId="2" borderId="26" xfId="0" applyNumberFormat="1" applyFont="1" applyFill="1" applyBorder="1" applyAlignment="1">
      <alignment horizontal="left" vertical="top"/>
    </xf>
    <xf numFmtId="0" fontId="109" fillId="2" borderId="31" xfId="0" applyFont="1" applyFill="1" applyBorder="1" applyAlignment="1">
      <alignment horizontal="left" vertical="top" wrapText="1"/>
    </xf>
    <xf numFmtId="0" fontId="109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Border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justify" vertical="top" wrapText="1"/>
    </xf>
    <xf numFmtId="0" fontId="140" fillId="0" borderId="0" xfId="0" applyFont="1" applyFill="1" applyBorder="1" applyAlignment="1">
      <alignment horizontal="left" wrapText="1"/>
    </xf>
    <xf numFmtId="0" fontId="109" fillId="2" borderId="27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 wrapText="1"/>
    </xf>
    <xf numFmtId="0" fontId="109" fillId="2" borderId="34" xfId="0" applyFont="1" applyFill="1" applyBorder="1" applyAlignment="1">
      <alignment horizontal="left" vertical="center" wrapText="1"/>
    </xf>
    <xf numFmtId="0" fontId="112" fillId="0" borderId="0" xfId="0" applyFont="1" applyFill="1" applyBorder="1" applyAlignment="1">
      <alignment horizontal="left" vertical="center"/>
    </xf>
    <xf numFmtId="0" fontId="109" fillId="2" borderId="33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0" fontId="107" fillId="2" borderId="25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center" vertical="top"/>
    </xf>
    <xf numFmtId="0" fontId="105" fillId="0" borderId="0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left" vertical="top" wrapText="1"/>
    </xf>
    <xf numFmtId="1" fontId="105" fillId="0" borderId="0" xfId="0" applyNumberFormat="1" applyFont="1" applyFill="1" applyBorder="1" applyAlignment="1">
      <alignment horizontal="center" vertical="top" wrapText="1"/>
    </xf>
    <xf numFmtId="1" fontId="105" fillId="0" borderId="0" xfId="0" applyNumberFormat="1" applyFont="1" applyFill="1" applyBorder="1" applyAlignment="1">
      <alignment horizontal="center" vertical="top"/>
    </xf>
    <xf numFmtId="0" fontId="109" fillId="2" borderId="26" xfId="0" applyFont="1" applyFill="1" applyBorder="1" applyAlignment="1">
      <alignment horizontal="right" wrapText="1"/>
    </xf>
    <xf numFmtId="0" fontId="109" fillId="2" borderId="31" xfId="0" applyFont="1" applyFill="1" applyBorder="1" applyAlignment="1">
      <alignment horizontal="right" wrapText="1"/>
    </xf>
    <xf numFmtId="0" fontId="105" fillId="0" borderId="0" xfId="0" applyFont="1" applyAlignment="1">
      <alignment horizontal="left" vertical="center" readingOrder="1"/>
    </xf>
    <xf numFmtId="1" fontId="112" fillId="0" borderId="0" xfId="2" applyNumberFormat="1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 wrapText="1"/>
    </xf>
    <xf numFmtId="1" fontId="112" fillId="0" borderId="0" xfId="0" applyNumberFormat="1" applyFont="1" applyFill="1" applyBorder="1" applyAlignment="1">
      <alignment horizontal="left" vertical="center"/>
    </xf>
    <xf numFmtId="0" fontId="109" fillId="2" borderId="0" xfId="0" applyFont="1" applyFill="1" applyBorder="1" applyAlignment="1">
      <alignment horizontal="left" vertical="center"/>
    </xf>
    <xf numFmtId="0" fontId="109" fillId="2" borderId="25" xfId="0" applyFont="1" applyFill="1" applyBorder="1" applyAlignment="1">
      <alignment horizontal="left" vertical="center" wrapText="1"/>
    </xf>
    <xf numFmtId="0" fontId="109" fillId="2" borderId="28" xfId="0" applyFont="1" applyFill="1" applyBorder="1" applyAlignment="1">
      <alignment horizontal="left" vertical="center" wrapText="1"/>
    </xf>
    <xf numFmtId="0" fontId="109" fillId="2" borderId="26" xfId="0" applyFont="1" applyFill="1" applyBorder="1" applyAlignment="1">
      <alignment horizontal="left" vertical="center" wrapText="1"/>
    </xf>
    <xf numFmtId="0" fontId="109" fillId="2" borderId="31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 wrapText="1"/>
    </xf>
    <xf numFmtId="1" fontId="109" fillId="2" borderId="6" xfId="0" applyNumberFormat="1" applyFont="1" applyFill="1" applyBorder="1" applyAlignment="1">
      <alignment horizontal="left" vertical="center"/>
    </xf>
    <xf numFmtId="0" fontId="105" fillId="0" borderId="0" xfId="2" applyFont="1" applyFill="1" applyAlignment="1">
      <alignment horizontal="left"/>
    </xf>
    <xf numFmtId="0" fontId="45" fillId="0" borderId="0" xfId="2" applyFont="1" applyFill="1" applyBorder="1" applyAlignment="1">
      <alignment horizontal="left"/>
    </xf>
    <xf numFmtId="0" fontId="45" fillId="0" borderId="0" xfId="2" applyFont="1" applyFill="1" applyBorder="1" applyAlignment="1">
      <alignment horizontal="left" vertical="top" wrapText="1"/>
    </xf>
  </cellXfs>
  <cellStyles count="1539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#\ ##0.0</c:formatCode>
                <c:ptCount val="12"/>
                <c:pt idx="0">
                  <c:v>3368.4318376071833</c:v>
                </c:pt>
                <c:pt idx="1">
                  <c:v>3030.8876179384415</c:v>
                </c:pt>
                <c:pt idx="2">
                  <c:v>3740.0577454539725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#\ ##0.0</c:formatCode>
                <c:ptCount val="12"/>
                <c:pt idx="0">
                  <c:v>-2936.875920396245</c:v>
                </c:pt>
                <c:pt idx="1">
                  <c:v>-2527.7966007449631</c:v>
                </c:pt>
                <c:pt idx="2">
                  <c:v>-3041.2181782033535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39305.876196734891</c:v>
                </c:pt>
                <c:pt idx="1">
                  <c:v>17427.747586285703</c:v>
                </c:pt>
                <c:pt idx="2">
                  <c:v>29761.929844980525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1134262.833197908</c:v>
                </c:pt>
                <c:pt idx="1">
                  <c:v>1273109.1500516641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890500.40009373787</c:v>
                </c:pt>
                <c:pt idx="1">
                  <c:v>1165206.7587806338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922619.49243469513</c:v>
                </c:pt>
                <c:pt idx="1">
                  <c:v>1091174.2333659162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36822587099093235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0.38483730779089254</c:v>
                </c:pt>
                <c:pt idx="1">
                  <c:v>0.3607062489934465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0.302132597955797</c:v>
                </c:pt>
                <c:pt idx="1">
                  <c:v>0.33013458370361876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0.31303009425331019</c:v>
                </c:pt>
                <c:pt idx="1">
                  <c:v>0.30915916730293458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4599030419658057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130387.01038711204</c:v>
                </c:pt>
                <c:pt idx="1">
                  <c:v>141237.02531675113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102886.42307283396</c:v>
                </c:pt>
                <c:pt idx="1">
                  <c:v>130682.14414402453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100232.52548318211</c:v>
                </c:pt>
                <c:pt idx="1">
                  <c:v>112139.46483280321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3503722759478039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0.39095856278042274</c:v>
                </c:pt>
                <c:pt idx="1">
                  <c:v>0.36774860061807096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0.30849950447325863</c:v>
                </c:pt>
                <c:pt idx="1">
                  <c:v>0.34026612729172379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0.30054193274631863</c:v>
                </c:pt>
                <c:pt idx="1">
                  <c:v>0.29198527209020508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196304938297599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0.38261600826597031</c:v>
                </c:pt>
                <c:pt idx="1">
                  <c:v>0.36012672658355466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0.30756448915584655</c:v>
                </c:pt>
                <c:pt idx="1">
                  <c:v>0.3331356528810121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0.30981950257818314</c:v>
                </c:pt>
                <c:pt idx="1">
                  <c:v>0.30673762053543335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5196304938297599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910406.18678079627</c:v>
                </c:pt>
                <c:pt idx="1">
                  <c:v>1009377.568744913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731826.70801090379</c:v>
                </c:pt>
                <c:pt idx="1">
                  <c:v>933725.9096466091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737192.34386151319</c:v>
                </c:pt>
                <c:pt idx="1">
                  <c:v>859736.45054311294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44984.639000000003</c:v>
                </c:pt>
                <c:pt idx="1">
                  <c:v>49339.417989999994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36665.690999999999</c:v>
                </c:pt>
                <c:pt idx="1">
                  <c:v>42017.415990000001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36894.07</c:v>
                </c:pt>
                <c:pt idx="1">
                  <c:v>41033.143989999997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0.37947502370419861</c:v>
                </c:pt>
                <c:pt idx="1">
                  <c:v>0.37268242465589402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0.30929922459432924</c:v>
                </c:pt>
                <c:pt idx="1">
                  <c:v>0.31737610832990154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0.31122575170147221</c:v>
                </c:pt>
                <c:pt idx="1">
                  <c:v>0.30994146701420433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5196304938297599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48484.997029999999</c:v>
                </c:pt>
                <c:pt idx="1">
                  <c:v>73155.138000000006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19121.578009999997</c:v>
                </c:pt>
                <c:pt idx="1">
                  <c:v>58781.28899999999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48300.553089999979</c:v>
                </c:pt>
                <c:pt idx="1">
                  <c:v>78265.173999999985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3503722759478039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#\ ##0.0</c:formatCode>
                <c:ptCount val="12"/>
                <c:pt idx="0">
                  <c:v>678.60557000000006</c:v>
                </c:pt>
                <c:pt idx="1">
                  <c:v>384.90369700000002</c:v>
                </c:pt>
                <c:pt idx="2">
                  <c:v>267.33676600000001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#\ ##0.0</c:formatCode>
                <c:ptCount val="12"/>
                <c:pt idx="0">
                  <c:v>-2.2123170000000001</c:v>
                </c:pt>
                <c:pt idx="1">
                  <c:v>-13.730227999999999</c:v>
                </c:pt>
                <c:pt idx="2">
                  <c:v>-82.844617999999983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0.41830901871384329</c:v>
                </c:pt>
                <c:pt idx="1">
                  <c:v>0.34802369559497315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0.16497327057015401</c:v>
                </c:pt>
                <c:pt idx="1">
                  <c:v>0.27964244192412213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0.41671771071600255</c:v>
                </c:pt>
                <c:pt idx="1">
                  <c:v>0.37233386248090461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5196304938297599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130387.01038711204</c:v>
                </c:pt>
                <c:pt idx="1">
                  <c:v>910406.18678079627</c:v>
                </c:pt>
                <c:pt idx="2">
                  <c:v>44984.639000000003</c:v>
                </c:pt>
                <c:pt idx="3">
                  <c:v>48484.997029999999</c:v>
                </c:pt>
                <c:pt idx="4">
                  <c:v>1134262.8331979082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#\ ##0.0</c:formatCode>
                <c:ptCount val="5"/>
                <c:pt idx="0">
                  <c:v>2.4516129032258061</c:v>
                </c:pt>
                <c:pt idx="1">
                  <c:v>0.81397849462365601</c:v>
                </c:pt>
                <c:pt idx="2">
                  <c:v>0.76451612903225841</c:v>
                </c:pt>
                <c:pt idx="3">
                  <c:v>0.78709677419354818</c:v>
                </c:pt>
                <c:pt idx="4">
                  <c:v>0.78709677419354818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#\ ##0.0</c:formatCode>
                <c:ptCount val="5"/>
                <c:pt idx="0">
                  <c:v>10.1</c:v>
                </c:pt>
                <c:pt idx="1">
                  <c:v>8.6833333333333336</c:v>
                </c:pt>
                <c:pt idx="2">
                  <c:v>8.1</c:v>
                </c:pt>
                <c:pt idx="3">
                  <c:v>8.6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#\ ##0.0</c:formatCode>
                <c:ptCount val="5"/>
                <c:pt idx="0">
                  <c:v>-2</c:v>
                </c:pt>
                <c:pt idx="1">
                  <c:v>-3.7333333333333329</c:v>
                </c:pt>
                <c:pt idx="2">
                  <c:v>-4.5999999999999996</c:v>
                </c:pt>
                <c:pt idx="3">
                  <c:v>-3.8</c:v>
                </c:pt>
                <c:pt idx="4">
                  <c:v>-3.8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0.11495308368652318</c:v>
                </c:pt>
                <c:pt idx="1">
                  <c:v>0.80264129277164364</c:v>
                </c:pt>
                <c:pt idx="2">
                  <c:v>3.9659801664462195E-2</c:v>
                </c:pt>
                <c:pt idx="3">
                  <c:v>4.2745821877371033E-2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102886.42307283396</c:v>
                </c:pt>
                <c:pt idx="1">
                  <c:v>731826.70801090379</c:v>
                </c:pt>
                <c:pt idx="2">
                  <c:v>36665.690999999999</c:v>
                </c:pt>
                <c:pt idx="3">
                  <c:v>19121.578009999997</c:v>
                </c:pt>
                <c:pt idx="4">
                  <c:v>890500.40009373776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#\ ##0.0</c:formatCode>
                <c:ptCount val="5"/>
                <c:pt idx="0">
                  <c:v>4.8357142857142845</c:v>
                </c:pt>
                <c:pt idx="1">
                  <c:v>3.1053571428571431</c:v>
                </c:pt>
                <c:pt idx="2">
                  <c:v>2.7964285714285717</c:v>
                </c:pt>
                <c:pt idx="3">
                  <c:v>3.0892857142857144</c:v>
                </c:pt>
                <c:pt idx="4">
                  <c:v>3.0892857142857144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#\ ##0.0</c:formatCode>
                <c:ptCount val="5"/>
                <c:pt idx="0">
                  <c:v>8.3000000000000007</c:v>
                </c:pt>
                <c:pt idx="1">
                  <c:v>6.6333333333333337</c:v>
                </c:pt>
                <c:pt idx="2">
                  <c:v>7</c:v>
                </c:pt>
                <c:pt idx="3">
                  <c:v>6.7</c:v>
                </c:pt>
                <c:pt idx="4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#\ ##0.0</c:formatCode>
                <c:ptCount val="5"/>
                <c:pt idx="0">
                  <c:v>-1</c:v>
                </c:pt>
                <c:pt idx="1">
                  <c:v>-1.7666666666666664</c:v>
                </c:pt>
                <c:pt idx="2">
                  <c:v>-3.5</c:v>
                </c:pt>
                <c:pt idx="3">
                  <c:v>-2</c:v>
                </c:pt>
                <c:pt idx="4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22486349133790021"/>
                  <c:y val="-6.16635788173537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0.11553776175957216</c:v>
                </c:pt>
                <c:pt idx="1">
                  <c:v>0.82181513667356987</c:v>
                </c:pt>
                <c:pt idx="2">
                  <c:v>4.1174255504141735E-2</c:v>
                </c:pt>
                <c:pt idx="3">
                  <c:v>2.1472846062716176E-2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100232.52548318211</c:v>
                </c:pt>
                <c:pt idx="1">
                  <c:v>737192.34386151319</c:v>
                </c:pt>
                <c:pt idx="2">
                  <c:v>36894.07</c:v>
                </c:pt>
                <c:pt idx="3">
                  <c:v>48300.553089999979</c:v>
                </c:pt>
                <c:pt idx="4">
                  <c:v>922619.49243469513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#\ ##0.0</c:formatCode>
                <c:ptCount val="12"/>
                <c:pt idx="0">
                  <c:v>1134.2625732048143</c:v>
                </c:pt>
                <c:pt idx="1">
                  <c:v>890.50037327489224</c:v>
                </c:pt>
                <c:pt idx="2">
                  <c:v>922.61982519439664</c:v>
                </c:pt>
                <c:pt idx="3">
                  <c:v>671.36203982845257</c:v>
                </c:pt>
                <c:pt idx="4">
                  <c:v>388.89642773175905</c:v>
                </c:pt>
                <c:pt idx="5">
                  <c:v>336.35371810523372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#\ ##0.0</c:formatCode>
                <c:ptCount val="12"/>
                <c:pt idx="0">
                  <c:v>1205.7431048765241</c:v>
                </c:pt>
                <c:pt idx="1">
                  <c:v>992.34776233082323</c:v>
                </c:pt>
                <c:pt idx="2">
                  <c:v>915.4910560358029</c:v>
                </c:pt>
                <c:pt idx="3">
                  <c:v>605.2961340668877</c:v>
                </c:pt>
                <c:pt idx="4">
                  <c:v>408.72629326716236</c:v>
                </c:pt>
                <c:pt idx="5">
                  <c:v>343.04053123321125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#\ ##0.0</c:formatCode>
                <c:ptCount val="5"/>
                <c:pt idx="0">
                  <c:v>5.0354838709677425</c:v>
                </c:pt>
                <c:pt idx="1">
                  <c:v>3.3290322580645162</c:v>
                </c:pt>
                <c:pt idx="2">
                  <c:v>2.8967741935483868</c:v>
                </c:pt>
                <c:pt idx="3">
                  <c:v>3.3161290322580643</c:v>
                </c:pt>
                <c:pt idx="4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#\ ##0.0</c:formatCode>
                <c:ptCount val="5"/>
                <c:pt idx="0">
                  <c:v>12.8</c:v>
                </c:pt>
                <c:pt idx="1">
                  <c:v>9.7666666666666657</c:v>
                </c:pt>
                <c:pt idx="2">
                  <c:v>9.4</c:v>
                </c:pt>
                <c:pt idx="3">
                  <c:v>9.8000000000000007</c:v>
                </c:pt>
                <c:pt idx="4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#\ ##0.0</c:formatCode>
                <c:ptCount val="5"/>
                <c:pt idx="0">
                  <c:v>-0.9</c:v>
                </c:pt>
                <c:pt idx="1">
                  <c:v>-2.1333333333333333</c:v>
                </c:pt>
                <c:pt idx="2">
                  <c:v>-2.7</c:v>
                </c:pt>
                <c:pt idx="3">
                  <c:v>-2.1</c:v>
                </c:pt>
                <c:pt idx="4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0.10863907201730487</c:v>
                </c:pt>
                <c:pt idx="1">
                  <c:v>0.79902099392691206</c:v>
                </c:pt>
                <c:pt idx="2">
                  <c:v>3.9988392075524501E-2</c:v>
                </c:pt>
                <c:pt idx="3">
                  <c:v>5.2351541980258771E-2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333505.95894312812</c:v>
                </c:pt>
                <c:pt idx="1">
                  <c:v>2379425.2386532133</c:v>
                </c:pt>
                <c:pt idx="2">
                  <c:v>118544.4</c:v>
                </c:pt>
                <c:pt idx="3">
                  <c:v>115907.12813</c:v>
                </c:pt>
                <c:pt idx="4">
                  <c:v>2947382.7257263418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#\ ##0.0</c:formatCode>
                <c:ptCount val="5"/>
                <c:pt idx="0">
                  <c:v>4.1076036866359447</c:v>
                </c:pt>
                <c:pt idx="1">
                  <c:v>2.4161226318484386</c:v>
                </c:pt>
                <c:pt idx="2">
                  <c:v>2.1525729646697389</c:v>
                </c:pt>
                <c:pt idx="3">
                  <c:v>2.3975038402457756</c:v>
                </c:pt>
                <c:pt idx="4">
                  <c:v>2.3975038402457756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#\ ##0.0</c:formatCode>
                <c:ptCount val="5"/>
                <c:pt idx="0">
                  <c:v>12.8</c:v>
                </c:pt>
                <c:pt idx="1">
                  <c:v>9.7666666666666657</c:v>
                </c:pt>
                <c:pt idx="2">
                  <c:v>9.4</c:v>
                </c:pt>
                <c:pt idx="3">
                  <c:v>9.8000000000000007</c:v>
                </c:pt>
                <c:pt idx="4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#\ ##0.0</c:formatCode>
                <c:ptCount val="5"/>
                <c:pt idx="0">
                  <c:v>-2</c:v>
                </c:pt>
                <c:pt idx="1">
                  <c:v>-3.7333333333333329</c:v>
                </c:pt>
                <c:pt idx="2">
                  <c:v>-4.5999999999999996</c:v>
                </c:pt>
                <c:pt idx="3">
                  <c:v>-3.8</c:v>
                </c:pt>
                <c:pt idx="4">
                  <c:v>-3.8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23012453500311691"/>
                  <c:y val="-7.14678863671452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0.11315325832376932</c:v>
                </c:pt>
                <c:pt idx="1">
                  <c:v>0.80730107355393987</c:v>
                </c:pt>
                <c:pt idx="2">
                  <c:v>4.0220226224874263E-2</c:v>
                </c:pt>
                <c:pt idx="3">
                  <c:v>3.9325441897416387E-2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333505.95894312812</c:v>
                </c:pt>
                <c:pt idx="1">
                  <c:v>2379425.2386532133</c:v>
                </c:pt>
                <c:pt idx="2">
                  <c:v>118544.4</c:v>
                </c:pt>
                <c:pt idx="3">
                  <c:v>115907.12813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415762.53735999996</c:v>
                </c:pt>
                <c:pt idx="1">
                  <c:v>1656158.39053</c:v>
                </c:pt>
                <c:pt idx="2">
                  <c:v>296073.45328000002</c:v>
                </c:pt>
                <c:pt idx="3">
                  <c:v>515612.36231000011</c:v>
                </c:pt>
                <c:pt idx="4">
                  <c:v>484662.49001999991</c:v>
                </c:pt>
                <c:pt idx="5">
                  <c:v>1210940.7311200001</c:v>
                </c:pt>
                <c:pt idx="6">
                  <c:v>729489.64507999993</c:v>
                </c:pt>
                <c:pt idx="7">
                  <c:v>534468.11779000005</c:v>
                </c:pt>
                <c:pt idx="8">
                  <c:v>555927.97626999998</c:v>
                </c:pt>
                <c:pt idx="9">
                  <c:v>1368175.8003100001</c:v>
                </c:pt>
                <c:pt idx="10">
                  <c:v>1552927.0968700002</c:v>
                </c:pt>
                <c:pt idx="11">
                  <c:v>1416639.9042900002</c:v>
                </c:pt>
                <c:pt idx="12">
                  <c:v>500184.4264600001</c:v>
                </c:pt>
                <c:pt idx="13">
                  <c:v>630310.83455000003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#\ ##0.0</c:formatCode>
                <c:ptCount val="14"/>
                <c:pt idx="0">
                  <c:v>0.75483870967741973</c:v>
                </c:pt>
                <c:pt idx="1">
                  <c:v>1.4516129032258067</c:v>
                </c:pt>
                <c:pt idx="2">
                  <c:v>0.26129032258064516</c:v>
                </c:pt>
                <c:pt idx="3">
                  <c:v>6.1290322580645137E-2</c:v>
                </c:pt>
                <c:pt idx="4">
                  <c:v>0.74838709677419391</c:v>
                </c:pt>
                <c:pt idx="5">
                  <c:v>0.71612903225806468</c:v>
                </c:pt>
                <c:pt idx="6">
                  <c:v>0.28387096774193565</c:v>
                </c:pt>
                <c:pt idx="7">
                  <c:v>0.56451612903225779</c:v>
                </c:pt>
                <c:pt idx="8">
                  <c:v>1.3129032258064515</c:v>
                </c:pt>
                <c:pt idx="9">
                  <c:v>2.7677419354838713</c:v>
                </c:pt>
                <c:pt idx="10">
                  <c:v>1.732258064516129</c:v>
                </c:pt>
                <c:pt idx="11">
                  <c:v>2.0419354838709678</c:v>
                </c:pt>
                <c:pt idx="12">
                  <c:v>0.17419354838709677</c:v>
                </c:pt>
                <c:pt idx="13">
                  <c:v>-0.27096774193548384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#\ ##0.0</c:formatCode>
                <c:ptCount val="12"/>
                <c:pt idx="0">
                  <c:v>0.78709677419354818</c:v>
                </c:pt>
                <c:pt idx="1">
                  <c:v>3.0892857142857144</c:v>
                </c:pt>
                <c:pt idx="2">
                  <c:v>3.3161290322580643</c:v>
                </c:pt>
                <c:pt idx="3">
                  <c:v>6.6166666666666663</c:v>
                </c:pt>
                <c:pt idx="4">
                  <c:v>14.500000000000002</c:v>
                </c:pt>
                <c:pt idx="5">
                  <c:v>18.956666666666667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#\ 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#\ ##0.0</c:formatCode>
                <c:ptCount val="14"/>
                <c:pt idx="0">
                  <c:v>2.7714285714285718</c:v>
                </c:pt>
                <c:pt idx="1">
                  <c:v>4.1785714285714279</c:v>
                </c:pt>
                <c:pt idx="2">
                  <c:v>1.7642857142857142</c:v>
                </c:pt>
                <c:pt idx="3">
                  <c:v>2.6821428571428569</c:v>
                </c:pt>
                <c:pt idx="4">
                  <c:v>3.0392857142857141</c:v>
                </c:pt>
                <c:pt idx="5">
                  <c:v>3.2714285714285709</c:v>
                </c:pt>
                <c:pt idx="6">
                  <c:v>2.8714285714285714</c:v>
                </c:pt>
                <c:pt idx="7">
                  <c:v>3.1785714285714284</c:v>
                </c:pt>
                <c:pt idx="8">
                  <c:v>3.2642857142857147</c:v>
                </c:pt>
                <c:pt idx="9">
                  <c:v>5.1678571428571436</c:v>
                </c:pt>
                <c:pt idx="10">
                  <c:v>4.0964285714285715</c:v>
                </c:pt>
                <c:pt idx="11">
                  <c:v>3.8464285714285706</c:v>
                </c:pt>
                <c:pt idx="12">
                  <c:v>2.4285714285714284</c:v>
                </c:pt>
                <c:pt idx="13">
                  <c:v>2.4392857142857141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339014.19744999998</c:v>
                </c:pt>
                <c:pt idx="1">
                  <c:v>1302011.8568399998</c:v>
                </c:pt>
                <c:pt idx="2">
                  <c:v>245340.21466000003</c:v>
                </c:pt>
                <c:pt idx="3">
                  <c:v>404098.56219000008</c:v>
                </c:pt>
                <c:pt idx="4">
                  <c:v>394815.80985000002</c:v>
                </c:pt>
                <c:pt idx="5">
                  <c:v>994647.18639000005</c:v>
                </c:pt>
                <c:pt idx="6">
                  <c:v>568263.20821999991</c:v>
                </c:pt>
                <c:pt idx="7">
                  <c:v>445637.76092000003</c:v>
                </c:pt>
                <c:pt idx="8">
                  <c:v>454493.27653000009</c:v>
                </c:pt>
                <c:pt idx="9">
                  <c:v>1080729.21725</c:v>
                </c:pt>
                <c:pt idx="10">
                  <c:v>1209839.1711969997</c:v>
                </c:pt>
                <c:pt idx="11">
                  <c:v>957177.56342000014</c:v>
                </c:pt>
                <c:pt idx="12">
                  <c:v>396364.24987000006</c:v>
                </c:pt>
                <c:pt idx="13">
                  <c:v>497876.77665000001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#\ ##0.0</c:formatCode>
                <c:ptCount val="14"/>
                <c:pt idx="0">
                  <c:v>2.7548387096774194</c:v>
                </c:pt>
                <c:pt idx="1">
                  <c:v>4.0999999999999996</c:v>
                </c:pt>
                <c:pt idx="2">
                  <c:v>2.3645161290322574</c:v>
                </c:pt>
                <c:pt idx="3">
                  <c:v>2.9387096774193546</c:v>
                </c:pt>
                <c:pt idx="4">
                  <c:v>3.370967741935484</c:v>
                </c:pt>
                <c:pt idx="5">
                  <c:v>2.9129032258064513</c:v>
                </c:pt>
                <c:pt idx="6">
                  <c:v>2.9645161290322584</c:v>
                </c:pt>
                <c:pt idx="7">
                  <c:v>3.1258064516129025</c:v>
                </c:pt>
                <c:pt idx="8">
                  <c:v>3.2322580645161292</c:v>
                </c:pt>
                <c:pt idx="9">
                  <c:v>5.4645161290322575</c:v>
                </c:pt>
                <c:pt idx="10">
                  <c:v>3.8645161290322587</c:v>
                </c:pt>
                <c:pt idx="11">
                  <c:v>3.9903225806451608</c:v>
                </c:pt>
                <c:pt idx="12">
                  <c:v>3.0322580645161294</c:v>
                </c:pt>
                <c:pt idx="13">
                  <c:v>2.4741935483870967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341010.47382999997</c:v>
                </c:pt>
                <c:pt idx="1">
                  <c:v>1318415.1843900003</c:v>
                </c:pt>
                <c:pt idx="2">
                  <c:v>242431.91138999996</c:v>
                </c:pt>
                <c:pt idx="3">
                  <c:v>401171.19883999991</c:v>
                </c:pt>
                <c:pt idx="4">
                  <c:v>393158.70135999989</c:v>
                </c:pt>
                <c:pt idx="5">
                  <c:v>1003168.9508600002</c:v>
                </c:pt>
                <c:pt idx="6">
                  <c:v>595974.21786999993</c:v>
                </c:pt>
                <c:pt idx="7">
                  <c:v>440708.36151999992</c:v>
                </c:pt>
                <c:pt idx="8">
                  <c:v>459034.11476000008</c:v>
                </c:pt>
                <c:pt idx="9">
                  <c:v>1059295.293842833</c:v>
                </c:pt>
                <c:pt idx="10">
                  <c:v>1226691.8287599995</c:v>
                </c:pt>
                <c:pt idx="11">
                  <c:v>1312751.24893</c:v>
                </c:pt>
                <c:pt idx="12">
                  <c:v>396756.70740999997</c:v>
                </c:pt>
                <c:pt idx="13">
                  <c:v>511670.34512999997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#\ ##0.0</c:formatCode>
                <c:ptCount val="14"/>
                <c:pt idx="0">
                  <c:v>2.0937019969278037</c:v>
                </c:pt>
                <c:pt idx="1">
                  <c:v>3.243394777265745</c:v>
                </c:pt>
                <c:pt idx="2">
                  <c:v>1.4633640552995388</c:v>
                </c:pt>
                <c:pt idx="3">
                  <c:v>1.894047619047619</c:v>
                </c:pt>
                <c:pt idx="4">
                  <c:v>2.3862135176651305</c:v>
                </c:pt>
                <c:pt idx="5">
                  <c:v>2.3001536098310287</c:v>
                </c:pt>
                <c:pt idx="6">
                  <c:v>2.0399385560675882</c:v>
                </c:pt>
                <c:pt idx="7">
                  <c:v>2.2896313364055296</c:v>
                </c:pt>
                <c:pt idx="8">
                  <c:v>2.6031490015360985</c:v>
                </c:pt>
                <c:pt idx="9">
                  <c:v>4.4667050691244237</c:v>
                </c:pt>
                <c:pt idx="10">
                  <c:v>3.231067588325653</c:v>
                </c:pt>
                <c:pt idx="11">
                  <c:v>3.2928955453149</c:v>
                </c:pt>
                <c:pt idx="12">
                  <c:v>1.8783410138248851</c:v>
                </c:pt>
                <c:pt idx="13">
                  <c:v>1.5475038402457757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1095787.2086400001</c:v>
                </c:pt>
                <c:pt idx="1">
                  <c:v>4276585.431760001</c:v>
                </c:pt>
                <c:pt idx="2">
                  <c:v>783845.57932999998</c:v>
                </c:pt>
                <c:pt idx="3">
                  <c:v>1320882.1233399999</c:v>
                </c:pt>
                <c:pt idx="4">
                  <c:v>1272637.0012299998</c:v>
                </c:pt>
                <c:pt idx="5">
                  <c:v>3208756.8683699998</c:v>
                </c:pt>
                <c:pt idx="6">
                  <c:v>1893727.0711699997</c:v>
                </c:pt>
                <c:pt idx="7">
                  <c:v>1420814.2402299999</c:v>
                </c:pt>
                <c:pt idx="8">
                  <c:v>1469455.3675600002</c:v>
                </c:pt>
                <c:pt idx="9">
                  <c:v>3508200.3114028331</c:v>
                </c:pt>
                <c:pt idx="10">
                  <c:v>3989458.0968269999</c:v>
                </c:pt>
                <c:pt idx="11">
                  <c:v>3686568.7166400002</c:v>
                </c:pt>
                <c:pt idx="12">
                  <c:v>1293305.3837400002</c:v>
                </c:pt>
                <c:pt idx="13">
                  <c:v>1639857.9563299997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1590</c:v>
                </c:pt>
                <c:pt idx="1">
                  <c:v>6333</c:v>
                </c:pt>
                <c:pt idx="2">
                  <c:v>206703</c:v>
                </c:pt>
                <c:pt idx="3">
                  <c:v>2598845</c:v>
                </c:pt>
                <c:pt idx="4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#\ ##0.0</c:formatCode>
                <c:ptCount val="4"/>
                <c:pt idx="0">
                  <c:v>1130.5589073510132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#\ ##0.0</c:formatCode>
                <c:ptCount val="4"/>
                <c:pt idx="0">
                  <c:v>291.47941689673081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#\ ##0.0</c:formatCode>
                <c:ptCount val="4"/>
                <c:pt idx="0">
                  <c:v>491.93637013248167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#\ ##0.0</c:formatCode>
                <c:ptCount val="4"/>
                <c:pt idx="0">
                  <c:v>943.94375273459264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#\ ##0.0</c:formatCode>
                <c:ptCount val="4"/>
                <c:pt idx="0">
                  <c:v>24.554257610078288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12105.793593597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3120.9507358399997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5266.4144165960943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10103.876503418738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262.84610711799996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44045.334403713248</c:v>
                </c:pt>
                <c:pt idx="1">
                  <c:v>22800.470776257749</c:v>
                </c:pt>
                <c:pt idx="2">
                  <c:v>36589.115264671418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38704.206423479518</c:v>
                </c:pt>
                <c:pt idx="1">
                  <c:v>26410.413035575904</c:v>
                </c:pt>
                <c:pt idx="2">
                  <c:v>31803.584759817579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11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1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1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11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1AA8B5-5249-445C-8B4E-732F9012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135708</xdr:rowOff>
    </xdr:from>
    <xdr:to>
      <xdr:col>2</xdr:col>
      <xdr:colOff>985</xdr:colOff>
      <xdr:row>1</xdr:row>
      <xdr:rowOff>4871807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5A5B4A11-A448-40A2-8020-A1DA7E1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5212533"/>
          <a:ext cx="6135085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1585813</xdr:colOff>
      <xdr:row>1</xdr:row>
      <xdr:rowOff>3947730</xdr:rowOff>
    </xdr:from>
    <xdr:to>
      <xdr:col>2</xdr:col>
      <xdr:colOff>63003</xdr:colOff>
      <xdr:row>2</xdr:row>
      <xdr:rowOff>157748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758D7-D9AE-4D28-8E13-F184DBD0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588" y="9024555"/>
          <a:ext cx="1839515" cy="12868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53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53</xdr:row>
      <xdr:rowOff>66675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18D57470-C8CE-41B0-9D13-6A6BBB73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629D853-21F0-440B-8467-D525E11B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E71C72E-6C87-4172-9D38-6702F73C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2</xdr:row>
      <xdr:rowOff>219074</xdr:rowOff>
    </xdr:from>
    <xdr:ext cx="907958" cy="664845"/>
    <xdr:pic>
      <xdr:nvPicPr>
        <xdr:cNvPr id="9" name="Obrázek 8">
          <a:extLst>
            <a:ext uri="{FF2B5EF4-FFF2-40B4-BE49-F238E27FC236}">
              <a16:creationId xmlns:a16="http://schemas.microsoft.com/office/drawing/2014/main" id="{128EAC60-D702-4C8D-9840-8CEF24BE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20</xdr:col>
      <xdr:colOff>28575</xdr:colOff>
      <xdr:row>38</xdr:row>
      <xdr:rowOff>128386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C7A76D1-F729-4777-AEAB-61EAB4F06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6324600" cy="61767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45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45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26</xdr:row>
      <xdr:rowOff>0</xdr:rowOff>
    </xdr:from>
    <xdr:to>
      <xdr:col>6</xdr:col>
      <xdr:colOff>361950</xdr:colOff>
      <xdr:row>40</xdr:row>
      <xdr:rowOff>104776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41</xdr:row>
      <xdr:rowOff>123825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41</xdr:row>
      <xdr:rowOff>114300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50</xdr:row>
      <xdr:rowOff>228599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50</xdr:row>
      <xdr:rowOff>219075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38100</xdr:rowOff>
    </xdr:from>
    <xdr:to>
      <xdr:col>9</xdr:col>
      <xdr:colOff>485775</xdr:colOff>
      <xdr:row>50</xdr:row>
      <xdr:rowOff>209550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53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53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28575</xdr:rowOff>
    </xdr:from>
    <xdr:to>
      <xdr:col>6</xdr:col>
      <xdr:colOff>247650</xdr:colOff>
      <xdr:row>53</xdr:row>
      <xdr:rowOff>95250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57150</xdr:rowOff>
    </xdr:from>
    <xdr:to>
      <xdr:col>10</xdr:col>
      <xdr:colOff>19050</xdr:colOff>
      <xdr:row>53</xdr:row>
      <xdr:rowOff>161925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53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53</xdr:row>
      <xdr:rowOff>95250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EE4A-A0B5-4F83-9926-315C635D1C0E}">
  <sheetPr codeName="List1"/>
  <dimension ref="A1:K50"/>
  <sheetViews>
    <sheetView showGridLines="0" tabSelected="1" showWhiteSpace="0" zoomScaleNormal="100" zoomScaleSheetLayoutView="70" zoomScalePageLayoutView="70" workbookViewId="0">
      <selection activeCell="C1" sqref="C1"/>
    </sheetView>
  </sheetViews>
  <sheetFormatPr defaultColWidth="9.140625" defaultRowHeight="12.75"/>
  <cols>
    <col min="1" max="1" width="41.5703125" style="135" customWidth="1"/>
    <col min="2" max="2" width="50.42578125" style="135" customWidth="1"/>
    <col min="3" max="9" width="9.85546875" style="135" customWidth="1"/>
    <col min="10" max="10" width="10.28515625" style="135" customWidth="1"/>
    <col min="11" max="16384" width="9.140625" style="135"/>
  </cols>
  <sheetData>
    <row r="1" spans="1:11" ht="399.75" customHeight="1">
      <c r="A1" s="411" t="s">
        <v>265</v>
      </c>
      <c r="B1" s="412"/>
    </row>
    <row r="2" spans="1:11" ht="400.15" customHeight="1">
      <c r="A2" s="136"/>
      <c r="B2" s="137"/>
      <c r="C2" s="138"/>
      <c r="D2" s="138"/>
      <c r="E2" s="138"/>
      <c r="F2" s="138"/>
      <c r="G2" s="138"/>
      <c r="H2" s="138"/>
      <c r="I2" s="138"/>
      <c r="J2" s="138"/>
      <c r="K2" s="135" t="s">
        <v>264</v>
      </c>
    </row>
    <row r="3" spans="1:11">
      <c r="B3" s="139"/>
      <c r="D3" s="140"/>
      <c r="E3" s="141"/>
      <c r="F3" s="141"/>
      <c r="G3" s="141"/>
      <c r="J3" s="142"/>
    </row>
    <row r="9" spans="1:11">
      <c r="B9" s="143"/>
      <c r="I9" s="144"/>
    </row>
    <row r="10" spans="1:11">
      <c r="B10" s="145"/>
      <c r="C10" s="146"/>
    </row>
    <row r="11" spans="1:11">
      <c r="B11" s="145"/>
      <c r="C11" s="146"/>
    </row>
    <row r="12" spans="1:11">
      <c r="B12" s="145"/>
      <c r="C12" s="146"/>
    </row>
    <row r="13" spans="1:11">
      <c r="A13" s="147"/>
      <c r="B13" s="148"/>
      <c r="C13" s="149"/>
      <c r="D13" s="147"/>
      <c r="E13" s="147"/>
      <c r="F13" s="147"/>
      <c r="G13" s="147"/>
      <c r="H13" s="147"/>
      <c r="I13" s="147"/>
      <c r="J13" s="147"/>
    </row>
    <row r="14" spans="1:11">
      <c r="A14" s="147"/>
      <c r="B14" s="148"/>
      <c r="C14" s="149"/>
      <c r="D14" s="147"/>
      <c r="E14" s="147"/>
      <c r="F14" s="147"/>
      <c r="G14" s="147"/>
      <c r="H14" s="147"/>
      <c r="I14" s="147"/>
      <c r="J14" s="147"/>
    </row>
    <row r="15" spans="1:11">
      <c r="A15" s="147"/>
      <c r="B15" s="148"/>
      <c r="C15" s="149"/>
      <c r="D15" s="147"/>
      <c r="E15" s="147"/>
      <c r="F15" s="147"/>
      <c r="G15" s="147"/>
      <c r="H15" s="147"/>
      <c r="I15" s="147"/>
      <c r="J15" s="147"/>
    </row>
    <row r="16" spans="1:11">
      <c r="A16" s="147"/>
      <c r="B16" s="148"/>
      <c r="C16" s="149"/>
      <c r="D16" s="147"/>
      <c r="E16" s="147"/>
      <c r="F16" s="147"/>
      <c r="G16" s="147"/>
      <c r="H16" s="147"/>
      <c r="I16" s="147"/>
      <c r="J16" s="147"/>
    </row>
    <row r="17" spans="1:10">
      <c r="A17" s="147"/>
      <c r="B17" s="148"/>
      <c r="C17" s="149"/>
      <c r="D17" s="147"/>
      <c r="E17" s="147"/>
      <c r="F17" s="147"/>
      <c r="G17" s="147"/>
      <c r="H17" s="147"/>
      <c r="I17" s="147"/>
      <c r="J17" s="147"/>
    </row>
    <row r="18" spans="1:10">
      <c r="A18" s="147"/>
      <c r="B18" s="148"/>
      <c r="C18" s="149"/>
      <c r="D18" s="147"/>
      <c r="E18" s="147"/>
      <c r="F18" s="147"/>
      <c r="G18" s="147"/>
      <c r="H18" s="147"/>
      <c r="I18" s="147"/>
      <c r="J18" s="147"/>
    </row>
    <row r="19" spans="1:10">
      <c r="A19" s="147"/>
      <c r="B19" s="148"/>
      <c r="C19" s="149"/>
      <c r="D19" s="147"/>
      <c r="E19" s="147"/>
      <c r="F19" s="147"/>
      <c r="G19" s="147"/>
      <c r="H19" s="147"/>
      <c r="I19" s="147"/>
      <c r="J19" s="147"/>
    </row>
    <row r="21" spans="1:10">
      <c r="A21" s="147"/>
      <c r="B21" s="148"/>
      <c r="C21" s="149"/>
      <c r="D21" s="147"/>
      <c r="E21" s="147"/>
      <c r="F21" s="147"/>
      <c r="G21" s="147"/>
      <c r="H21" s="147"/>
      <c r="I21" s="147"/>
      <c r="J21" s="147"/>
    </row>
    <row r="22" spans="1:10">
      <c r="A22" s="147"/>
      <c r="B22" s="148"/>
      <c r="C22" s="149"/>
      <c r="D22" s="147"/>
      <c r="E22" s="147"/>
      <c r="F22" s="147"/>
      <c r="G22" s="147"/>
      <c r="H22" s="147"/>
      <c r="I22" s="147"/>
      <c r="J22" s="147"/>
    </row>
    <row r="23" spans="1:10">
      <c r="A23" s="147"/>
      <c r="B23" s="148"/>
      <c r="C23" s="149"/>
      <c r="D23" s="147"/>
      <c r="E23" s="147"/>
      <c r="F23" s="147"/>
      <c r="G23" s="147"/>
      <c r="H23" s="147"/>
      <c r="I23" s="147"/>
      <c r="J23" s="147"/>
    </row>
    <row r="25" spans="1:10">
      <c r="A25" s="147"/>
      <c r="C25" s="149"/>
      <c r="D25" s="147"/>
      <c r="E25" s="147"/>
      <c r="F25" s="147"/>
      <c r="G25" s="147"/>
      <c r="H25" s="147"/>
      <c r="I25" s="147"/>
      <c r="J25" s="147"/>
    </row>
    <row r="26" spans="1:10">
      <c r="A26" s="147"/>
      <c r="C26" s="149"/>
      <c r="D26" s="147"/>
      <c r="E26" s="147"/>
      <c r="F26" s="147"/>
      <c r="G26" s="147"/>
      <c r="H26" s="147"/>
      <c r="I26" s="147"/>
      <c r="J26" s="147"/>
    </row>
    <row r="27" spans="1:10">
      <c r="A27" s="147"/>
      <c r="C27" s="149"/>
      <c r="D27" s="147"/>
      <c r="E27" s="147"/>
      <c r="F27" s="147"/>
      <c r="G27" s="147"/>
      <c r="H27" s="147"/>
      <c r="I27" s="147"/>
      <c r="J27" s="147"/>
    </row>
    <row r="28" spans="1:10">
      <c r="A28" s="413"/>
      <c r="B28" s="413"/>
      <c r="C28" s="413"/>
      <c r="D28" s="413"/>
      <c r="E28" s="413"/>
      <c r="F28" s="413"/>
      <c r="G28" s="413"/>
      <c r="H28" s="413"/>
      <c r="I28" s="413"/>
      <c r="J28" s="413"/>
    </row>
    <row r="29" spans="1:10">
      <c r="A29" s="147"/>
      <c r="B29" s="148"/>
      <c r="C29" s="149"/>
      <c r="D29" s="147"/>
      <c r="E29" s="147"/>
      <c r="F29" s="147"/>
      <c r="G29" s="147"/>
      <c r="H29" s="147"/>
      <c r="I29" s="147"/>
      <c r="J29" s="147"/>
    </row>
    <row r="31" spans="1:10">
      <c r="A31" s="147"/>
      <c r="B31" s="148"/>
      <c r="C31" s="149"/>
      <c r="D31" s="147"/>
      <c r="E31" s="147"/>
      <c r="F31" s="147"/>
      <c r="G31" s="147"/>
      <c r="H31" s="147"/>
      <c r="I31" s="147"/>
      <c r="J31" s="147"/>
    </row>
    <row r="32" spans="1:10">
      <c r="A32" s="147"/>
      <c r="B32" s="148"/>
      <c r="C32" s="149"/>
      <c r="D32" s="147"/>
      <c r="E32" s="147"/>
      <c r="F32" s="147"/>
      <c r="G32" s="147"/>
      <c r="H32" s="147"/>
      <c r="I32" s="147"/>
      <c r="J32" s="147"/>
    </row>
    <row r="33" spans="1:10">
      <c r="A33" s="414"/>
      <c r="B33" s="414"/>
      <c r="C33" s="414"/>
      <c r="D33" s="414"/>
      <c r="E33" s="414"/>
      <c r="F33" s="414"/>
      <c r="G33" s="414"/>
      <c r="H33" s="414"/>
      <c r="I33" s="414"/>
      <c r="J33" s="414"/>
    </row>
    <row r="34" spans="1:10">
      <c r="B34" s="142"/>
      <c r="C34" s="142"/>
      <c r="D34" s="142"/>
      <c r="E34" s="142"/>
      <c r="F34" s="142"/>
      <c r="G34" s="142"/>
      <c r="H34" s="142"/>
      <c r="I34" s="142"/>
      <c r="J34" s="142"/>
    </row>
    <row r="37" spans="1:10">
      <c r="B37" s="145"/>
      <c r="C37" s="146"/>
    </row>
    <row r="39" spans="1:10">
      <c r="B39" s="150"/>
      <c r="C39" s="150"/>
      <c r="D39" s="150"/>
      <c r="E39" s="150"/>
      <c r="F39" s="150"/>
      <c r="G39" s="150"/>
      <c r="H39" s="150"/>
      <c r="I39" s="150"/>
    </row>
    <row r="50" spans="1:10">
      <c r="A50" s="415"/>
      <c r="B50" s="415"/>
      <c r="C50" s="415"/>
      <c r="D50" s="415"/>
      <c r="E50" s="415"/>
      <c r="F50" s="415"/>
      <c r="G50" s="415"/>
      <c r="H50" s="415"/>
      <c r="I50" s="415"/>
      <c r="J50" s="415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8.42578125" style="76" customWidth="1"/>
    <col min="2" max="10" width="9" style="76" customWidth="1"/>
    <col min="11" max="12" width="7.7109375" style="76" customWidth="1"/>
    <col min="13" max="16384" width="9.140625" style="76"/>
  </cols>
  <sheetData>
    <row r="1" spans="1:10" ht="18">
      <c r="A1" s="469" t="s">
        <v>303</v>
      </c>
      <c r="B1" s="469"/>
      <c r="C1" s="469"/>
      <c r="D1" s="469"/>
      <c r="E1" s="469"/>
      <c r="F1" s="469"/>
      <c r="G1" s="469"/>
      <c r="H1" s="469"/>
      <c r="I1" s="469"/>
      <c r="J1" s="469"/>
    </row>
    <row r="2" spans="1:10" ht="6" customHeight="1">
      <c r="A2" s="273"/>
      <c r="B2" s="274"/>
      <c r="C2" s="274"/>
      <c r="D2" s="274"/>
      <c r="E2" s="274"/>
      <c r="F2" s="274"/>
      <c r="G2" s="274"/>
      <c r="H2" s="274"/>
      <c r="I2" s="274"/>
      <c r="J2" s="274"/>
    </row>
    <row r="3" spans="1:10" ht="15.75" customHeight="1">
      <c r="A3" s="319">
        <f>'3.1'!A4</f>
        <v>2022</v>
      </c>
      <c r="B3" s="471" t="str">
        <f>'3.1'!D5</f>
        <v>Leden</v>
      </c>
      <c r="C3" s="470"/>
      <c r="D3" s="472"/>
      <c r="E3" s="470" t="str">
        <f>'3.1'!E5</f>
        <v>Únor</v>
      </c>
      <c r="F3" s="470"/>
      <c r="G3" s="470"/>
      <c r="H3" s="471" t="str">
        <f>'3.1'!F5</f>
        <v>Březen</v>
      </c>
      <c r="I3" s="470"/>
      <c r="J3" s="470"/>
    </row>
    <row r="4" spans="1:10" ht="28.5" customHeight="1">
      <c r="A4" s="293"/>
      <c r="B4" s="473" t="s">
        <v>60</v>
      </c>
      <c r="C4" s="474"/>
      <c r="D4" s="225" t="s">
        <v>184</v>
      </c>
      <c r="E4" s="474" t="s">
        <v>60</v>
      </c>
      <c r="F4" s="474"/>
      <c r="G4" s="222" t="s">
        <v>184</v>
      </c>
      <c r="H4" s="473" t="s">
        <v>60</v>
      </c>
      <c r="I4" s="474"/>
      <c r="J4" s="222" t="s">
        <v>184</v>
      </c>
    </row>
    <row r="5" spans="1:10" ht="15" customHeight="1">
      <c r="A5" s="281" t="s">
        <v>176</v>
      </c>
      <c r="B5" s="224" t="s">
        <v>267</v>
      </c>
      <c r="C5" s="222" t="s">
        <v>268</v>
      </c>
      <c r="D5" s="225" t="s">
        <v>235</v>
      </c>
      <c r="E5" s="222" t="s">
        <v>267</v>
      </c>
      <c r="F5" s="222" t="s">
        <v>268</v>
      </c>
      <c r="G5" s="222" t="s">
        <v>235</v>
      </c>
      <c r="H5" s="224" t="s">
        <v>267</v>
      </c>
      <c r="I5" s="222" t="s">
        <v>268</v>
      </c>
      <c r="J5" s="222" t="s">
        <v>235</v>
      </c>
    </row>
    <row r="6" spans="1:10" ht="12.6" customHeight="1">
      <c r="A6" s="155">
        <v>1</v>
      </c>
      <c r="B6" s="156">
        <v>22800.470776257749</v>
      </c>
      <c r="C6" s="157">
        <v>243608.02602406451</v>
      </c>
      <c r="D6" s="287">
        <v>8.6</v>
      </c>
      <c r="E6" s="157">
        <v>38704.206423479518</v>
      </c>
      <c r="F6" s="157">
        <v>414203.5415011071</v>
      </c>
      <c r="G6" s="275">
        <v>0.5</v>
      </c>
      <c r="H6" s="156">
        <v>38596.986658484035</v>
      </c>
      <c r="I6" s="157">
        <v>414333.42619474197</v>
      </c>
      <c r="J6" s="275">
        <v>-1.7</v>
      </c>
    </row>
    <row r="7" spans="1:10" ht="12.6" customHeight="1">
      <c r="A7" s="155">
        <v>2</v>
      </c>
      <c r="B7" s="156">
        <v>26266.203952905929</v>
      </c>
      <c r="C7" s="157">
        <v>280625.3150240645</v>
      </c>
      <c r="D7" s="287">
        <v>6.2</v>
      </c>
      <c r="E7" s="157">
        <v>37692.807770514075</v>
      </c>
      <c r="F7" s="157">
        <v>403218.24050110712</v>
      </c>
      <c r="G7" s="275">
        <v>2.4</v>
      </c>
      <c r="H7" s="156">
        <v>36705.470923709014</v>
      </c>
      <c r="I7" s="157">
        <v>393945.68919474195</v>
      </c>
      <c r="J7" s="275">
        <v>-1.7</v>
      </c>
    </row>
    <row r="8" spans="1:10" ht="12.6" customHeight="1">
      <c r="A8" s="155">
        <v>3</v>
      </c>
      <c r="B8" s="156">
        <v>28546.576623000015</v>
      </c>
      <c r="C8" s="157">
        <v>304982.6310240645</v>
      </c>
      <c r="D8" s="287">
        <v>7.2</v>
      </c>
      <c r="E8" s="157">
        <v>36040.673673197736</v>
      </c>
      <c r="F8" s="157">
        <v>385527.7755011071</v>
      </c>
      <c r="G8" s="275">
        <v>2.4</v>
      </c>
      <c r="H8" s="156">
        <v>37588.397302737874</v>
      </c>
      <c r="I8" s="157">
        <v>403415.29219474195</v>
      </c>
      <c r="J8" s="275">
        <v>-1.6</v>
      </c>
    </row>
    <row r="9" spans="1:10" ht="12.6" customHeight="1">
      <c r="A9" s="155">
        <v>4</v>
      </c>
      <c r="B9" s="156">
        <v>30899.438462790244</v>
      </c>
      <c r="C9" s="157">
        <v>330103.88802406448</v>
      </c>
      <c r="D9" s="287">
        <v>7</v>
      </c>
      <c r="E9" s="157">
        <v>33873.809019891603</v>
      </c>
      <c r="F9" s="157">
        <v>362356.1725011071</v>
      </c>
      <c r="G9" s="275">
        <v>3.8</v>
      </c>
      <c r="H9" s="156">
        <v>37443.982442084824</v>
      </c>
      <c r="I9" s="157">
        <v>401903.74119474198</v>
      </c>
      <c r="J9" s="275">
        <v>-0.9</v>
      </c>
    </row>
    <row r="10" spans="1:10" ht="12.6" customHeight="1">
      <c r="A10" s="155">
        <v>5</v>
      </c>
      <c r="B10" s="156">
        <v>32162.29704702548</v>
      </c>
      <c r="C10" s="157">
        <v>343606.37802406447</v>
      </c>
      <c r="D10" s="287">
        <v>2.2000000000000002</v>
      </c>
      <c r="E10" s="157">
        <v>30369.279902760736</v>
      </c>
      <c r="F10" s="157">
        <v>324906.2155011071</v>
      </c>
      <c r="G10" s="275">
        <v>1.8</v>
      </c>
      <c r="H10" s="156">
        <v>32071.675797189582</v>
      </c>
      <c r="I10" s="157">
        <v>344368.85319474194</v>
      </c>
      <c r="J10" s="275">
        <v>-0.6</v>
      </c>
    </row>
    <row r="11" spans="1:10" ht="12.6" customHeight="1">
      <c r="A11" s="155">
        <v>6</v>
      </c>
      <c r="B11" s="156">
        <v>37330.914323696619</v>
      </c>
      <c r="C11" s="157">
        <v>398816.54202406446</v>
      </c>
      <c r="D11" s="287">
        <v>-1.4</v>
      </c>
      <c r="E11" s="157">
        <v>31342.012015265267</v>
      </c>
      <c r="F11" s="157">
        <v>335315.11550110712</v>
      </c>
      <c r="G11" s="275">
        <v>3.9</v>
      </c>
      <c r="H11" s="156">
        <v>34416.134291563889</v>
      </c>
      <c r="I11" s="157">
        <v>369543.51219474198</v>
      </c>
      <c r="J11" s="275">
        <v>-2.1</v>
      </c>
    </row>
    <row r="12" spans="1:10" ht="12.6" customHeight="1">
      <c r="A12" s="155">
        <v>7</v>
      </c>
      <c r="B12" s="156">
        <v>37115.508088174218</v>
      </c>
      <c r="C12" s="157">
        <v>396512.10702406446</v>
      </c>
      <c r="D12" s="287">
        <v>-2.8</v>
      </c>
      <c r="E12" s="157">
        <v>37082.18989896946</v>
      </c>
      <c r="F12" s="157">
        <v>396823.72050110711</v>
      </c>
      <c r="G12" s="275">
        <v>1.6</v>
      </c>
      <c r="H12" s="156">
        <v>39305.876196734891</v>
      </c>
      <c r="I12" s="157">
        <v>421985.93719474197</v>
      </c>
      <c r="J12" s="275">
        <v>-0.9</v>
      </c>
    </row>
    <row r="13" spans="1:10" ht="12.6" customHeight="1">
      <c r="A13" s="155">
        <v>8</v>
      </c>
      <c r="B13" s="156">
        <v>34466.065397065897</v>
      </c>
      <c r="C13" s="157">
        <v>368216.86102406448</v>
      </c>
      <c r="D13" s="287">
        <v>-1.7</v>
      </c>
      <c r="E13" s="157">
        <v>34068.079053088091</v>
      </c>
      <c r="F13" s="157">
        <v>364463.45250110712</v>
      </c>
      <c r="G13" s="275">
        <v>3.7</v>
      </c>
      <c r="H13" s="156">
        <v>35793.716596542879</v>
      </c>
      <c r="I13" s="157">
        <v>384225.42119474197</v>
      </c>
      <c r="J13" s="275">
        <v>-0.6</v>
      </c>
    </row>
    <row r="14" spans="1:10" ht="12.6" customHeight="1">
      <c r="A14" s="155">
        <v>9</v>
      </c>
      <c r="B14" s="156">
        <v>35285.674860007151</v>
      </c>
      <c r="C14" s="157">
        <v>376969.81902406446</v>
      </c>
      <c r="D14" s="287">
        <v>-0.8</v>
      </c>
      <c r="E14" s="157">
        <v>31914.833395757458</v>
      </c>
      <c r="F14" s="157">
        <v>341424.98350110708</v>
      </c>
      <c r="G14" s="275">
        <v>5</v>
      </c>
      <c r="H14" s="156">
        <v>34146.579378165443</v>
      </c>
      <c r="I14" s="157">
        <v>366530.85519474198</v>
      </c>
      <c r="J14" s="275">
        <v>1.4</v>
      </c>
    </row>
    <row r="15" spans="1:10" ht="12.6" customHeight="1">
      <c r="A15" s="155">
        <v>10</v>
      </c>
      <c r="B15" s="156">
        <v>41644.295606602987</v>
      </c>
      <c r="C15" s="157">
        <v>444891.51902406447</v>
      </c>
      <c r="D15" s="287">
        <v>0</v>
      </c>
      <c r="E15" s="157">
        <v>31318.416639654497</v>
      </c>
      <c r="F15" s="157">
        <v>335032.1775011071</v>
      </c>
      <c r="G15" s="275">
        <v>6</v>
      </c>
      <c r="H15" s="156">
        <v>33051.464866727358</v>
      </c>
      <c r="I15" s="157">
        <v>354863.61519474199</v>
      </c>
      <c r="J15" s="275">
        <v>0.3</v>
      </c>
    </row>
    <row r="16" spans="1:10" ht="12.6" customHeight="1">
      <c r="A16" s="155">
        <v>11</v>
      </c>
      <c r="B16" s="156">
        <v>44045.334403713248</v>
      </c>
      <c r="C16" s="157">
        <v>470537.88702406449</v>
      </c>
      <c r="D16" s="287">
        <v>-3.8</v>
      </c>
      <c r="E16" s="157">
        <v>33176.391588834907</v>
      </c>
      <c r="F16" s="157">
        <v>354905.59950110712</v>
      </c>
      <c r="G16" s="275">
        <v>2.8</v>
      </c>
      <c r="H16" s="156">
        <v>33265.088533853232</v>
      </c>
      <c r="I16" s="157">
        <v>357163.09219474194</v>
      </c>
      <c r="J16" s="275">
        <v>-1.2</v>
      </c>
    </row>
    <row r="17" spans="1:10" ht="12.6" customHeight="1">
      <c r="A17" s="155">
        <v>12</v>
      </c>
      <c r="B17" s="156">
        <v>43842.628418402535</v>
      </c>
      <c r="C17" s="157">
        <v>468372.12602406449</v>
      </c>
      <c r="D17" s="287">
        <v>-3.6</v>
      </c>
      <c r="E17" s="157">
        <v>29402.661649825801</v>
      </c>
      <c r="F17" s="157">
        <v>314572.30550110707</v>
      </c>
      <c r="G17" s="275">
        <v>0</v>
      </c>
      <c r="H17" s="156">
        <v>29669.364029113778</v>
      </c>
      <c r="I17" s="157">
        <v>318566.59619474196</v>
      </c>
      <c r="J17" s="275">
        <v>0.6</v>
      </c>
    </row>
    <row r="18" spans="1:10" ht="12.6" customHeight="1">
      <c r="A18" s="155">
        <v>13</v>
      </c>
      <c r="B18" s="156">
        <v>41134.455916515464</v>
      </c>
      <c r="C18" s="157">
        <v>439446.32402406447</v>
      </c>
      <c r="D18" s="288">
        <v>0.1</v>
      </c>
      <c r="E18" s="157">
        <v>30810.525756882751</v>
      </c>
      <c r="F18" s="157">
        <v>329626.75550110708</v>
      </c>
      <c r="G18" s="276">
        <v>1</v>
      </c>
      <c r="H18" s="156">
        <v>29030.727592791765</v>
      </c>
      <c r="I18" s="157">
        <v>311703.90819474199</v>
      </c>
      <c r="J18" s="276">
        <v>2.9</v>
      </c>
    </row>
    <row r="19" spans="1:10" ht="12.6" customHeight="1">
      <c r="A19" s="155">
        <v>14</v>
      </c>
      <c r="B19" s="156">
        <v>37670.313084198198</v>
      </c>
      <c r="C19" s="157">
        <v>402467.61802406446</v>
      </c>
      <c r="D19" s="288">
        <v>2.2000000000000002</v>
      </c>
      <c r="E19" s="157">
        <v>33208.082509192718</v>
      </c>
      <c r="F19" s="157">
        <v>355270.65450110711</v>
      </c>
      <c r="G19" s="276">
        <v>1.4</v>
      </c>
      <c r="H19" s="156">
        <v>32631.923455549255</v>
      </c>
      <c r="I19" s="157">
        <v>350312.01519474195</v>
      </c>
      <c r="J19" s="276">
        <v>5.5</v>
      </c>
    </row>
    <row r="20" spans="1:10" ht="12.6" customHeight="1">
      <c r="A20" s="155">
        <v>15</v>
      </c>
      <c r="B20" s="156">
        <v>35601.245554480251</v>
      </c>
      <c r="C20" s="157">
        <v>380374.18102406448</v>
      </c>
      <c r="D20" s="288">
        <v>-0.8</v>
      </c>
      <c r="E20" s="157">
        <v>32343.097802073014</v>
      </c>
      <c r="F20" s="157">
        <v>346016.83150110708</v>
      </c>
      <c r="G20" s="276">
        <v>3.3</v>
      </c>
      <c r="H20" s="156">
        <v>30799.67248308066</v>
      </c>
      <c r="I20" s="157">
        <v>330554.50219474197</v>
      </c>
      <c r="J20" s="276">
        <v>6.1</v>
      </c>
    </row>
    <row r="21" spans="1:10" ht="12.6" customHeight="1">
      <c r="A21" s="155">
        <v>16</v>
      </c>
      <c r="B21" s="156">
        <v>35255.614058687934</v>
      </c>
      <c r="C21" s="157">
        <v>376647.42802406446</v>
      </c>
      <c r="D21" s="288">
        <v>-1.1000000000000001</v>
      </c>
      <c r="E21" s="157">
        <v>29971.719640123159</v>
      </c>
      <c r="F21" s="157">
        <v>320650.95050110709</v>
      </c>
      <c r="G21" s="276">
        <v>5.9</v>
      </c>
      <c r="H21" s="156">
        <v>29592.665488620285</v>
      </c>
      <c r="I21" s="157">
        <v>317661.97219474195</v>
      </c>
      <c r="J21" s="276">
        <v>5.3</v>
      </c>
    </row>
    <row r="22" spans="1:10" ht="12.6" customHeight="1">
      <c r="A22" s="155">
        <v>17</v>
      </c>
      <c r="B22" s="156">
        <v>38213.190995877936</v>
      </c>
      <c r="C22" s="157">
        <v>408238.36702406447</v>
      </c>
      <c r="D22" s="288">
        <v>1.4</v>
      </c>
      <c r="E22" s="157">
        <v>29550.615328654982</v>
      </c>
      <c r="F22" s="157">
        <v>316151.57850110711</v>
      </c>
      <c r="G22" s="276">
        <v>6.7</v>
      </c>
      <c r="H22" s="156">
        <v>29696.987387518879</v>
      </c>
      <c r="I22" s="157">
        <v>319275.60319474194</v>
      </c>
      <c r="J22" s="276">
        <v>5.0999999999999996</v>
      </c>
    </row>
    <row r="23" spans="1:10" ht="12.6" customHeight="1">
      <c r="A23" s="155">
        <v>18</v>
      </c>
      <c r="B23" s="156">
        <v>40137.763018699603</v>
      </c>
      <c r="C23" s="277">
        <v>428798.8700240645</v>
      </c>
      <c r="D23" s="289">
        <v>-0.5</v>
      </c>
      <c r="E23" s="157">
        <v>28475.282846691156</v>
      </c>
      <c r="F23" s="277">
        <v>304649.98350110708</v>
      </c>
      <c r="G23" s="278">
        <v>6.6</v>
      </c>
      <c r="H23" s="156">
        <v>27874.456360060543</v>
      </c>
      <c r="I23" s="277">
        <v>299623.42419474194</v>
      </c>
      <c r="J23" s="278">
        <v>4.8</v>
      </c>
    </row>
    <row r="24" spans="1:10" ht="12.6" customHeight="1">
      <c r="A24" s="155">
        <v>19</v>
      </c>
      <c r="B24" s="156">
        <v>39011.554710556753</v>
      </c>
      <c r="C24" s="277">
        <v>416771.03702406446</v>
      </c>
      <c r="D24" s="289">
        <v>0</v>
      </c>
      <c r="E24" s="157">
        <v>26410.413035575904</v>
      </c>
      <c r="F24" s="277">
        <v>282567.34450110712</v>
      </c>
      <c r="G24" s="278">
        <v>3.8</v>
      </c>
      <c r="H24" s="156">
        <v>25263.86160063151</v>
      </c>
      <c r="I24" s="277">
        <v>271276.12619474198</v>
      </c>
      <c r="J24" s="278">
        <v>3.2</v>
      </c>
    </row>
    <row r="25" spans="1:10" ht="12.6" customHeight="1">
      <c r="A25" s="155">
        <v>20</v>
      </c>
      <c r="B25" s="156">
        <v>39290.138237869774</v>
      </c>
      <c r="C25" s="157">
        <v>419741.60702406446</v>
      </c>
      <c r="D25" s="288">
        <v>-0.8</v>
      </c>
      <c r="E25" s="157">
        <v>27372.171859181133</v>
      </c>
      <c r="F25" s="157">
        <v>292844.27150110708</v>
      </c>
      <c r="G25" s="276">
        <v>5.8</v>
      </c>
      <c r="H25" s="156">
        <v>26714.016487007801</v>
      </c>
      <c r="I25" s="157">
        <v>286876.62319474196</v>
      </c>
      <c r="J25" s="276">
        <v>3.3</v>
      </c>
    </row>
    <row r="26" spans="1:10" ht="12.6" customHeight="1">
      <c r="A26" s="155">
        <v>21</v>
      </c>
      <c r="B26" s="156">
        <v>41383.237778714421</v>
      </c>
      <c r="C26" s="157">
        <v>442118.6470240645</v>
      </c>
      <c r="D26" s="288">
        <v>-2.7</v>
      </c>
      <c r="E26" s="157">
        <v>30597.348704853557</v>
      </c>
      <c r="F26" s="157">
        <v>327338.10050110711</v>
      </c>
      <c r="G26" s="276">
        <v>4.8</v>
      </c>
      <c r="H26" s="156">
        <v>30799.9660041364</v>
      </c>
      <c r="I26" s="157">
        <v>331173.19219474198</v>
      </c>
      <c r="J26" s="276">
        <v>3.6</v>
      </c>
    </row>
    <row r="27" spans="1:10" ht="12.6" customHeight="1">
      <c r="A27" s="155">
        <v>22</v>
      </c>
      <c r="B27" s="156">
        <v>36817.618216656359</v>
      </c>
      <c r="C27" s="157">
        <v>393353.6850240645</v>
      </c>
      <c r="D27" s="288">
        <v>-0.6</v>
      </c>
      <c r="E27" s="157">
        <v>31431.267132157362</v>
      </c>
      <c r="F27" s="157">
        <v>336258.0195011071</v>
      </c>
      <c r="G27" s="276">
        <v>3.2</v>
      </c>
      <c r="H27" s="156">
        <v>28382.257800947158</v>
      </c>
      <c r="I27" s="157">
        <v>305286.61019474198</v>
      </c>
      <c r="J27" s="276">
        <v>6.4</v>
      </c>
    </row>
    <row r="28" spans="1:10" ht="12.6" customHeight="1">
      <c r="A28" s="155">
        <v>23</v>
      </c>
      <c r="B28" s="285">
        <v>37153.092442400848</v>
      </c>
      <c r="C28" s="279">
        <v>396940.15302406449</v>
      </c>
      <c r="D28" s="287">
        <v>0.7</v>
      </c>
      <c r="E28" s="279">
        <v>30500.461777317745</v>
      </c>
      <c r="F28" s="279">
        <v>326289.62650110712</v>
      </c>
      <c r="G28" s="275">
        <v>3.2</v>
      </c>
      <c r="H28" s="285">
        <v>26030.349283326887</v>
      </c>
      <c r="I28" s="279">
        <v>280193.40519474196</v>
      </c>
      <c r="J28" s="275">
        <v>7.7</v>
      </c>
    </row>
    <row r="29" spans="1:10" ht="12.6" customHeight="1">
      <c r="A29" s="155">
        <v>24</v>
      </c>
      <c r="B29" s="286">
        <v>40634.235432908521</v>
      </c>
      <c r="C29" s="280">
        <v>434138.37802406447</v>
      </c>
      <c r="D29" s="287">
        <v>0.7</v>
      </c>
      <c r="E29" s="280">
        <v>29659.520779951374</v>
      </c>
      <c r="F29" s="280">
        <v>317286.56950110709</v>
      </c>
      <c r="G29" s="275">
        <v>5</v>
      </c>
      <c r="H29" s="286">
        <v>25324.340772118387</v>
      </c>
      <c r="I29" s="280">
        <v>272363.95319474197</v>
      </c>
      <c r="J29" s="275">
        <v>7.3</v>
      </c>
    </row>
    <row r="30" spans="1:10" ht="12.6" customHeight="1">
      <c r="A30" s="155">
        <v>25</v>
      </c>
      <c r="B30" s="156">
        <v>39733.39134273622</v>
      </c>
      <c r="C30" s="157">
        <v>424639.3810240645</v>
      </c>
      <c r="D30" s="288">
        <v>0.6</v>
      </c>
      <c r="E30" s="157">
        <v>30220.679967769516</v>
      </c>
      <c r="F30" s="157">
        <v>323307.6125011071</v>
      </c>
      <c r="G30" s="276">
        <v>1.9</v>
      </c>
      <c r="H30" s="156">
        <v>23217.422058075565</v>
      </c>
      <c r="I30" s="157">
        <v>249618.35919474196</v>
      </c>
      <c r="J30" s="276">
        <v>6.4</v>
      </c>
    </row>
    <row r="31" spans="1:10" ht="12.6" customHeight="1">
      <c r="A31" s="155">
        <v>26</v>
      </c>
      <c r="B31" s="156">
        <v>39445.653906560394</v>
      </c>
      <c r="C31" s="157">
        <v>421655.70402406447</v>
      </c>
      <c r="D31" s="288">
        <v>-0.1</v>
      </c>
      <c r="E31" s="157">
        <v>29118.55692420495</v>
      </c>
      <c r="F31" s="157">
        <v>311526.77050110709</v>
      </c>
      <c r="G31" s="276">
        <v>1.4</v>
      </c>
      <c r="H31" s="156">
        <v>17427.747586285703</v>
      </c>
      <c r="I31" s="157">
        <v>187132.23419474196</v>
      </c>
      <c r="J31" s="276">
        <v>9</v>
      </c>
    </row>
    <row r="32" spans="1:10" ht="12.6" customHeight="1">
      <c r="A32" s="155">
        <v>27</v>
      </c>
      <c r="B32" s="156">
        <v>37396.500174785942</v>
      </c>
      <c r="C32" s="157">
        <v>399583.88702406449</v>
      </c>
      <c r="D32" s="288">
        <v>0.6</v>
      </c>
      <c r="E32" s="157">
        <v>30306.641264559268</v>
      </c>
      <c r="F32" s="157">
        <v>324236.75450110709</v>
      </c>
      <c r="G32" s="276">
        <v>0.6</v>
      </c>
      <c r="H32" s="156">
        <v>19717.681550506419</v>
      </c>
      <c r="I32" s="157">
        <v>211886.64419474197</v>
      </c>
      <c r="J32" s="276">
        <v>7.7</v>
      </c>
    </row>
    <row r="33" spans="1:15" ht="12.6" customHeight="1">
      <c r="A33" s="155">
        <v>28</v>
      </c>
      <c r="B33" s="156">
        <v>37662.731536835621</v>
      </c>
      <c r="C33" s="157">
        <v>402609.98002406448</v>
      </c>
      <c r="D33" s="288">
        <v>1.7</v>
      </c>
      <c r="E33" s="157">
        <v>35538.626914464621</v>
      </c>
      <c r="F33" s="157">
        <v>380197.61050110712</v>
      </c>
      <c r="G33" s="276">
        <v>-2</v>
      </c>
      <c r="H33" s="156">
        <v>21788.731051783499</v>
      </c>
      <c r="I33" s="157">
        <v>234022.45119474197</v>
      </c>
      <c r="J33" s="276">
        <v>9.8000000000000007</v>
      </c>
    </row>
    <row r="34" spans="1:15" ht="12.6" customHeight="1">
      <c r="A34" s="155">
        <v>29</v>
      </c>
      <c r="B34" s="156">
        <v>32185.425288126833</v>
      </c>
      <c r="C34" s="157">
        <v>343857.72602406447</v>
      </c>
      <c r="D34" s="288">
        <v>2.2000000000000002</v>
      </c>
      <c r="E34" s="157"/>
      <c r="F34" s="157"/>
      <c r="G34" s="276"/>
      <c r="H34" s="156">
        <v>23492.407980284712</v>
      </c>
      <c r="I34" s="157">
        <v>252620.91019474197</v>
      </c>
      <c r="J34" s="276">
        <v>8.6999999999999993</v>
      </c>
    </row>
    <row r="35" spans="1:15" ht="12.6" customHeight="1">
      <c r="A35" s="155">
        <v>30</v>
      </c>
      <c r="B35" s="156">
        <v>32597.981688475062</v>
      </c>
      <c r="C35" s="157">
        <v>348263.78702406446</v>
      </c>
      <c r="D35" s="288">
        <v>3.1</v>
      </c>
      <c r="E35" s="157"/>
      <c r="F35" s="157"/>
      <c r="G35" s="276"/>
      <c r="H35" s="156">
        <v>25367.567566072972</v>
      </c>
      <c r="I35" s="157">
        <v>272685.55119474197</v>
      </c>
      <c r="J35" s="276">
        <v>6.2</v>
      </c>
    </row>
    <row r="36" spans="1:15" ht="12.6" customHeight="1">
      <c r="A36" s="160">
        <v>31</v>
      </c>
      <c r="B36" s="161">
        <v>38533.021860085872</v>
      </c>
      <c r="C36" s="162">
        <v>411900.06602406449</v>
      </c>
      <c r="D36" s="290">
        <v>0.6</v>
      </c>
      <c r="E36" s="162"/>
      <c r="F36" s="162"/>
      <c r="G36" s="282"/>
      <c r="H36" s="161">
        <v>27412.305668691261</v>
      </c>
      <c r="I36" s="162">
        <v>294340.92519474198</v>
      </c>
      <c r="J36" s="282">
        <v>2.8</v>
      </c>
    </row>
    <row r="37" spans="1:15" ht="12.6" customHeight="1">
      <c r="A37" s="283" t="s">
        <v>0</v>
      </c>
      <c r="B37" s="170">
        <f>SUM(B6:B36)</f>
        <v>1134262.573204814</v>
      </c>
      <c r="C37" s="171">
        <f>SUM(C6:C36)</f>
        <v>12118789.925745998</v>
      </c>
      <c r="D37" s="291">
        <f>AVERAGE(D6:D36)</f>
        <v>0.78709677419354818</v>
      </c>
      <c r="E37" s="171">
        <f>SUM(E6:E36)</f>
        <v>890500.37327489222</v>
      </c>
      <c r="F37" s="171">
        <f>SUM(F6:F36)</f>
        <v>9526968.7340309974</v>
      </c>
      <c r="G37" s="284">
        <f>AVERAGE(G6:G36)</f>
        <v>3.0892857142857144</v>
      </c>
      <c r="H37" s="170">
        <f>SUM(H6:H36)</f>
        <v>922619.82519439631</v>
      </c>
      <c r="I37" s="171">
        <f>SUM(I6:I36)</f>
        <v>9909454.4420370013</v>
      </c>
      <c r="J37" s="284">
        <f>AVERAGE(J6:J36)</f>
        <v>3.3161290322580643</v>
      </c>
      <c r="M37" s="77"/>
      <c r="N37" s="77"/>
      <c r="O37" s="77"/>
    </row>
    <row r="38" spans="1:15" ht="12.95" customHeight="1">
      <c r="A38" s="155" t="s">
        <v>177</v>
      </c>
      <c r="B38" s="156">
        <f>MAX(B6:B36)</f>
        <v>44045.334403713248</v>
      </c>
      <c r="C38" s="157">
        <f>MAX(C6:C36)</f>
        <v>470537.88702406449</v>
      </c>
      <c r="D38" s="288">
        <f>VLOOKUP(B38,$B$6:$D$36,3,FALSE)</f>
        <v>-3.8</v>
      </c>
      <c r="E38" s="157">
        <f>MAX(E6:E36)</f>
        <v>38704.206423479518</v>
      </c>
      <c r="F38" s="157">
        <f>MAX(F6:F36)</f>
        <v>414203.5415011071</v>
      </c>
      <c r="G38" s="276">
        <f>VLOOKUP(E38,$E$6:$G$36,3,FALSE)</f>
        <v>0.5</v>
      </c>
      <c r="H38" s="156">
        <f>MAX(H6:H36)</f>
        <v>39305.876196734891</v>
      </c>
      <c r="I38" s="157">
        <f>MAX(I6:I36)</f>
        <v>421985.93719474197</v>
      </c>
      <c r="J38" s="276">
        <f>VLOOKUP(H38,$H$6:$J$36,3,FALSE)</f>
        <v>-0.9</v>
      </c>
    </row>
    <row r="39" spans="1:15" ht="12.95" customHeight="1">
      <c r="A39" s="155" t="s">
        <v>178</v>
      </c>
      <c r="B39" s="156">
        <f>MIN(B6:B36)</f>
        <v>22800.470776257749</v>
      </c>
      <c r="C39" s="157">
        <f>MIN(C6:C36)</f>
        <v>243608.02602406451</v>
      </c>
      <c r="D39" s="288">
        <f>VLOOKUP(B39,$B$6:$D$36,3,FALSE)</f>
        <v>8.6</v>
      </c>
      <c r="E39" s="157">
        <f>MIN(E6:E36)</f>
        <v>26410.413035575904</v>
      </c>
      <c r="F39" s="157">
        <f>MIN(F6:F36)</f>
        <v>282567.34450110712</v>
      </c>
      <c r="G39" s="276">
        <f>VLOOKUP(E39,$E$6:$G$36,3,FALSE)</f>
        <v>3.8</v>
      </c>
      <c r="H39" s="156">
        <f>MIN(H6:H36)</f>
        <v>17427.747586285703</v>
      </c>
      <c r="I39" s="157">
        <f>MIN(I6:I36)</f>
        <v>187132.23419474196</v>
      </c>
      <c r="J39" s="276">
        <f>VLOOKUP(H39,$H$6:$J$36,3,FALSE)</f>
        <v>9</v>
      </c>
    </row>
    <row r="40" spans="1:15" ht="12.95" customHeight="1">
      <c r="A40" s="160" t="s">
        <v>179</v>
      </c>
      <c r="B40" s="161">
        <f t="shared" ref="B40:J40" si="0">AVERAGE(B6:B36)</f>
        <v>36589.115264671418</v>
      </c>
      <c r="C40" s="162">
        <f t="shared" si="0"/>
        <v>390928.70728212898</v>
      </c>
      <c r="D40" s="290">
        <f t="shared" si="0"/>
        <v>0.78709677419354818</v>
      </c>
      <c r="E40" s="162">
        <f t="shared" si="0"/>
        <v>31803.584759817579</v>
      </c>
      <c r="F40" s="162">
        <f>AVERAGE(F6:F36)</f>
        <v>340248.88335824991</v>
      </c>
      <c r="G40" s="282">
        <f>AVERAGE(G6:G36)</f>
        <v>3.0892857142857144</v>
      </c>
      <c r="H40" s="161">
        <f>AVERAGE(H6:H36)</f>
        <v>29761.929844980525</v>
      </c>
      <c r="I40" s="162">
        <f t="shared" si="0"/>
        <v>319659.82071087102</v>
      </c>
      <c r="J40" s="282">
        <f t="shared" si="0"/>
        <v>3.3161290322580643</v>
      </c>
    </row>
    <row r="41" spans="1:15" ht="15" customHeight="1">
      <c r="A41" s="43"/>
      <c r="B41" s="466" t="str">
        <f>B3</f>
        <v>Leden</v>
      </c>
      <c r="C41" s="467"/>
      <c r="D41" s="468"/>
      <c r="E41" s="466" t="str">
        <f>E3</f>
        <v>Únor</v>
      </c>
      <c r="F41" s="467"/>
      <c r="G41" s="468"/>
      <c r="H41" s="466" t="str">
        <f>H3</f>
        <v>Březen</v>
      </c>
      <c r="I41" s="467"/>
      <c r="J41" s="467"/>
    </row>
    <row r="42" spans="1:15" ht="15" customHeight="1">
      <c r="A42" s="43"/>
      <c r="B42" s="318" t="s">
        <v>275</v>
      </c>
      <c r="C42" s="79"/>
      <c r="D42" s="316"/>
      <c r="E42" s="318" t="s">
        <v>275</v>
      </c>
      <c r="F42" s="79"/>
      <c r="G42" s="79"/>
      <c r="H42" s="318" t="s">
        <v>275</v>
      </c>
      <c r="I42" s="79"/>
      <c r="J42" s="79"/>
    </row>
    <row r="43" spans="1:15" ht="21" customHeight="1">
      <c r="A43" s="43"/>
      <c r="B43" s="312"/>
      <c r="C43" s="79"/>
      <c r="D43" s="316"/>
      <c r="E43" s="79"/>
      <c r="F43" s="79"/>
      <c r="G43" s="79"/>
      <c r="H43" s="312"/>
      <c r="I43" s="79"/>
      <c r="J43" s="79"/>
    </row>
    <row r="44" spans="1:15" ht="21" customHeight="1">
      <c r="B44" s="312"/>
      <c r="C44" s="79"/>
      <c r="D44" s="316"/>
      <c r="E44" s="79"/>
      <c r="F44" s="79"/>
      <c r="G44" s="79"/>
      <c r="H44" s="312"/>
      <c r="I44" s="79"/>
      <c r="J44" s="79"/>
    </row>
    <row r="45" spans="1:15" ht="21" customHeight="1">
      <c r="B45" s="313" t="s">
        <v>273</v>
      </c>
      <c r="C45" s="81">
        <f>B38</f>
        <v>44045.334403713248</v>
      </c>
      <c r="D45" s="316"/>
      <c r="E45" s="80" t="s">
        <v>273</v>
      </c>
      <c r="F45" s="81">
        <f>E38</f>
        <v>38704.206423479518</v>
      </c>
      <c r="G45" s="79"/>
      <c r="H45" s="313" t="s">
        <v>273</v>
      </c>
      <c r="I45" s="81">
        <f>H38</f>
        <v>39305.876196734891</v>
      </c>
      <c r="J45" s="79"/>
    </row>
    <row r="46" spans="1:15" ht="21" customHeight="1">
      <c r="B46" s="314" t="s">
        <v>274</v>
      </c>
      <c r="C46" s="81">
        <f t="shared" ref="C46:C47" si="1">B39</f>
        <v>22800.470776257749</v>
      </c>
      <c r="D46" s="316"/>
      <c r="E46" s="82" t="s">
        <v>274</v>
      </c>
      <c r="F46" s="81">
        <f t="shared" ref="F46:F47" si="2">E39</f>
        <v>26410.413035575904</v>
      </c>
      <c r="G46" s="79"/>
      <c r="H46" s="314" t="s">
        <v>274</v>
      </c>
      <c r="I46" s="81">
        <f t="shared" ref="I46:I47" si="3">H39</f>
        <v>17427.747586285703</v>
      </c>
      <c r="J46" s="79"/>
    </row>
    <row r="47" spans="1:15" ht="21" customHeight="1">
      <c r="B47" s="314" t="s">
        <v>62</v>
      </c>
      <c r="C47" s="81">
        <f t="shared" si="1"/>
        <v>36589.115264671418</v>
      </c>
      <c r="D47" s="316"/>
      <c r="E47" s="82" t="s">
        <v>62</v>
      </c>
      <c r="F47" s="81">
        <f t="shared" si="2"/>
        <v>31803.584759817579</v>
      </c>
      <c r="G47" s="79"/>
      <c r="H47" s="314" t="s">
        <v>62</v>
      </c>
      <c r="I47" s="81">
        <f t="shared" si="3"/>
        <v>29761.929844980525</v>
      </c>
      <c r="J47" s="79"/>
    </row>
    <row r="48" spans="1:15" ht="21" customHeight="1">
      <c r="B48" s="312"/>
      <c r="C48" s="79"/>
      <c r="D48" s="316"/>
      <c r="E48" s="79"/>
      <c r="F48" s="79"/>
      <c r="G48" s="79"/>
      <c r="H48" s="312"/>
      <c r="I48" s="79"/>
      <c r="J48" s="79"/>
    </row>
    <row r="49" spans="1:10" ht="21" customHeight="1">
      <c r="B49" s="312"/>
      <c r="C49" s="79"/>
      <c r="D49" s="316"/>
      <c r="E49" s="79"/>
      <c r="F49" s="79"/>
      <c r="G49" s="79"/>
      <c r="H49" s="312"/>
      <c r="I49" s="79"/>
      <c r="J49" s="79"/>
    </row>
    <row r="50" spans="1:10" ht="21" customHeight="1">
      <c r="B50" s="312"/>
      <c r="C50" s="79"/>
      <c r="D50" s="316"/>
      <c r="E50" s="79"/>
      <c r="F50" s="79"/>
      <c r="G50" s="79"/>
      <c r="H50" s="312"/>
      <c r="I50" s="79"/>
      <c r="J50" s="79"/>
    </row>
    <row r="51" spans="1:10" ht="21" customHeight="1">
      <c r="A51" s="299"/>
      <c r="B51" s="315"/>
      <c r="C51" s="299"/>
      <c r="D51" s="317"/>
      <c r="E51" s="299"/>
      <c r="F51" s="299"/>
      <c r="G51" s="299"/>
      <c r="H51" s="315"/>
      <c r="I51" s="299"/>
      <c r="J51" s="299"/>
    </row>
    <row r="52" spans="1:10" ht="12.75" customHeight="1">
      <c r="A52" s="133" t="s">
        <v>180</v>
      </c>
      <c r="B52" s="302">
        <v>1142.4717691058711</v>
      </c>
      <c r="C52" s="303">
        <v>12206.499352940717</v>
      </c>
      <c r="D52" s="308" t="s">
        <v>212</v>
      </c>
      <c r="E52" s="41">
        <v>1190.7969216845752</v>
      </c>
      <c r="F52" s="41">
        <v>12739.674661503223</v>
      </c>
      <c r="G52" s="294" t="s">
        <v>212</v>
      </c>
      <c r="H52" s="302">
        <v>1131.7627297595573</v>
      </c>
      <c r="I52" s="303">
        <v>12155.766550306595</v>
      </c>
      <c r="J52" s="304" t="s">
        <v>212</v>
      </c>
    </row>
    <row r="53" spans="1:10" ht="12.95" customHeight="1">
      <c r="A53" s="296" t="s">
        <v>181</v>
      </c>
      <c r="B53" s="305">
        <v>1156.2736376320686</v>
      </c>
      <c r="C53" s="297">
        <v>12353.962514648645</v>
      </c>
      <c r="D53" s="309" t="s">
        <v>212</v>
      </c>
      <c r="E53" s="297">
        <v>970.99566458892093</v>
      </c>
      <c r="F53" s="297">
        <v>10388.143132830199</v>
      </c>
      <c r="G53" s="298" t="s">
        <v>212</v>
      </c>
      <c r="H53" s="305">
        <v>1273.6945419511369</v>
      </c>
      <c r="I53" s="297">
        <v>13680.193826180348</v>
      </c>
      <c r="J53" s="298" t="s">
        <v>212</v>
      </c>
    </row>
    <row r="54" spans="1:10" ht="12.95" customHeight="1">
      <c r="A54" s="295" t="s">
        <v>182</v>
      </c>
      <c r="B54" s="306">
        <v>38846.530202542184</v>
      </c>
      <c r="C54" s="83">
        <v>415047.58244698617</v>
      </c>
      <c r="D54" s="310">
        <v>0</v>
      </c>
      <c r="E54" s="83">
        <v>36079.500759580049</v>
      </c>
      <c r="F54" s="83">
        <v>385994.53295216069</v>
      </c>
      <c r="G54" s="271">
        <v>0</v>
      </c>
      <c r="H54" s="306">
        <v>35159.815050654601</v>
      </c>
      <c r="I54" s="83">
        <v>377636.13562227262</v>
      </c>
      <c r="J54" s="271">
        <v>0</v>
      </c>
    </row>
    <row r="55" spans="1:10" ht="12.95" customHeight="1">
      <c r="A55" s="296" t="s">
        <v>183</v>
      </c>
      <c r="B55" s="307">
        <v>52721.813854127009</v>
      </c>
      <c r="C55" s="300">
        <v>563295.13262276992</v>
      </c>
      <c r="D55" s="311">
        <v>-12</v>
      </c>
      <c r="E55" s="300">
        <v>47731.4487346471</v>
      </c>
      <c r="F55" s="300">
        <v>510652.25054612308</v>
      </c>
      <c r="G55" s="301">
        <v>-12</v>
      </c>
      <c r="H55" s="307">
        <v>50444.149554068244</v>
      </c>
      <c r="I55" s="300">
        <v>541798.46153643681</v>
      </c>
      <c r="J55" s="301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2" width="9.140625" style="85"/>
    <col min="13" max="13" width="9.140625" style="84"/>
    <col min="14" max="14" width="11.140625" style="84" customWidth="1"/>
    <col min="15" max="16384" width="9.140625" style="84"/>
  </cols>
  <sheetData>
    <row r="1" spans="1:21" ht="20.25">
      <c r="A1" s="55" t="s">
        <v>295</v>
      </c>
    </row>
    <row r="2" spans="1:21" s="86" customFormat="1" ht="18">
      <c r="A2" s="469" t="s">
        <v>304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85"/>
      <c r="M2" s="84"/>
      <c r="N2" s="84"/>
      <c r="O2" s="84"/>
      <c r="P2" s="84"/>
      <c r="Q2" s="84"/>
      <c r="R2" s="84"/>
      <c r="S2" s="84"/>
      <c r="T2" s="84"/>
      <c r="U2" s="84"/>
    </row>
    <row r="3" spans="1:21" ht="6" customHeight="1">
      <c r="A3" s="484"/>
      <c r="B3" s="484"/>
      <c r="C3" s="484"/>
      <c r="D3" s="335"/>
      <c r="E3" s="335"/>
      <c r="F3" s="336"/>
      <c r="G3" s="337"/>
      <c r="H3" s="337"/>
      <c r="I3" s="337"/>
      <c r="J3" s="299"/>
      <c r="K3" s="299"/>
    </row>
    <row r="4" spans="1:21" ht="15" customHeight="1">
      <c r="A4" s="494" t="s">
        <v>2</v>
      </c>
      <c r="B4" s="494"/>
      <c r="C4" s="494"/>
      <c r="D4" s="496">
        <f>'3.1'!A4</f>
        <v>2022</v>
      </c>
      <c r="E4" s="497"/>
      <c r="F4" s="497"/>
      <c r="G4" s="497"/>
      <c r="H4" s="338"/>
      <c r="I4" s="488">
        <f>D4-1</f>
        <v>2021</v>
      </c>
      <c r="J4" s="489"/>
      <c r="K4" s="489"/>
    </row>
    <row r="5" spans="1:21" ht="50.1" customHeight="1">
      <c r="A5" s="343"/>
      <c r="B5" s="343"/>
      <c r="C5" s="343"/>
      <c r="D5" s="490"/>
      <c r="E5" s="491"/>
      <c r="F5" s="491"/>
      <c r="G5" s="491"/>
      <c r="H5" s="175"/>
      <c r="I5" s="490"/>
      <c r="J5" s="491"/>
      <c r="K5" s="491"/>
    </row>
    <row r="6" spans="1:21" ht="24.95" customHeight="1">
      <c r="A6" s="494" t="s">
        <v>159</v>
      </c>
      <c r="B6" s="494"/>
      <c r="C6" s="494" t="s">
        <v>185</v>
      </c>
      <c r="D6" s="492" t="s">
        <v>160</v>
      </c>
      <c r="E6" s="486" t="s">
        <v>60</v>
      </c>
      <c r="F6" s="486"/>
      <c r="G6" s="487" t="s">
        <v>33</v>
      </c>
      <c r="H6" s="487" t="s">
        <v>276</v>
      </c>
      <c r="I6" s="485" t="s">
        <v>60</v>
      </c>
      <c r="J6" s="486"/>
      <c r="K6" s="487" t="s">
        <v>33</v>
      </c>
    </row>
    <row r="7" spans="1:21" ht="22.5" customHeight="1">
      <c r="A7" s="495"/>
      <c r="B7" s="495"/>
      <c r="C7" s="495"/>
      <c r="D7" s="493"/>
      <c r="E7" s="222" t="s">
        <v>267</v>
      </c>
      <c r="F7" s="222" t="s">
        <v>268</v>
      </c>
      <c r="G7" s="474"/>
      <c r="H7" s="474"/>
      <c r="I7" s="224" t="s">
        <v>267</v>
      </c>
      <c r="J7" s="222" t="s">
        <v>268</v>
      </c>
      <c r="K7" s="474"/>
    </row>
    <row r="8" spans="1:21" ht="12.95" customHeight="1">
      <c r="A8" s="479" t="str">
        <f>'3.1'!D5</f>
        <v>Leden</v>
      </c>
      <c r="B8" s="479"/>
      <c r="C8" s="165" t="s">
        <v>4</v>
      </c>
      <c r="D8" s="332">
        <v>1589</v>
      </c>
      <c r="E8" s="328">
        <v>417876.18249654229</v>
      </c>
      <c r="F8" s="328">
        <v>4464977.2652500002</v>
      </c>
      <c r="G8" s="329">
        <f t="shared" ref="G8:G13" si="0">E8/$E$14</f>
        <v>0.3684121265953802</v>
      </c>
      <c r="H8" s="329">
        <f>(E8-I8)/I8</f>
        <v>-0.16221511964095187</v>
      </c>
      <c r="I8" s="332">
        <v>498786.97060927353</v>
      </c>
      <c r="J8" s="328">
        <v>5327482.0396019993</v>
      </c>
      <c r="K8" s="329">
        <f>I8/$I$14</f>
        <v>0.39178649418161221</v>
      </c>
      <c r="M8" s="89"/>
      <c r="N8" s="89"/>
      <c r="O8" s="89"/>
      <c r="P8" s="89"/>
      <c r="Q8" s="89"/>
      <c r="R8" s="89"/>
      <c r="S8" s="89"/>
      <c r="T8" s="90"/>
      <c r="U8" s="90"/>
    </row>
    <row r="9" spans="1:21" ht="12.95" customHeight="1">
      <c r="A9" s="480"/>
      <c r="B9" s="480"/>
      <c r="C9" s="155" t="s">
        <v>5</v>
      </c>
      <c r="D9" s="333">
        <v>6422</v>
      </c>
      <c r="E9" s="130">
        <v>113892.26187318173</v>
      </c>
      <c r="F9" s="130">
        <v>1216853.3480500001</v>
      </c>
      <c r="G9" s="327">
        <f t="shared" si="0"/>
        <v>0.10041082061384059</v>
      </c>
      <c r="H9" s="327">
        <f t="shared" ref="H9:H12" si="1">(E9-I9)/I9</f>
        <v>-7.3552305087125902E-2</v>
      </c>
      <c r="I9" s="333">
        <v>122934.36801512308</v>
      </c>
      <c r="J9" s="130">
        <v>1313021.0279600001</v>
      </c>
      <c r="K9" s="327">
        <f t="shared" ref="K9:K13" si="2">I9/$I$14</f>
        <v>9.6562315972777577E-2</v>
      </c>
      <c r="L9" s="91"/>
      <c r="M9" s="89"/>
      <c r="N9" s="89"/>
      <c r="O9" s="89"/>
      <c r="P9" s="89"/>
      <c r="Q9" s="89"/>
      <c r="R9" s="89"/>
      <c r="S9" s="89"/>
    </row>
    <row r="10" spans="1:21" ht="12.95" customHeight="1">
      <c r="A10" s="480"/>
      <c r="B10" s="480"/>
      <c r="C10" s="155" t="s">
        <v>6</v>
      </c>
      <c r="D10" s="333">
        <v>206565</v>
      </c>
      <c r="E10" s="130">
        <v>194259.71169325581</v>
      </c>
      <c r="F10" s="130">
        <v>2075412.2010419997</v>
      </c>
      <c r="G10" s="327">
        <f t="shared" si="0"/>
        <v>0.17126516536345071</v>
      </c>
      <c r="H10" s="327">
        <f t="shared" si="1"/>
        <v>-7.1412011855938984E-2</v>
      </c>
      <c r="I10" s="333">
        <v>209199.03571175464</v>
      </c>
      <c r="J10" s="130">
        <v>2234520.63166</v>
      </c>
      <c r="K10" s="327">
        <f t="shared" si="2"/>
        <v>0.16432136687044085</v>
      </c>
      <c r="L10" s="91"/>
      <c r="M10" s="89"/>
      <c r="N10" s="89"/>
      <c r="O10" s="89"/>
      <c r="P10" s="89"/>
      <c r="Q10" s="89"/>
      <c r="R10" s="89"/>
      <c r="S10" s="89"/>
    </row>
    <row r="11" spans="1:21" ht="12.95" customHeight="1">
      <c r="A11" s="480"/>
      <c r="B11" s="480"/>
      <c r="C11" s="155" t="s">
        <v>7</v>
      </c>
      <c r="D11" s="333">
        <v>2603081</v>
      </c>
      <c r="E11" s="130">
        <v>376532.21797080105</v>
      </c>
      <c r="F11" s="130">
        <v>4022596.12665</v>
      </c>
      <c r="G11" s="327">
        <f t="shared" si="0"/>
        <v>0.33196205231305775</v>
      </c>
      <c r="H11" s="327">
        <f t="shared" si="1"/>
        <v>-8.7680629458046958E-2</v>
      </c>
      <c r="I11" s="333">
        <v>412719.74500237382</v>
      </c>
      <c r="J11" s="130">
        <v>4408825.7420600001</v>
      </c>
      <c r="K11" s="327">
        <f t="shared" si="2"/>
        <v>0.32418252982128454</v>
      </c>
      <c r="L11" s="91"/>
      <c r="M11" s="89"/>
      <c r="N11" s="89"/>
      <c r="O11" s="89"/>
      <c r="P11" s="89"/>
      <c r="Q11" s="89"/>
      <c r="R11" s="89"/>
      <c r="S11" s="89"/>
    </row>
    <row r="12" spans="1:21" ht="12.95" customHeight="1">
      <c r="A12" s="480"/>
      <c r="B12" s="480"/>
      <c r="C12" s="155" t="s">
        <v>93</v>
      </c>
      <c r="D12" s="333">
        <v>269</v>
      </c>
      <c r="E12" s="130">
        <v>8191.1284262710924</v>
      </c>
      <c r="F12" s="130">
        <v>87494.825248000008</v>
      </c>
      <c r="G12" s="327">
        <f t="shared" si="0"/>
        <v>7.221543531649768E-3</v>
      </c>
      <c r="H12" s="327">
        <f t="shared" si="1"/>
        <v>-2.9254241967884625E-3</v>
      </c>
      <c r="I12" s="333">
        <v>8215.1612577951655</v>
      </c>
      <c r="J12" s="130">
        <v>87746.998729999992</v>
      </c>
      <c r="K12" s="327">
        <f t="shared" si="2"/>
        <v>6.4528334098154783E-3</v>
      </c>
      <c r="L12" s="91"/>
      <c r="M12" s="89"/>
      <c r="N12" s="89"/>
      <c r="O12" s="89"/>
      <c r="P12" s="89"/>
      <c r="Q12" s="89"/>
      <c r="R12" s="89"/>
      <c r="S12" s="89"/>
    </row>
    <row r="13" spans="1:21" ht="12.95" customHeight="1">
      <c r="A13" s="480"/>
      <c r="B13" s="480"/>
      <c r="C13" s="155" t="s">
        <v>94</v>
      </c>
      <c r="D13" s="333"/>
      <c r="E13" s="130">
        <v>23511.330737856249</v>
      </c>
      <c r="F13" s="130">
        <v>251455.84312599999</v>
      </c>
      <c r="G13" s="327">
        <f t="shared" si="0"/>
        <v>2.072829158262118E-2</v>
      </c>
      <c r="H13" s="327">
        <f>(E13-I13)/I13</f>
        <v>0.10621413137289375</v>
      </c>
      <c r="I13" s="333">
        <v>21253.869455344007</v>
      </c>
      <c r="J13" s="130">
        <v>227181.89687966666</v>
      </c>
      <c r="K13" s="327">
        <f t="shared" si="2"/>
        <v>1.6694459744069471E-2</v>
      </c>
      <c r="L13" s="91"/>
      <c r="M13" s="89"/>
      <c r="N13" s="89"/>
      <c r="O13" s="89"/>
      <c r="P13" s="89"/>
      <c r="Q13" s="89"/>
      <c r="R13" s="89"/>
      <c r="S13" s="89"/>
    </row>
    <row r="14" spans="1:21" ht="12.95" customHeight="1">
      <c r="A14" s="481"/>
      <c r="B14" s="481"/>
      <c r="C14" s="339" t="s">
        <v>0</v>
      </c>
      <c r="D14" s="342">
        <v>2817926</v>
      </c>
      <c r="E14" s="340">
        <v>1134262.833197908</v>
      </c>
      <c r="F14" s="340">
        <v>12118789.609366</v>
      </c>
      <c r="G14" s="341">
        <f>SUM(G8:G13)</f>
        <v>1.0000000000000002</v>
      </c>
      <c r="H14" s="341">
        <f>(E14-I14)/I14</f>
        <v>-0.10906081135943572</v>
      </c>
      <c r="I14" s="342">
        <v>1273109.1500516641</v>
      </c>
      <c r="J14" s="340">
        <v>13598778.336891666</v>
      </c>
      <c r="K14" s="341">
        <f>SUM(K8:K13)</f>
        <v>1.0000000000000002</v>
      </c>
      <c r="L14" s="91"/>
      <c r="M14" s="89"/>
      <c r="N14" s="89"/>
      <c r="O14" s="89"/>
      <c r="P14" s="89"/>
      <c r="Q14" s="89"/>
      <c r="R14" s="89"/>
      <c r="S14" s="89"/>
    </row>
    <row r="15" spans="1:21" ht="12.95" customHeight="1">
      <c r="A15" s="479" t="str">
        <f>'3.1'!E5</f>
        <v>Únor</v>
      </c>
      <c r="B15" s="479"/>
      <c r="C15" s="165" t="s">
        <v>4</v>
      </c>
      <c r="D15" s="332">
        <v>1604</v>
      </c>
      <c r="E15" s="328">
        <v>333164.96980097913</v>
      </c>
      <c r="F15" s="328">
        <v>3563736.9240569999</v>
      </c>
      <c r="G15" s="329">
        <f>E15/$E$21</f>
        <v>0.37413230781918655</v>
      </c>
      <c r="H15" s="329">
        <f>(E15-I15)/I15</f>
        <v>-0.27146687051898649</v>
      </c>
      <c r="I15" s="332">
        <v>457309.29221889534</v>
      </c>
      <c r="J15" s="328">
        <v>4885821.9201579997</v>
      </c>
      <c r="K15" s="329">
        <f>I15/$I$21</f>
        <v>0.39247051115414111</v>
      </c>
      <c r="L15" s="91"/>
      <c r="M15" s="89"/>
      <c r="N15" s="89"/>
      <c r="O15" s="89"/>
      <c r="P15" s="89"/>
      <c r="Q15" s="89"/>
      <c r="R15" s="89"/>
      <c r="S15" s="89"/>
    </row>
    <row r="16" spans="1:21" ht="12.95" customHeight="1">
      <c r="A16" s="480"/>
      <c r="B16" s="480"/>
      <c r="C16" s="155" t="s">
        <v>5</v>
      </c>
      <c r="D16" s="333">
        <v>6404</v>
      </c>
      <c r="E16" s="130">
        <v>88552.413955088457</v>
      </c>
      <c r="F16" s="130">
        <v>947621.99068999977</v>
      </c>
      <c r="G16" s="327">
        <f t="shared" ref="G16:G20" si="3">E16/$E$21</f>
        <v>9.9441183794827095E-2</v>
      </c>
      <c r="H16" s="327">
        <f t="shared" ref="H16:H18" si="4">(E16-I16)/I16</f>
        <v>-0.2130287109370676</v>
      </c>
      <c r="I16" s="333">
        <v>112523.05539701476</v>
      </c>
      <c r="J16" s="130">
        <v>1202336.4278299997</v>
      </c>
      <c r="K16" s="327">
        <f t="shared" ref="K16:K20" si="5">I16/$I$21</f>
        <v>9.6569174997549745E-2</v>
      </c>
      <c r="L16" s="92"/>
      <c r="M16" s="89"/>
      <c r="N16" s="89"/>
      <c r="O16" s="89"/>
      <c r="P16" s="89"/>
      <c r="Q16" s="89"/>
      <c r="R16" s="89"/>
      <c r="S16" s="89"/>
    </row>
    <row r="17" spans="1:20" ht="12.95" customHeight="1">
      <c r="A17" s="480"/>
      <c r="B17" s="480"/>
      <c r="C17" s="155" t="s">
        <v>6</v>
      </c>
      <c r="D17" s="333">
        <v>206570</v>
      </c>
      <c r="E17" s="130">
        <v>149382.57536260661</v>
      </c>
      <c r="F17" s="130">
        <v>1598366.4674999998</v>
      </c>
      <c r="G17" s="327">
        <f t="shared" si="3"/>
        <v>0.16775127259559003</v>
      </c>
      <c r="H17" s="327">
        <f t="shared" si="4"/>
        <v>-0.22181751996056118</v>
      </c>
      <c r="I17" s="333">
        <v>191963.42656678136</v>
      </c>
      <c r="J17" s="130">
        <v>2051256.84782</v>
      </c>
      <c r="K17" s="327">
        <f>I17/$I$21</f>
        <v>0.16474623505245314</v>
      </c>
      <c r="L17" s="91"/>
      <c r="M17" s="89"/>
      <c r="N17" s="89"/>
      <c r="O17" s="89"/>
      <c r="P17" s="89"/>
      <c r="Q17" s="89"/>
      <c r="R17" s="89"/>
      <c r="S17" s="89"/>
    </row>
    <row r="18" spans="1:20" ht="12.95" customHeight="1">
      <c r="A18" s="480"/>
      <c r="B18" s="480"/>
      <c r="C18" s="155" t="s">
        <v>7</v>
      </c>
      <c r="D18" s="333">
        <v>2601500</v>
      </c>
      <c r="E18" s="130">
        <v>289387.12808337092</v>
      </c>
      <c r="F18" s="130">
        <v>3095985.2085000002</v>
      </c>
      <c r="G18" s="327">
        <f t="shared" si="3"/>
        <v>0.32497136222837048</v>
      </c>
      <c r="H18" s="327">
        <f t="shared" si="4"/>
        <v>-0.22636564127031253</v>
      </c>
      <c r="I18" s="333">
        <v>374061.88701151591</v>
      </c>
      <c r="J18" s="130">
        <v>3997287.99627</v>
      </c>
      <c r="K18" s="327">
        <f>I18/$I$21</f>
        <v>0.32102619058180232</v>
      </c>
      <c r="L18" s="91"/>
      <c r="M18" s="89"/>
      <c r="N18" s="89"/>
      <c r="O18" s="89"/>
      <c r="P18" s="89"/>
      <c r="Q18" s="89"/>
      <c r="R18" s="89"/>
      <c r="S18" s="89"/>
    </row>
    <row r="19" spans="1:20" ht="12.95" customHeight="1">
      <c r="A19" s="480"/>
      <c r="B19" s="480"/>
      <c r="C19" s="155" t="s">
        <v>93</v>
      </c>
      <c r="D19" s="333">
        <v>267</v>
      </c>
      <c r="E19" s="130">
        <v>7908.8505263358829</v>
      </c>
      <c r="F19" s="130">
        <v>84598.460690000007</v>
      </c>
      <c r="G19" s="327">
        <f t="shared" si="3"/>
        <v>8.8813553879407165E-3</v>
      </c>
      <c r="H19" s="327">
        <f>(E19-I19)/I19</f>
        <v>5.383874940459376E-2</v>
      </c>
      <c r="I19" s="333">
        <v>7504.8014042037157</v>
      </c>
      <c r="J19" s="130">
        <v>80189.325110000005</v>
      </c>
      <c r="K19" s="327">
        <f>I19/$I$21</f>
        <v>6.4407465436068572E-3</v>
      </c>
      <c r="L19" s="91"/>
      <c r="M19" s="89"/>
      <c r="N19" s="89"/>
      <c r="O19" s="89"/>
      <c r="P19" s="89"/>
      <c r="Q19" s="89"/>
      <c r="R19" s="89"/>
      <c r="S19" s="89"/>
    </row>
    <row r="20" spans="1:20" ht="12.95" customHeight="1">
      <c r="A20" s="480"/>
      <c r="B20" s="480"/>
      <c r="C20" s="155" t="s">
        <v>94</v>
      </c>
      <c r="D20" s="333"/>
      <c r="E20" s="130">
        <v>22104.462365356801</v>
      </c>
      <c r="F20" s="130">
        <v>236659.74078100003</v>
      </c>
      <c r="G20" s="327">
        <f t="shared" si="3"/>
        <v>2.4822518174085033E-2</v>
      </c>
      <c r="H20" s="327">
        <f t="shared" ref="H20" si="6">(E20-I20)/I20</f>
        <v>1.1910028181447724E-2</v>
      </c>
      <c r="I20" s="333">
        <v>21844.296182222639</v>
      </c>
      <c r="J20" s="130">
        <v>233608.69581124719</v>
      </c>
      <c r="K20" s="327">
        <f t="shared" si="5"/>
        <v>1.8747141670446769E-2</v>
      </c>
      <c r="L20" s="91"/>
      <c r="M20" s="89"/>
      <c r="N20" s="89"/>
      <c r="O20" s="89"/>
      <c r="P20" s="89"/>
      <c r="Q20" s="89"/>
      <c r="R20" s="89"/>
      <c r="S20" s="89"/>
    </row>
    <row r="21" spans="1:20" ht="12.95" customHeight="1">
      <c r="A21" s="481"/>
      <c r="B21" s="481"/>
      <c r="C21" s="339" t="s">
        <v>0</v>
      </c>
      <c r="D21" s="342">
        <v>2816345</v>
      </c>
      <c r="E21" s="340">
        <v>890500.40009373787</v>
      </c>
      <c r="F21" s="340">
        <v>9526968.7922179978</v>
      </c>
      <c r="G21" s="341">
        <f>SUM(G15:G20)</f>
        <v>0.99999999999999989</v>
      </c>
      <c r="H21" s="341">
        <f>(E21-I21)/I21</f>
        <v>-0.23575760835301951</v>
      </c>
      <c r="I21" s="342">
        <v>1165206.7587806338</v>
      </c>
      <c r="J21" s="340">
        <v>12450501.212999245</v>
      </c>
      <c r="K21" s="341">
        <f>SUM(K15:K20)</f>
        <v>0.99999999999999989</v>
      </c>
      <c r="L21" s="91"/>
      <c r="M21" s="89"/>
      <c r="N21" s="89"/>
      <c r="O21" s="89"/>
      <c r="P21" s="89"/>
      <c r="Q21" s="89"/>
      <c r="R21" s="89"/>
      <c r="S21" s="89"/>
    </row>
    <row r="22" spans="1:20" ht="12.95" customHeight="1">
      <c r="A22" s="479" t="str">
        <f>'3.1'!F5</f>
        <v>Březen</v>
      </c>
      <c r="B22" s="479"/>
      <c r="C22" s="165" t="s">
        <v>4</v>
      </c>
      <c r="D22" s="332">
        <v>1590</v>
      </c>
      <c r="E22" s="328">
        <v>379517.75505349191</v>
      </c>
      <c r="F22" s="328">
        <v>4077079.40429</v>
      </c>
      <c r="G22" s="329">
        <f>E22/$E$28</f>
        <v>0.41134807812480173</v>
      </c>
      <c r="H22" s="329">
        <f>(E22-I22)/I22</f>
        <v>-0.20220575003817595</v>
      </c>
      <c r="I22" s="332">
        <v>475708.81223028689</v>
      </c>
      <c r="J22" s="328">
        <v>5075262.9597360007</v>
      </c>
      <c r="K22" s="329">
        <f>I22/$I$28</f>
        <v>0.43596045222116414</v>
      </c>
      <c r="L22" s="93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80"/>
      <c r="B23" s="480"/>
      <c r="C23" s="155" t="s">
        <v>5</v>
      </c>
      <c r="D23" s="333">
        <v>6333</v>
      </c>
      <c r="E23" s="130">
        <v>89034.741068460629</v>
      </c>
      <c r="F23" s="130">
        <v>956475.39709999971</v>
      </c>
      <c r="G23" s="327">
        <f t="shared" ref="G23:G27" si="7">E23/$E$28</f>
        <v>9.6502124438653872E-2</v>
      </c>
      <c r="H23" s="327">
        <f t="shared" ref="H23:H26" si="8">(E23-I23)/I23</f>
        <v>-0.10676198396192398</v>
      </c>
      <c r="I23" s="333">
        <v>99676.390245201284</v>
      </c>
      <c r="J23" s="130">
        <v>1063482.94408</v>
      </c>
      <c r="K23" s="327">
        <f t="shared" ref="K23:K27" si="9">I23/$I$28</f>
        <v>9.1347822554178323E-2</v>
      </c>
      <c r="L23" s="93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80"/>
      <c r="B24" s="480"/>
      <c r="C24" s="155" t="s">
        <v>6</v>
      </c>
      <c r="D24" s="333">
        <v>206703</v>
      </c>
      <c r="E24" s="130">
        <v>148294.08307661922</v>
      </c>
      <c r="F24" s="130">
        <v>1592635.7480540948</v>
      </c>
      <c r="G24" s="327">
        <f t="shared" si="7"/>
        <v>0.16073157384230724</v>
      </c>
      <c r="H24" s="327">
        <f t="shared" si="8"/>
        <v>-9.02384903944147E-2</v>
      </c>
      <c r="I24" s="333">
        <v>163003.25031437096</v>
      </c>
      <c r="J24" s="130">
        <v>1739201.0826305212</v>
      </c>
      <c r="K24" s="327">
        <f t="shared" si="9"/>
        <v>0.14938333891147629</v>
      </c>
      <c r="L24" s="93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80"/>
      <c r="B25" s="480"/>
      <c r="C25" s="155" t="s">
        <v>7</v>
      </c>
      <c r="D25" s="333">
        <v>2598845</v>
      </c>
      <c r="E25" s="130">
        <v>278024.40668042068</v>
      </c>
      <c r="F25" s="130">
        <v>2985295.1682687374</v>
      </c>
      <c r="G25" s="327">
        <f t="shared" si="7"/>
        <v>0.30134243744053546</v>
      </c>
      <c r="H25" s="327">
        <f t="shared" si="8"/>
        <v>-0.14221660408378592</v>
      </c>
      <c r="I25" s="333">
        <v>324119.59476489719</v>
      </c>
      <c r="J25" s="130">
        <v>3458530.0357005526</v>
      </c>
      <c r="K25" s="327">
        <f t="shared" si="9"/>
        <v>0.2970374344022898</v>
      </c>
      <c r="L25" s="93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80"/>
      <c r="B26" s="480"/>
      <c r="C26" s="155" t="s">
        <v>93</v>
      </c>
      <c r="D26" s="333">
        <v>266</v>
      </c>
      <c r="E26" s="130">
        <v>8454.2786574713155</v>
      </c>
      <c r="F26" s="130">
        <v>90752.821179999984</v>
      </c>
      <c r="G26" s="327">
        <f t="shared" si="7"/>
        <v>9.1633427721772593E-3</v>
      </c>
      <c r="H26" s="327">
        <f t="shared" si="8"/>
        <v>7.087752818533935E-2</v>
      </c>
      <c r="I26" s="333">
        <v>7894.7203904797161</v>
      </c>
      <c r="J26" s="130">
        <v>84228.665459000011</v>
      </c>
      <c r="K26" s="327">
        <f t="shared" si="9"/>
        <v>7.2350685610739563E-3</v>
      </c>
      <c r="L26" s="93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80"/>
      <c r="B27" s="480"/>
      <c r="C27" s="155" t="s">
        <v>94</v>
      </c>
      <c r="D27" s="333"/>
      <c r="E27" s="130">
        <v>19294.2278982315</v>
      </c>
      <c r="F27" s="130">
        <v>207215.45435699989</v>
      </c>
      <c r="G27" s="327">
        <f t="shared" si="7"/>
        <v>2.0912443381524572E-2</v>
      </c>
      <c r="H27" s="327">
        <f t="shared" ref="H27" si="10">(E27-I27)/I27</f>
        <v>-7.1118599122900181E-2</v>
      </c>
      <c r="I27" s="333">
        <v>20771.465420680026</v>
      </c>
      <c r="J27" s="130">
        <v>221716.8947440724</v>
      </c>
      <c r="K27" s="327">
        <f t="shared" si="9"/>
        <v>1.9035883349817415E-2</v>
      </c>
      <c r="L27" s="93"/>
      <c r="M27" s="89"/>
      <c r="N27" s="89"/>
      <c r="O27" s="89"/>
      <c r="P27" s="89"/>
      <c r="Q27" s="89"/>
      <c r="R27" s="89"/>
      <c r="S27" s="89"/>
      <c r="T27" s="88"/>
    </row>
    <row r="28" spans="1:20" ht="12.95" customHeight="1">
      <c r="A28" s="481"/>
      <c r="B28" s="481"/>
      <c r="C28" s="339" t="s">
        <v>0</v>
      </c>
      <c r="D28" s="342">
        <v>2813737</v>
      </c>
      <c r="E28" s="340">
        <v>922619.49243469513</v>
      </c>
      <c r="F28" s="340">
        <v>9909453.9932498317</v>
      </c>
      <c r="G28" s="341">
        <f>SUM(G22:G27)</f>
        <v>1.0000000000000002</v>
      </c>
      <c r="H28" s="341">
        <f>(E28-I28)/I28</f>
        <v>-0.15447096877579736</v>
      </c>
      <c r="I28" s="342">
        <v>1091174.2333659162</v>
      </c>
      <c r="J28" s="340">
        <v>11642422.582350146</v>
      </c>
      <c r="K28" s="341">
        <f>SUM(K22:K27)</f>
        <v>0.99999999999999989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82" t="str">
        <f>'3.1'!G5</f>
        <v>I. čtvrtletí</v>
      </c>
      <c r="B29" s="479"/>
      <c r="C29" s="165" t="s">
        <v>4</v>
      </c>
      <c r="D29" s="332">
        <f>D22</f>
        <v>1590</v>
      </c>
      <c r="E29" s="328">
        <f>E8+E15+E22</f>
        <v>1130558.9073510133</v>
      </c>
      <c r="F29" s="328">
        <f>F8+F15+F22</f>
        <v>12105793.593597</v>
      </c>
      <c r="G29" s="329">
        <f>E29/$E$35</f>
        <v>0.38358062476341703</v>
      </c>
      <c r="H29" s="329">
        <f>(E29-I29)/I29</f>
        <v>-0.21039607482543926</v>
      </c>
      <c r="I29" s="332">
        <f>I8+I15+I22</f>
        <v>1431805.0750584558</v>
      </c>
      <c r="J29" s="328">
        <f>J8+J15+J22</f>
        <v>15288566.919496</v>
      </c>
      <c r="K29" s="329">
        <f>I29/$I$35</f>
        <v>0.4056690959240668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80"/>
      <c r="B30" s="480"/>
      <c r="C30" s="155" t="s">
        <v>5</v>
      </c>
      <c r="D30" s="333">
        <f t="shared" ref="D30:D33" si="11">D23</f>
        <v>6333</v>
      </c>
      <c r="E30" s="130">
        <f>E9+E16+E23</f>
        <v>291479.41689673084</v>
      </c>
      <c r="F30" s="130">
        <f t="shared" ref="F30" si="12">F9+F16+F23</f>
        <v>3120950.7358399997</v>
      </c>
      <c r="G30" s="327">
        <f t="shared" ref="G30:G34" si="13">E30/$E$35</f>
        <v>9.8894322190512182E-2</v>
      </c>
      <c r="H30" s="327">
        <f t="shared" ref="H30:H32" si="14">(E30-I30)/I30</f>
        <v>-0.13025960073740328</v>
      </c>
      <c r="I30" s="333">
        <f>I9+I16+I23</f>
        <v>335133.81365733914</v>
      </c>
      <c r="J30" s="130">
        <f t="shared" ref="J30" si="15">J9+J16+J23</f>
        <v>3578840.3998699998</v>
      </c>
      <c r="K30" s="327">
        <f t="shared" ref="K30:K34" si="16">I30/$I$35</f>
        <v>9.4952471930864563E-2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80"/>
      <c r="B31" s="480"/>
      <c r="C31" s="155" t="s">
        <v>6</v>
      </c>
      <c r="D31" s="333">
        <f t="shared" si="11"/>
        <v>206703</v>
      </c>
      <c r="E31" s="130">
        <f t="shared" ref="E31:F31" si="17">E10+E17+E24</f>
        <v>491936.37013248168</v>
      </c>
      <c r="F31" s="130">
        <f t="shared" si="17"/>
        <v>5266414.4165960941</v>
      </c>
      <c r="G31" s="327">
        <f t="shared" si="13"/>
        <v>0.16690617266586943</v>
      </c>
      <c r="H31" s="327">
        <f t="shared" si="14"/>
        <v>-0.12802859310336159</v>
      </c>
      <c r="I31" s="333">
        <f t="shared" ref="I31:J31" si="18">I10+I17+I24</f>
        <v>564165.71259290702</v>
      </c>
      <c r="J31" s="130">
        <f t="shared" si="18"/>
        <v>6024978.5621105209</v>
      </c>
      <c r="K31" s="327">
        <f t="shared" si="16"/>
        <v>0.15984340226589694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80"/>
      <c r="B32" s="480"/>
      <c r="C32" s="155" t="s">
        <v>7</v>
      </c>
      <c r="D32" s="333">
        <f t="shared" si="11"/>
        <v>2598845</v>
      </c>
      <c r="E32" s="130">
        <f>E11+E18+E25</f>
        <v>943943.75273459265</v>
      </c>
      <c r="F32" s="130">
        <f t="shared" ref="E32:F34" si="19">F11+F18+F25</f>
        <v>10103876.503418736</v>
      </c>
      <c r="G32" s="327">
        <f t="shared" si="13"/>
        <v>0.32026507602672155</v>
      </c>
      <c r="H32" s="327">
        <f t="shared" si="14"/>
        <v>-0.15029011582632842</v>
      </c>
      <c r="I32" s="333">
        <f>I11+I18+I25</f>
        <v>1110901.2267787869</v>
      </c>
      <c r="J32" s="130">
        <f t="shared" ref="J32" si="20">J11+J18+J25</f>
        <v>11864643.774030551</v>
      </c>
      <c r="K32" s="327">
        <f t="shared" si="16"/>
        <v>0.31474835798433548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80"/>
      <c r="B33" s="480"/>
      <c r="C33" s="155" t="s">
        <v>93</v>
      </c>
      <c r="D33" s="333">
        <f t="shared" si="11"/>
        <v>266</v>
      </c>
      <c r="E33" s="130">
        <f>E12+E19+E26</f>
        <v>24554.25761007829</v>
      </c>
      <c r="F33" s="130">
        <f t="shared" si="19"/>
        <v>262846.10711799999</v>
      </c>
      <c r="G33" s="327">
        <f t="shared" si="13"/>
        <v>8.3308683991921116E-3</v>
      </c>
      <c r="H33" s="327">
        <f>(E33-I33)/I33</f>
        <v>3.9787726793185728E-2</v>
      </c>
      <c r="I33" s="333">
        <f>I12+I19+I26</f>
        <v>23614.683052478598</v>
      </c>
      <c r="J33" s="130">
        <f t="shared" ref="J33" si="21">J12+J19+J26</f>
        <v>252164.98929900001</v>
      </c>
      <c r="K33" s="327">
        <f t="shared" si="16"/>
        <v>6.6906782852695686E-3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80"/>
      <c r="B34" s="480"/>
      <c r="C34" s="155" t="s">
        <v>94</v>
      </c>
      <c r="D34" s="333"/>
      <c r="E34" s="130">
        <f t="shared" si="19"/>
        <v>64910.021001444547</v>
      </c>
      <c r="F34" s="130">
        <f t="shared" si="19"/>
        <v>695331.03826399986</v>
      </c>
      <c r="G34" s="327">
        <f t="shared" si="13"/>
        <v>2.20229359542875E-2</v>
      </c>
      <c r="H34" s="327">
        <f t="shared" ref="H34" si="22">(E34-I34)/I34</f>
        <v>1.6289274354020857E-2</v>
      </c>
      <c r="I34" s="333">
        <f t="shared" ref="I34:J34" si="23">I13+I20+I27</f>
        <v>63869.631058246676</v>
      </c>
      <c r="J34" s="130">
        <f t="shared" si="23"/>
        <v>682507.48743498628</v>
      </c>
      <c r="K34" s="327">
        <f t="shared" si="16"/>
        <v>1.8095993609566451E-2</v>
      </c>
      <c r="M34" s="89"/>
      <c r="N34" s="89"/>
      <c r="O34" s="89"/>
      <c r="P34" s="89"/>
      <c r="Q34" s="89"/>
      <c r="R34" s="89"/>
      <c r="S34" s="89"/>
    </row>
    <row r="35" spans="1:20" ht="12.95" customHeight="1">
      <c r="A35" s="481"/>
      <c r="B35" s="481"/>
      <c r="C35" s="339" t="s">
        <v>0</v>
      </c>
      <c r="D35" s="342">
        <f>SUM(D29:D34)</f>
        <v>2813737</v>
      </c>
      <c r="E35" s="340">
        <f>SUM(E29:E34)</f>
        <v>2947382.7257263418</v>
      </c>
      <c r="F35" s="340">
        <f>SUM(F29:F34)</f>
        <v>31555212.394833829</v>
      </c>
      <c r="G35" s="341">
        <f>SUM(G29:G34)</f>
        <v>0.99999999999999989</v>
      </c>
      <c r="H35" s="341">
        <f>(E35-I35)/I35</f>
        <v>-0.16492677214543189</v>
      </c>
      <c r="I35" s="342">
        <f>SUM(I29:I34)</f>
        <v>3529490.1421982148</v>
      </c>
      <c r="J35" s="340">
        <f>SUM(J29:J34)</f>
        <v>37691702.132241055</v>
      </c>
      <c r="K35" s="341">
        <f>SUM(K29:K34)</f>
        <v>0.99999999999999989</v>
      </c>
      <c r="M35" s="89"/>
      <c r="N35" s="89"/>
      <c r="O35" s="89"/>
      <c r="P35" s="89"/>
      <c r="Q35" s="89"/>
      <c r="R35" s="89"/>
      <c r="S35" s="89"/>
    </row>
    <row r="36" spans="1:20" ht="20.100000000000001" customHeight="1">
      <c r="A36" s="127"/>
      <c r="B36" s="323"/>
      <c r="C36" s="102"/>
      <c r="D36" s="88"/>
      <c r="E36" s="88"/>
      <c r="F36" s="88"/>
      <c r="G36" s="483" t="s">
        <v>278</v>
      </c>
      <c r="H36" s="483"/>
      <c r="I36" s="483"/>
      <c r="J36" s="483"/>
      <c r="K36" s="483"/>
    </row>
    <row r="37" spans="1:20" ht="15" customHeight="1">
      <c r="A37" s="475" t="s">
        <v>277</v>
      </c>
      <c r="B37" s="475"/>
      <c r="C37" s="475"/>
      <c r="D37" s="475"/>
      <c r="E37" s="475"/>
      <c r="F37" s="120"/>
      <c r="G37" s="483"/>
      <c r="H37" s="483"/>
      <c r="I37" s="483"/>
      <c r="J37" s="483"/>
      <c r="K37" s="483"/>
      <c r="M37" s="94"/>
      <c r="N37" s="94"/>
      <c r="O37" s="94"/>
      <c r="P37" s="94"/>
      <c r="Q37" s="94"/>
      <c r="R37" s="94"/>
      <c r="S37" s="94"/>
    </row>
    <row r="38" spans="1:20" ht="15" customHeight="1">
      <c r="A38" s="476" t="str">
        <f>A29</f>
        <v>I. čtvrtletí</v>
      </c>
      <c r="B38" s="477"/>
      <c r="C38" s="477"/>
      <c r="D38" s="477"/>
      <c r="E38" s="477"/>
      <c r="F38" s="126"/>
      <c r="G38" s="478" t="str">
        <f>A29</f>
        <v>I. čtvrtletí</v>
      </c>
      <c r="H38" s="478"/>
      <c r="I38" s="478"/>
      <c r="J38" s="478"/>
      <c r="K38" s="478"/>
      <c r="M38" s="94"/>
      <c r="N38" s="94"/>
      <c r="O38" s="94"/>
      <c r="P38" s="94"/>
      <c r="Q38" s="94"/>
      <c r="R38" s="94"/>
      <c r="S38" s="94"/>
    </row>
    <row r="39" spans="1:20" ht="15" customHeight="1">
      <c r="A39" s="127"/>
      <c r="B39" s="127"/>
      <c r="C39" s="127"/>
      <c r="D39" s="76"/>
      <c r="E39" s="76"/>
      <c r="F39" s="76"/>
      <c r="G39" s="127"/>
      <c r="H39" s="127"/>
      <c r="I39" s="127"/>
      <c r="J39" s="127"/>
      <c r="K39" s="127"/>
      <c r="M39" s="94"/>
      <c r="N39" s="94"/>
      <c r="O39" s="94"/>
      <c r="P39" s="94"/>
      <c r="Q39" s="94"/>
      <c r="R39" s="94"/>
      <c r="S39" s="94"/>
      <c r="T39" s="94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/>
      <c r="D41" s="76"/>
      <c r="E41" s="76"/>
      <c r="F41" s="76"/>
      <c r="G41" s="95"/>
      <c r="H41" s="95"/>
      <c r="I41" s="95"/>
      <c r="J41" s="95"/>
      <c r="K41" s="95"/>
    </row>
    <row r="42" spans="1:20" ht="15" customHeight="1">
      <c r="A42" s="95"/>
      <c r="B42" s="95"/>
      <c r="C42" s="95">
        <f>D4</f>
        <v>2022</v>
      </c>
      <c r="D42" s="95">
        <f>I4</f>
        <v>2021</v>
      </c>
      <c r="E42" s="76"/>
      <c r="F42" s="76"/>
      <c r="G42" s="76"/>
      <c r="H42" s="95"/>
      <c r="I42" s="95">
        <f>D4</f>
        <v>2022</v>
      </c>
      <c r="J42" s="95">
        <f>I4</f>
        <v>2021</v>
      </c>
      <c r="K42" s="95"/>
    </row>
    <row r="43" spans="1:20" ht="15" customHeight="1">
      <c r="A43" s="95"/>
      <c r="B43" s="95" t="str">
        <f>A8</f>
        <v>Leden</v>
      </c>
      <c r="C43" s="78">
        <f>E14</f>
        <v>1134262.833197908</v>
      </c>
      <c r="D43" s="78">
        <f>I14</f>
        <v>1273109.1500516641</v>
      </c>
      <c r="E43" s="76"/>
      <c r="F43" s="76"/>
      <c r="G43" s="76"/>
      <c r="H43" s="95" t="str">
        <f>A8</f>
        <v>Leden</v>
      </c>
      <c r="I43" s="96">
        <f>E14/E35</f>
        <v>0.38483730779089254</v>
      </c>
      <c r="J43" s="96">
        <f>I14/I35</f>
        <v>0.3607062489934465</v>
      </c>
      <c r="K43" s="95"/>
    </row>
    <row r="44" spans="1:20" ht="15" customHeight="1">
      <c r="A44" s="95"/>
      <c r="B44" s="95" t="str">
        <f>A15</f>
        <v>Únor</v>
      </c>
      <c r="C44" s="78">
        <f>E21</f>
        <v>890500.40009373787</v>
      </c>
      <c r="D44" s="78">
        <f>I21</f>
        <v>1165206.7587806338</v>
      </c>
      <c r="E44" s="76"/>
      <c r="F44" s="76"/>
      <c r="G44" s="76"/>
      <c r="H44" s="95" t="str">
        <f>A15</f>
        <v>Únor</v>
      </c>
      <c r="I44" s="96">
        <f>E21/E35</f>
        <v>0.302132597955797</v>
      </c>
      <c r="J44" s="96">
        <f>I21/I35</f>
        <v>0.33013458370361876</v>
      </c>
      <c r="K44" s="95"/>
    </row>
    <row r="45" spans="1:20" ht="15" customHeight="1">
      <c r="A45" s="95"/>
      <c r="B45" s="95" t="str">
        <f>A22</f>
        <v>Březen</v>
      </c>
      <c r="C45" s="78">
        <f>E28</f>
        <v>922619.49243469513</v>
      </c>
      <c r="D45" s="78">
        <f>I28</f>
        <v>1091174.2333659162</v>
      </c>
      <c r="E45" s="76"/>
      <c r="F45" s="76"/>
      <c r="G45" s="76"/>
      <c r="H45" s="95" t="str">
        <f>A22</f>
        <v>Březen</v>
      </c>
      <c r="I45" s="96">
        <f>E28/E35</f>
        <v>0.31303009425331019</v>
      </c>
      <c r="J45" s="96">
        <f>I28/I35</f>
        <v>0.30915916730293458</v>
      </c>
      <c r="K45" s="95"/>
    </row>
    <row r="46" spans="1:20" ht="15" customHeight="1">
      <c r="A46" s="95"/>
      <c r="B46" s="95"/>
      <c r="C46" s="78">
        <f>SUM(C43:C45)</f>
        <v>2947382.7257263409</v>
      </c>
      <c r="D46" s="78">
        <f>SUM(D43:D45)</f>
        <v>3529490.1421982138</v>
      </c>
      <c r="E46" s="95"/>
      <c r="F46" s="95"/>
      <c r="G46" s="95"/>
      <c r="H46" s="95"/>
      <c r="I46" s="97">
        <f>SUM(I43:I45)</f>
        <v>0.99999999999999978</v>
      </c>
      <c r="J46" s="97">
        <f>SUM(J43:J45)</f>
        <v>0.99999999999999978</v>
      </c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  <mergeCell ref="A37:E37"/>
    <mergeCell ref="A38:E38"/>
    <mergeCell ref="G38:K38"/>
    <mergeCell ref="A8:B14"/>
    <mergeCell ref="A15:B21"/>
    <mergeCell ref="A22:B28"/>
    <mergeCell ref="A29:B35"/>
    <mergeCell ref="G36:K3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topLeftCell="A22" zoomScaleNormal="100" zoomScaleSheetLayoutView="100" workbookViewId="0">
      <selection activeCell="O47" sqref="O47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9" t="s">
        <v>305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</row>
    <row r="2" spans="1:21" ht="6" customHeight="1">
      <c r="A2" s="484"/>
      <c r="B2" s="484"/>
      <c r="C2" s="484"/>
      <c r="D2" s="335"/>
      <c r="E2" s="335"/>
      <c r="F2" s="336"/>
      <c r="G2" s="337"/>
      <c r="H2" s="337"/>
      <c r="I2" s="337"/>
      <c r="J2" s="299"/>
      <c r="K2" s="299"/>
    </row>
    <row r="3" spans="1:21" ht="15" customHeight="1">
      <c r="A3" s="494" t="s">
        <v>261</v>
      </c>
      <c r="B3" s="494"/>
      <c r="C3" s="494"/>
      <c r="D3" s="370">
        <f>'3.1'!A4</f>
        <v>2022</v>
      </c>
      <c r="E3" s="497"/>
      <c r="F3" s="497"/>
      <c r="G3" s="497"/>
      <c r="H3" s="369"/>
      <c r="I3" s="496">
        <f>D3-1</f>
        <v>2021</v>
      </c>
      <c r="J3" s="497"/>
      <c r="K3" s="497"/>
    </row>
    <row r="4" spans="1:21" ht="50.1" customHeight="1">
      <c r="A4" s="495"/>
      <c r="B4" s="495"/>
      <c r="C4" s="495"/>
      <c r="D4" s="372"/>
      <c r="E4" s="491"/>
      <c r="F4" s="491"/>
      <c r="G4" s="491"/>
      <c r="H4" s="175"/>
      <c r="I4" s="490"/>
      <c r="J4" s="491"/>
      <c r="K4" s="491"/>
    </row>
    <row r="5" spans="1:21" ht="24.95" customHeight="1">
      <c r="A5" s="494" t="s">
        <v>159</v>
      </c>
      <c r="B5" s="494"/>
      <c r="C5" s="498" t="s">
        <v>185</v>
      </c>
      <c r="D5" s="492" t="s">
        <v>160</v>
      </c>
      <c r="E5" s="486" t="s">
        <v>60</v>
      </c>
      <c r="F5" s="486"/>
      <c r="G5" s="487" t="s">
        <v>33</v>
      </c>
      <c r="H5" s="487" t="s">
        <v>276</v>
      </c>
      <c r="I5" s="485" t="s">
        <v>60</v>
      </c>
      <c r="J5" s="486"/>
      <c r="K5" s="487" t="s">
        <v>33</v>
      </c>
    </row>
    <row r="6" spans="1:21" ht="22.5" customHeight="1">
      <c r="A6" s="495"/>
      <c r="B6" s="495"/>
      <c r="C6" s="499"/>
      <c r="D6" s="493"/>
      <c r="E6" s="222" t="s">
        <v>267</v>
      </c>
      <c r="F6" s="222" t="s">
        <v>268</v>
      </c>
      <c r="G6" s="474"/>
      <c r="H6" s="474"/>
      <c r="I6" s="224" t="s">
        <v>267</v>
      </c>
      <c r="J6" s="222" t="s">
        <v>268</v>
      </c>
      <c r="K6" s="474"/>
    </row>
    <row r="7" spans="1:21" ht="12.95" customHeight="1">
      <c r="A7" s="429" t="str">
        <f>'3.1'!D5</f>
        <v>Leden</v>
      </c>
      <c r="B7" s="429"/>
      <c r="C7" s="165" t="s">
        <v>4</v>
      </c>
      <c r="D7" s="332">
        <v>145</v>
      </c>
      <c r="E7" s="328">
        <v>24326.108946542274</v>
      </c>
      <c r="F7" s="328">
        <v>260139.90506000002</v>
      </c>
      <c r="G7" s="329">
        <f t="shared" ref="G7:G12" si="0">E7/$E$13</f>
        <v>0.186568499993361</v>
      </c>
      <c r="H7" s="329">
        <f>(E7-I7)/I7</f>
        <v>-7.9462605723416568E-2</v>
      </c>
      <c r="I7" s="332">
        <v>26425.986709273522</v>
      </c>
      <c r="J7" s="328">
        <v>281955.83989999996</v>
      </c>
      <c r="K7" s="329">
        <f>I7/$I$13</f>
        <v>0.18710381820919958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30"/>
      <c r="B8" s="430"/>
      <c r="C8" s="155" t="s">
        <v>5</v>
      </c>
      <c r="D8" s="333">
        <v>1552</v>
      </c>
      <c r="E8" s="130">
        <v>24956.067783181727</v>
      </c>
      <c r="F8" s="130">
        <v>266876.64655</v>
      </c>
      <c r="G8" s="327">
        <f t="shared" si="0"/>
        <v>0.1913999539454774</v>
      </c>
      <c r="H8" s="327">
        <f t="shared" ref="H8:H11" si="1">(E8-I8)/I8</f>
        <v>-6.3772587822490401E-2</v>
      </c>
      <c r="I8" s="333">
        <v>26655.989195123067</v>
      </c>
      <c r="J8" s="130">
        <v>284409.90773000004</v>
      </c>
      <c r="K8" s="327">
        <f t="shared" ref="K8:K12" si="2">I8/$I$13</f>
        <v>0.18873230397866209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30"/>
      <c r="B9" s="430"/>
      <c r="C9" s="155" t="s">
        <v>6</v>
      </c>
      <c r="D9" s="333">
        <v>38295</v>
      </c>
      <c r="E9" s="130">
        <v>32358.272993255832</v>
      </c>
      <c r="F9" s="130">
        <v>346034.77838000003</v>
      </c>
      <c r="G9" s="327">
        <f t="shared" si="0"/>
        <v>0.24817098649003344</v>
      </c>
      <c r="H9" s="327">
        <f t="shared" si="1"/>
        <v>-9.3625515879170437E-2</v>
      </c>
      <c r="I9" s="333">
        <v>35700.776621754638</v>
      </c>
      <c r="J9" s="130">
        <v>380914.56709999999</v>
      </c>
      <c r="K9" s="327">
        <f t="shared" si="2"/>
        <v>0.25277207971272969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30"/>
      <c r="B10" s="430"/>
      <c r="C10" s="155" t="s">
        <v>7</v>
      </c>
      <c r="D10" s="333">
        <v>373898</v>
      </c>
      <c r="E10" s="130">
        <v>45170.71131080106</v>
      </c>
      <c r="F10" s="130">
        <v>483049.17512000003</v>
      </c>
      <c r="G10" s="327">
        <f t="shared" si="0"/>
        <v>0.34643567006170051</v>
      </c>
      <c r="H10" s="327">
        <f t="shared" si="1"/>
        <v>-7.6396008922866021E-2</v>
      </c>
      <c r="I10" s="333">
        <v>48907.011822373846</v>
      </c>
      <c r="J10" s="130">
        <v>521820.39158</v>
      </c>
      <c r="K10" s="327">
        <f t="shared" si="2"/>
        <v>0.34627613908385912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30"/>
      <c r="B11" s="430"/>
      <c r="C11" s="155" t="s">
        <v>93</v>
      </c>
      <c r="D11" s="333">
        <v>39</v>
      </c>
      <c r="E11" s="130">
        <v>1129.1804262710934</v>
      </c>
      <c r="F11" s="130">
        <v>12075.2952</v>
      </c>
      <c r="G11" s="327">
        <f t="shared" si="0"/>
        <v>8.6602217730019065E-3</v>
      </c>
      <c r="H11" s="327">
        <f t="shared" si="1"/>
        <v>-2.2777021574460706E-2</v>
      </c>
      <c r="I11" s="333">
        <v>1155.4992577951673</v>
      </c>
      <c r="J11" s="130">
        <v>12328.765399999998</v>
      </c>
      <c r="K11" s="327">
        <f t="shared" si="2"/>
        <v>8.181277219650715E-3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30"/>
      <c r="B12" s="430"/>
      <c r="C12" s="155" t="s">
        <v>94</v>
      </c>
      <c r="D12" s="333"/>
      <c r="E12" s="130">
        <v>2446.66892706004</v>
      </c>
      <c r="F12" s="130">
        <v>26164.33022</v>
      </c>
      <c r="G12" s="327">
        <f t="shared" si="0"/>
        <v>1.8764667736425669E-2</v>
      </c>
      <c r="H12" s="327">
        <f>(E12-I12)/I12</f>
        <v>2.2956808945333352E-2</v>
      </c>
      <c r="I12" s="333">
        <v>2391.7617104309138</v>
      </c>
      <c r="J12" s="130">
        <v>25518.786520000001</v>
      </c>
      <c r="K12" s="327">
        <f t="shared" si="2"/>
        <v>1.693438179589898E-2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1"/>
      <c r="B13" s="431"/>
      <c r="C13" s="339" t="s">
        <v>0</v>
      </c>
      <c r="D13" s="342">
        <v>413929</v>
      </c>
      <c r="E13" s="340">
        <v>130387.01038711204</v>
      </c>
      <c r="F13" s="340">
        <v>1394340.13053</v>
      </c>
      <c r="G13" s="341">
        <f>SUM(G7:G12)</f>
        <v>0.99999999999999989</v>
      </c>
      <c r="H13" s="341">
        <f>(E13-I13)/I13</f>
        <v>-7.6821321500547379E-2</v>
      </c>
      <c r="I13" s="342">
        <v>141237.02531675113</v>
      </c>
      <c r="J13" s="340">
        <v>1506948.25823</v>
      </c>
      <c r="K13" s="341">
        <f>SUM(K7:K12)</f>
        <v>1.0000000000000002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29" t="str">
        <f>'3.1'!E5</f>
        <v>Únor</v>
      </c>
      <c r="B14" s="429"/>
      <c r="C14" s="165" t="s">
        <v>4</v>
      </c>
      <c r="D14" s="332">
        <v>153</v>
      </c>
      <c r="E14" s="328">
        <v>19646.57750097914</v>
      </c>
      <c r="F14" s="328">
        <v>210699.64882000003</v>
      </c>
      <c r="G14" s="329">
        <f>E14/$E$20</f>
        <v>0.19095403372193434</v>
      </c>
      <c r="H14" s="329">
        <f>(E14-I14)/I14</f>
        <v>-0.24164682300995169</v>
      </c>
      <c r="I14" s="332">
        <v>25906.896808895359</v>
      </c>
      <c r="J14" s="328">
        <v>276620.01243</v>
      </c>
      <c r="K14" s="329">
        <f>I14/$I$20</f>
        <v>0.19824358544609905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30"/>
      <c r="B15" s="430"/>
      <c r="C15" s="155" t="s">
        <v>5</v>
      </c>
      <c r="D15" s="333">
        <v>1543</v>
      </c>
      <c r="E15" s="130">
        <v>19663.843255088446</v>
      </c>
      <c r="F15" s="130">
        <v>210884.91539000001</v>
      </c>
      <c r="G15" s="327">
        <f t="shared" ref="G15:G19" si="3">E15/$E$20</f>
        <v>0.1911218474488931</v>
      </c>
      <c r="H15" s="327">
        <f t="shared" ref="H15:H17" si="4">(E15-I15)/I15</f>
        <v>-0.20115938820632462</v>
      </c>
      <c r="I15" s="333">
        <v>24615.477687014773</v>
      </c>
      <c r="J15" s="130">
        <v>262830.86343999999</v>
      </c>
      <c r="K15" s="327">
        <f t="shared" ref="K15:K19" si="5">I15/$I$20</f>
        <v>0.18836144638005101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30"/>
      <c r="B16" s="430"/>
      <c r="C16" s="155" t="s">
        <v>6</v>
      </c>
      <c r="D16" s="333">
        <v>38367</v>
      </c>
      <c r="E16" s="130">
        <v>25211.324652606621</v>
      </c>
      <c r="F16" s="130">
        <v>270378.88764999999</v>
      </c>
      <c r="G16" s="327">
        <f t="shared" si="3"/>
        <v>0.24504034545704212</v>
      </c>
      <c r="H16" s="327">
        <f t="shared" si="4"/>
        <v>-0.2294068930907476</v>
      </c>
      <c r="I16" s="333">
        <v>32716.779356781335</v>
      </c>
      <c r="J16" s="130">
        <v>349332.21596</v>
      </c>
      <c r="K16" s="327">
        <f>I16/$I$20</f>
        <v>0.25035386105024598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30"/>
      <c r="B17" s="430"/>
      <c r="C17" s="155" t="s">
        <v>7</v>
      </c>
      <c r="D17" s="333">
        <v>373748</v>
      </c>
      <c r="E17" s="130">
        <v>35190.008793370907</v>
      </c>
      <c r="F17" s="130">
        <v>377395.30012999999</v>
      </c>
      <c r="G17" s="327">
        <f t="shared" si="3"/>
        <v>0.34202772088266375</v>
      </c>
      <c r="H17" s="327">
        <f t="shared" si="4"/>
        <v>-0.20064234556547988</v>
      </c>
      <c r="I17" s="333">
        <v>44022.858351515941</v>
      </c>
      <c r="J17" s="130">
        <v>470052.46124999999</v>
      </c>
      <c r="K17" s="327">
        <f>I17/$I$20</f>
        <v>0.33686972799434972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30"/>
      <c r="B18" s="430"/>
      <c r="C18" s="155" t="s">
        <v>93</v>
      </c>
      <c r="D18" s="333">
        <v>40</v>
      </c>
      <c r="E18" s="130">
        <v>1060.2325263358823</v>
      </c>
      <c r="F18" s="130">
        <v>11370.465260000001</v>
      </c>
      <c r="G18" s="327">
        <f t="shared" si="3"/>
        <v>1.0304882750033374E-2</v>
      </c>
      <c r="H18" s="327">
        <f>(E18-I18)/I18</f>
        <v>-6.92459732882513E-2</v>
      </c>
      <c r="I18" s="333">
        <v>1139.1114042037152</v>
      </c>
      <c r="J18" s="130">
        <v>12162.820390000001</v>
      </c>
      <c r="K18" s="327">
        <f>I18/$I$20</f>
        <v>8.7166568291709608E-3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30"/>
      <c r="B19" s="430"/>
      <c r="C19" s="155" t="s">
        <v>94</v>
      </c>
      <c r="D19" s="333"/>
      <c r="E19" s="130">
        <v>2114.4363444529536</v>
      </c>
      <c r="F19" s="130">
        <v>22676.27563</v>
      </c>
      <c r="G19" s="327">
        <f t="shared" si="3"/>
        <v>2.0551169739433262E-2</v>
      </c>
      <c r="H19" s="327">
        <f t="shared" ref="H19" si="6">(E19-I19)/I19</f>
        <v>-7.3030553017647326E-2</v>
      </c>
      <c r="I19" s="333">
        <v>2281.0205356134111</v>
      </c>
      <c r="J19" s="130">
        <v>24355.51341</v>
      </c>
      <c r="K19" s="327">
        <f t="shared" si="5"/>
        <v>1.7454722300083346E-2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1"/>
      <c r="B20" s="431"/>
      <c r="C20" s="339" t="s">
        <v>0</v>
      </c>
      <c r="D20" s="342">
        <v>413851</v>
      </c>
      <c r="E20" s="340">
        <v>102886.42307283396</v>
      </c>
      <c r="F20" s="340">
        <v>1103405.49288</v>
      </c>
      <c r="G20" s="341">
        <f>SUM(G14:G19)</f>
        <v>1</v>
      </c>
      <c r="H20" s="341">
        <f>(E20-I20)/I20</f>
        <v>-0.21269716114052242</v>
      </c>
      <c r="I20" s="342">
        <v>130682.14414402453</v>
      </c>
      <c r="J20" s="340">
        <v>1395353.8868799999</v>
      </c>
      <c r="K20" s="341">
        <f>SUM(K14:K19)</f>
        <v>1.0000000000000002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29" t="str">
        <f>'3.1'!F5</f>
        <v>Březen</v>
      </c>
      <c r="B21" s="429"/>
      <c r="C21" s="165" t="s">
        <v>4</v>
      </c>
      <c r="D21" s="332">
        <v>143</v>
      </c>
      <c r="E21" s="328">
        <v>19759.284143491921</v>
      </c>
      <c r="F21" s="328">
        <v>213263.67053</v>
      </c>
      <c r="G21" s="329">
        <f>E21/$E$27</f>
        <v>0.19713445359418094</v>
      </c>
      <c r="H21" s="329">
        <f>(E21-I21)/I21</f>
        <v>-7.8159191152224819E-2</v>
      </c>
      <c r="I21" s="332">
        <v>21434.594730286884</v>
      </c>
      <c r="J21" s="328">
        <v>228530.21466999999</v>
      </c>
      <c r="K21" s="329">
        <f>I21/$I$27</f>
        <v>0.19114229555353474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30"/>
      <c r="B22" s="430"/>
      <c r="C22" s="155" t="s">
        <v>5</v>
      </c>
      <c r="D22" s="333">
        <v>1534</v>
      </c>
      <c r="E22" s="130">
        <v>19157.073608460625</v>
      </c>
      <c r="F22" s="130">
        <v>206765.50153000001</v>
      </c>
      <c r="G22" s="327">
        <f t="shared" ref="G22:G26" si="7">E22/$E$27</f>
        <v>0.19112631868858743</v>
      </c>
      <c r="H22" s="327">
        <f t="shared" ref="H22:H26" si="8">(E22-I22)/I22</f>
        <v>-9.032897592555833E-2</v>
      </c>
      <c r="I22" s="333">
        <v>21059.342445201302</v>
      </c>
      <c r="J22" s="130">
        <v>224529.36969999998</v>
      </c>
      <c r="K22" s="327">
        <f t="shared" ref="K22:K26" si="9">I22/$I$27</f>
        <v>0.18779599560779242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30"/>
      <c r="B23" s="430"/>
      <c r="C23" s="155" t="s">
        <v>6</v>
      </c>
      <c r="D23" s="333">
        <v>38337</v>
      </c>
      <c r="E23" s="130">
        <v>24351.198776619221</v>
      </c>
      <c r="F23" s="130">
        <v>262826.56374409498</v>
      </c>
      <c r="G23" s="327">
        <f t="shared" si="7"/>
        <v>0.2429470739087092</v>
      </c>
      <c r="H23" s="327">
        <f t="shared" si="8"/>
        <v>-0.12638677132584608</v>
      </c>
      <c r="I23" s="333">
        <v>27874.118634370971</v>
      </c>
      <c r="J23" s="130">
        <v>297186.78558952099</v>
      </c>
      <c r="K23" s="327">
        <f t="shared" si="9"/>
        <v>0.24856653878213614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30"/>
      <c r="B24" s="430"/>
      <c r="C24" s="155" t="s">
        <v>7</v>
      </c>
      <c r="D24" s="333">
        <v>373180</v>
      </c>
      <c r="E24" s="130">
        <v>33765.41435042068</v>
      </c>
      <c r="F24" s="130">
        <v>364435.76796873804</v>
      </c>
      <c r="G24" s="327">
        <f t="shared" si="7"/>
        <v>0.33687083297213877</v>
      </c>
      <c r="H24" s="327">
        <f t="shared" si="8"/>
        <v>-0.12209966726786142</v>
      </c>
      <c r="I24" s="333">
        <v>38461.557754897272</v>
      </c>
      <c r="J24" s="130">
        <v>410067.37712055299</v>
      </c>
      <c r="K24" s="327">
        <f t="shared" si="9"/>
        <v>0.34297967992126926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30"/>
      <c r="B25" s="430"/>
      <c r="C25" s="155" t="s">
        <v>93</v>
      </c>
      <c r="D25" s="333">
        <v>39</v>
      </c>
      <c r="E25" s="130">
        <v>1112.1656574713154</v>
      </c>
      <c r="F25" s="130">
        <v>12003.790070000001</v>
      </c>
      <c r="G25" s="327">
        <f t="shared" si="7"/>
        <v>1.1095855882209855E-2</v>
      </c>
      <c r="H25" s="327">
        <f t="shared" si="8"/>
        <v>-0.10832175396461485</v>
      </c>
      <c r="I25" s="333">
        <v>1247.2723904797163</v>
      </c>
      <c r="J25" s="130">
        <v>13298.101990000001</v>
      </c>
      <c r="K25" s="327">
        <f t="shared" si="9"/>
        <v>1.1122510637440302E-2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30"/>
      <c r="B26" s="430"/>
      <c r="C26" s="155" t="s">
        <v>94</v>
      </c>
      <c r="D26" s="333"/>
      <c r="E26" s="130">
        <v>2087.3889467183599</v>
      </c>
      <c r="F26" s="130">
        <v>22532.668259999999</v>
      </c>
      <c r="G26" s="327">
        <f t="shared" si="7"/>
        <v>2.0825464954173985E-2</v>
      </c>
      <c r="H26" s="327">
        <f t="shared" si="8"/>
        <v>1.2028664416736069E-2</v>
      </c>
      <c r="I26" s="333">
        <v>2062.5788775670576</v>
      </c>
      <c r="J26" s="130">
        <v>21990.693040000002</v>
      </c>
      <c r="K26" s="327">
        <f t="shared" si="9"/>
        <v>1.8392979497827144E-2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1"/>
      <c r="B27" s="431"/>
      <c r="C27" s="339" t="s">
        <v>0</v>
      </c>
      <c r="D27" s="342">
        <v>413233</v>
      </c>
      <c r="E27" s="340">
        <v>100232.52548318211</v>
      </c>
      <c r="F27" s="340">
        <v>1081827.962102833</v>
      </c>
      <c r="G27" s="341">
        <f>SUM(G21:G26)</f>
        <v>1</v>
      </c>
      <c r="H27" s="341">
        <f>(E27-I27)/I27</f>
        <v>-0.10617974115869031</v>
      </c>
      <c r="I27" s="342">
        <v>112139.46483280321</v>
      </c>
      <c r="J27" s="340">
        <v>1195602.5421100741</v>
      </c>
      <c r="K27" s="341">
        <f>SUM(K21:K26)</f>
        <v>1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00" t="str">
        <f>'3.1'!G5</f>
        <v>I. čtvrtletí</v>
      </c>
      <c r="B28" s="500"/>
      <c r="C28" s="165" t="s">
        <v>4</v>
      </c>
      <c r="D28" s="332">
        <f>D21</f>
        <v>143</v>
      </c>
      <c r="E28" s="328">
        <f>E7+E14+E21</f>
        <v>63731.970591013334</v>
      </c>
      <c r="F28" s="328">
        <f>F7+F14+F21</f>
        <v>684103.22441000002</v>
      </c>
      <c r="G28" s="329">
        <f>E28/$E$34</f>
        <v>0.19109694709197497</v>
      </c>
      <c r="H28" s="329">
        <f>(E28-I28)/I28</f>
        <v>-0.13604243896804907</v>
      </c>
      <c r="I28" s="332">
        <f>I7+I14+I21</f>
        <v>73767.478248455765</v>
      </c>
      <c r="J28" s="328">
        <f>J7+J14+J21</f>
        <v>787106.06699999992</v>
      </c>
      <c r="K28" s="329">
        <f>I28/$I$34</f>
        <v>0.1920734795720464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501"/>
      <c r="B29" s="501"/>
      <c r="C29" s="155" t="s">
        <v>5</v>
      </c>
      <c r="D29" s="333">
        <f t="shared" ref="D29:D32" si="10">D22</f>
        <v>1534</v>
      </c>
      <c r="E29" s="130">
        <f>E8+E15+E22</f>
        <v>63776.984646730802</v>
      </c>
      <c r="F29" s="130">
        <f t="shared" ref="F29" si="11">F8+F15+F22</f>
        <v>684527.06347000005</v>
      </c>
      <c r="G29" s="327">
        <f t="shared" ref="G29:G33" si="12">E29/$E$34</f>
        <v>0.1912319193601171</v>
      </c>
      <c r="H29" s="327">
        <f t="shared" ref="H29:H31" si="13">(E29-I29)/I29</f>
        <v>-0.11825976731294807</v>
      </c>
      <c r="I29" s="333">
        <f>I8+I15+I22</f>
        <v>72330.809327339142</v>
      </c>
      <c r="J29" s="130">
        <f t="shared" ref="J29" si="14">J8+J15+J22</f>
        <v>771770.14087</v>
      </c>
      <c r="K29" s="327">
        <f t="shared" ref="K29:K33" si="15">I29/$I$34</f>
        <v>0.18833272544537724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501"/>
      <c r="B30" s="501"/>
      <c r="C30" s="155" t="s">
        <v>6</v>
      </c>
      <c r="D30" s="333">
        <f t="shared" si="10"/>
        <v>38337</v>
      </c>
      <c r="E30" s="130">
        <f t="shared" ref="E30:F33" si="16">E9+E16+E23</f>
        <v>81920.796422481668</v>
      </c>
      <c r="F30" s="130">
        <f t="shared" si="16"/>
        <v>879240.22977409489</v>
      </c>
      <c r="G30" s="327">
        <f t="shared" si="12"/>
        <v>0.24563518049898295</v>
      </c>
      <c r="H30" s="327">
        <f t="shared" si="13"/>
        <v>-0.14924320558549092</v>
      </c>
      <c r="I30" s="333">
        <f t="shared" ref="I30:J32" si="17">I9+I16+I23</f>
        <v>96291.674612906936</v>
      </c>
      <c r="J30" s="130">
        <f t="shared" si="17"/>
        <v>1027433.5686495211</v>
      </c>
      <c r="K30" s="327">
        <f t="shared" si="15"/>
        <v>0.25072128580059588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501"/>
      <c r="B31" s="501"/>
      <c r="C31" s="155" t="s">
        <v>7</v>
      </c>
      <c r="D31" s="333">
        <f t="shared" si="10"/>
        <v>373180</v>
      </c>
      <c r="E31" s="130">
        <f>E10+E17+E24</f>
        <v>114126.13445459265</v>
      </c>
      <c r="F31" s="130">
        <f t="shared" si="16"/>
        <v>1224880.2432187381</v>
      </c>
      <c r="G31" s="327">
        <f t="shared" si="12"/>
        <v>0.34220118529892379</v>
      </c>
      <c r="H31" s="327">
        <f t="shared" si="13"/>
        <v>-0.13140349980481258</v>
      </c>
      <c r="I31" s="333">
        <f>I10+I17+I24</f>
        <v>131391.42792878707</v>
      </c>
      <c r="J31" s="130">
        <f t="shared" si="17"/>
        <v>1401940.229950553</v>
      </c>
      <c r="K31" s="327">
        <f t="shared" si="15"/>
        <v>0.34211293848519475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501"/>
      <c r="B32" s="501"/>
      <c r="C32" s="155" t="s">
        <v>93</v>
      </c>
      <c r="D32" s="333">
        <f t="shared" si="10"/>
        <v>39</v>
      </c>
      <c r="E32" s="130">
        <f>E11+E18+E25</f>
        <v>3301.5786100782907</v>
      </c>
      <c r="F32" s="130">
        <f t="shared" si="16"/>
        <v>35449.55053</v>
      </c>
      <c r="G32" s="327">
        <f t="shared" si="12"/>
        <v>9.8996090520868333E-3</v>
      </c>
      <c r="H32" s="327">
        <f>(E32-I32)/I32</f>
        <v>-6.7846520859050824E-2</v>
      </c>
      <c r="I32" s="333">
        <f>I11+I18+I25</f>
        <v>3541.8830524785985</v>
      </c>
      <c r="J32" s="130">
        <f t="shared" si="17"/>
        <v>37789.68778</v>
      </c>
      <c r="K32" s="327">
        <f t="shared" si="15"/>
        <v>9.2222456057872194E-3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501"/>
      <c r="B33" s="501"/>
      <c r="C33" s="155" t="s">
        <v>94</v>
      </c>
      <c r="D33" s="333"/>
      <c r="E33" s="130">
        <f t="shared" si="16"/>
        <v>6648.4942182313534</v>
      </c>
      <c r="F33" s="130">
        <f t="shared" si="16"/>
        <v>71373.274109999998</v>
      </c>
      <c r="G33" s="327">
        <f t="shared" si="12"/>
        <v>1.9935158697914311E-2</v>
      </c>
      <c r="H33" s="327">
        <f t="shared" ref="H33" si="18">(E33-I33)/I33</f>
        <v>-1.2897141487411884E-2</v>
      </c>
      <c r="I33" s="333">
        <f t="shared" ref="I33:J33" si="19">I12+I19+I26</f>
        <v>6735.3611236113829</v>
      </c>
      <c r="J33" s="130">
        <f t="shared" si="19"/>
        <v>71864.992970000007</v>
      </c>
      <c r="K33" s="327">
        <f t="shared" si="15"/>
        <v>1.7537325090998458E-2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502"/>
      <c r="B34" s="502"/>
      <c r="C34" s="339" t="s">
        <v>0</v>
      </c>
      <c r="D34" s="342">
        <f>SUM(D28:D33)</f>
        <v>413233</v>
      </c>
      <c r="E34" s="340">
        <f>SUM(E28:E33)</f>
        <v>333505.95894312812</v>
      </c>
      <c r="F34" s="340">
        <f>SUM(F28:F33)</f>
        <v>3579573.5855128332</v>
      </c>
      <c r="G34" s="341">
        <f>SUM(G28:G33)</f>
        <v>0.99999999999999989</v>
      </c>
      <c r="H34" s="341">
        <f>(E34-I34)/I34</f>
        <v>-0.13162749339937438</v>
      </c>
      <c r="I34" s="342">
        <f>SUM(I28:I33)</f>
        <v>384058.63429357891</v>
      </c>
      <c r="J34" s="340">
        <f>SUM(J28:J33)</f>
        <v>4097904.6872200738</v>
      </c>
      <c r="K34" s="341">
        <f>SUM(K28:K33)</f>
        <v>1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23"/>
      <c r="C35" s="102"/>
      <c r="D35" s="88"/>
      <c r="E35" s="88"/>
      <c r="F35" s="88"/>
      <c r="G35" s="483" t="s">
        <v>278</v>
      </c>
      <c r="H35" s="483"/>
      <c r="I35" s="483"/>
      <c r="J35" s="483"/>
      <c r="K35" s="483"/>
    </row>
    <row r="36" spans="1:20" ht="15" customHeight="1">
      <c r="A36" s="475" t="s">
        <v>277</v>
      </c>
      <c r="B36" s="475"/>
      <c r="C36" s="475"/>
      <c r="D36" s="475"/>
      <c r="E36" s="475"/>
      <c r="F36" s="120"/>
      <c r="G36" s="483"/>
      <c r="H36" s="483"/>
      <c r="I36" s="483"/>
      <c r="J36" s="483"/>
      <c r="K36" s="483"/>
      <c r="M36" s="94"/>
      <c r="N36" s="94"/>
      <c r="O36" s="94"/>
      <c r="P36" s="94"/>
      <c r="Q36" s="94"/>
      <c r="R36" s="94"/>
      <c r="S36" s="94"/>
    </row>
    <row r="37" spans="1:20" ht="15" customHeight="1">
      <c r="A37" s="476" t="str">
        <f>A28</f>
        <v>I. čtvrtletí</v>
      </c>
      <c r="B37" s="477"/>
      <c r="C37" s="477"/>
      <c r="D37" s="477"/>
      <c r="E37" s="477"/>
      <c r="F37" s="126"/>
      <c r="G37" s="478" t="str">
        <f>A28</f>
        <v>I. čtvrtletí</v>
      </c>
      <c r="H37" s="478"/>
      <c r="I37" s="478"/>
      <c r="J37" s="478"/>
      <c r="K37" s="478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Leden</v>
      </c>
      <c r="C42" s="78">
        <f>E13</f>
        <v>130387.01038711204</v>
      </c>
      <c r="D42" s="78">
        <f>I13</f>
        <v>141237.02531675113</v>
      </c>
      <c r="E42" s="76"/>
      <c r="F42" s="76"/>
      <c r="G42" s="76"/>
      <c r="H42" s="95" t="str">
        <f>A7</f>
        <v>Leden</v>
      </c>
      <c r="I42" s="96">
        <f>E13/E34</f>
        <v>0.39095856278042274</v>
      </c>
      <c r="J42" s="96">
        <f>I13/I34</f>
        <v>0.36774860061807096</v>
      </c>
      <c r="K42" s="95"/>
    </row>
    <row r="43" spans="1:20" ht="15" customHeight="1">
      <c r="A43" s="95"/>
      <c r="B43" s="95" t="str">
        <f>A14</f>
        <v>Únor</v>
      </c>
      <c r="C43" s="78">
        <f>E20</f>
        <v>102886.42307283396</v>
      </c>
      <c r="D43" s="78">
        <f>I20</f>
        <v>130682.14414402453</v>
      </c>
      <c r="E43" s="76"/>
      <c r="F43" s="76"/>
      <c r="G43" s="76"/>
      <c r="H43" s="95" t="str">
        <f>A14</f>
        <v>Únor</v>
      </c>
      <c r="I43" s="96">
        <f>E20/E34</f>
        <v>0.30849950447325863</v>
      </c>
      <c r="J43" s="96">
        <f>I20/I34</f>
        <v>0.34026612729172379</v>
      </c>
      <c r="K43" s="95"/>
    </row>
    <row r="44" spans="1:20" ht="15" customHeight="1">
      <c r="A44" s="95"/>
      <c r="B44" s="95" t="str">
        <f>A21</f>
        <v>Březen</v>
      </c>
      <c r="C44" s="78">
        <f>E27</f>
        <v>100232.52548318211</v>
      </c>
      <c r="D44" s="78">
        <f>I27</f>
        <v>112139.46483280321</v>
      </c>
      <c r="E44" s="76"/>
      <c r="F44" s="76"/>
      <c r="G44" s="76"/>
      <c r="H44" s="95" t="str">
        <f>A21</f>
        <v>Březen</v>
      </c>
      <c r="I44" s="96">
        <f>E27/E34</f>
        <v>0.30054193274631863</v>
      </c>
      <c r="J44" s="96">
        <f>I27/I34</f>
        <v>0.29198527209020508</v>
      </c>
      <c r="K44" s="95"/>
    </row>
    <row r="45" spans="1:20" ht="15" customHeight="1">
      <c r="A45" s="95"/>
      <c r="B45" s="95"/>
      <c r="C45" s="78">
        <f>SUM(C42:C44)</f>
        <v>333505.95894312812</v>
      </c>
      <c r="D45" s="78">
        <f>SUM(D42:D44)</f>
        <v>384058.63429357891</v>
      </c>
      <c r="E45" s="95"/>
      <c r="F45" s="95"/>
      <c r="G45" s="95"/>
      <c r="H45" s="95"/>
      <c r="I45" s="97">
        <f>SUM(I42:I44)</f>
        <v>1</v>
      </c>
      <c r="J45" s="97">
        <f>SUM(J42:J44)</f>
        <v>0.99999999999999989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9" t="s">
        <v>306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</row>
    <row r="2" spans="1:21" ht="6" customHeight="1">
      <c r="A2" s="484"/>
      <c r="B2" s="484"/>
      <c r="C2" s="484"/>
      <c r="D2" s="335"/>
      <c r="E2" s="335"/>
      <c r="F2" s="336"/>
      <c r="G2" s="337"/>
      <c r="H2" s="337"/>
      <c r="I2" s="337"/>
      <c r="J2" s="299"/>
      <c r="K2" s="299"/>
    </row>
    <row r="3" spans="1:21" ht="15" customHeight="1">
      <c r="A3" s="494" t="s">
        <v>88</v>
      </c>
      <c r="B3" s="494"/>
      <c r="C3" s="494"/>
      <c r="D3" s="370">
        <f>'3.1'!A4</f>
        <v>2022</v>
      </c>
      <c r="E3" s="497"/>
      <c r="F3" s="497"/>
      <c r="G3" s="497"/>
      <c r="H3" s="369"/>
      <c r="I3" s="496">
        <f>D3-1</f>
        <v>2021</v>
      </c>
      <c r="J3" s="497"/>
      <c r="K3" s="497"/>
    </row>
    <row r="4" spans="1:21" ht="50.1" customHeight="1">
      <c r="A4" s="495"/>
      <c r="B4" s="495"/>
      <c r="C4" s="495"/>
      <c r="D4" s="372"/>
      <c r="E4" s="491"/>
      <c r="F4" s="491"/>
      <c r="G4" s="491"/>
      <c r="H4" s="175"/>
      <c r="I4" s="490"/>
      <c r="J4" s="491"/>
      <c r="K4" s="491"/>
    </row>
    <row r="5" spans="1:21" ht="24.95" customHeight="1">
      <c r="A5" s="494" t="s">
        <v>159</v>
      </c>
      <c r="B5" s="494"/>
      <c r="C5" s="498" t="s">
        <v>185</v>
      </c>
      <c r="D5" s="492" t="s">
        <v>160</v>
      </c>
      <c r="E5" s="486" t="s">
        <v>60</v>
      </c>
      <c r="F5" s="486"/>
      <c r="G5" s="487" t="s">
        <v>33</v>
      </c>
      <c r="H5" s="487" t="s">
        <v>276</v>
      </c>
      <c r="I5" s="485" t="s">
        <v>60</v>
      </c>
      <c r="J5" s="486"/>
      <c r="K5" s="487" t="s">
        <v>33</v>
      </c>
    </row>
    <row r="6" spans="1:21" ht="22.5" customHeight="1">
      <c r="A6" s="495"/>
      <c r="B6" s="495"/>
      <c r="C6" s="499"/>
      <c r="D6" s="493"/>
      <c r="E6" s="222" t="s">
        <v>267</v>
      </c>
      <c r="F6" s="222" t="s">
        <v>268</v>
      </c>
      <c r="G6" s="474"/>
      <c r="H6" s="474"/>
      <c r="I6" s="224" t="s">
        <v>267</v>
      </c>
      <c r="J6" s="222" t="s">
        <v>268</v>
      </c>
      <c r="K6" s="474"/>
    </row>
    <row r="7" spans="1:21" ht="12.95" customHeight="1">
      <c r="A7" s="429" t="str">
        <f>'3.1'!D5</f>
        <v>Leden</v>
      </c>
      <c r="B7" s="429"/>
      <c r="C7" s="165" t="s">
        <v>4</v>
      </c>
      <c r="D7" s="332">
        <v>1253</v>
      </c>
      <c r="E7" s="328">
        <v>334269.16399999999</v>
      </c>
      <c r="F7" s="328">
        <v>3570695.4639800009</v>
      </c>
      <c r="G7" s="329">
        <f t="shared" ref="G7:G12" si="0">E7/$E$13</f>
        <v>0.36716486427006662</v>
      </c>
      <c r="H7" s="329">
        <f>(E7-I7)/I7</f>
        <v>-0.13974269767641848</v>
      </c>
      <c r="I7" s="332">
        <v>388568.81899999996</v>
      </c>
      <c r="J7" s="328">
        <v>4151734.76774</v>
      </c>
      <c r="K7" s="329">
        <f>I7/$I$13</f>
        <v>0.38495884100451805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30"/>
      <c r="B8" s="430"/>
      <c r="C8" s="155" t="s">
        <v>5</v>
      </c>
      <c r="D8" s="333">
        <v>4384</v>
      </c>
      <c r="E8" s="130">
        <v>82821.128000000026</v>
      </c>
      <c r="F8" s="130">
        <v>884704.28659000003</v>
      </c>
      <c r="G8" s="327">
        <f t="shared" si="0"/>
        <v>9.0971622559877605E-2</v>
      </c>
      <c r="H8" s="327">
        <f t="shared" ref="H8:H11" si="1">(E8-I8)/I8</f>
        <v>-7.8232324316055715E-2</v>
      </c>
      <c r="I8" s="333">
        <v>89850.328000000009</v>
      </c>
      <c r="J8" s="130">
        <v>960021.08412000013</v>
      </c>
      <c r="K8" s="327">
        <f t="shared" ref="K8:K12" si="2">I8/$I$13</f>
        <v>8.9015578295168873E-2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30"/>
      <c r="B9" s="430"/>
      <c r="C9" s="155" t="s">
        <v>6</v>
      </c>
      <c r="D9" s="333">
        <v>156460</v>
      </c>
      <c r="E9" s="130">
        <v>151469.448</v>
      </c>
      <c r="F9" s="130">
        <v>1618010.617972</v>
      </c>
      <c r="G9" s="327">
        <f t="shared" si="0"/>
        <v>0.16637567955859045</v>
      </c>
      <c r="H9" s="327">
        <f t="shared" si="1"/>
        <v>-6.4548194616210891E-2</v>
      </c>
      <c r="I9" s="333">
        <v>161921.16699999999</v>
      </c>
      <c r="J9" s="130">
        <v>1730075.7855000002</v>
      </c>
      <c r="K9" s="327">
        <f t="shared" si="2"/>
        <v>0.16041684698951364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30"/>
      <c r="B10" s="430"/>
      <c r="C10" s="155" t="s">
        <v>7</v>
      </c>
      <c r="D10" s="333">
        <v>2118146</v>
      </c>
      <c r="E10" s="130">
        <v>315561.85700000002</v>
      </c>
      <c r="F10" s="130">
        <v>3370861.6360000004</v>
      </c>
      <c r="G10" s="327">
        <f t="shared" si="0"/>
        <v>0.34661655597467911</v>
      </c>
      <c r="H10" s="327">
        <f t="shared" si="1"/>
        <v>-8.8975218631958064E-2</v>
      </c>
      <c r="I10" s="333">
        <v>346381.2</v>
      </c>
      <c r="J10" s="130">
        <v>3700971.1000000006</v>
      </c>
      <c r="K10" s="327">
        <f t="shared" si="2"/>
        <v>0.34316316384036516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30"/>
      <c r="B11" s="430"/>
      <c r="C11" s="155" t="s">
        <v>93</v>
      </c>
      <c r="D11" s="333">
        <v>207</v>
      </c>
      <c r="E11" s="130">
        <v>6585.2899999999991</v>
      </c>
      <c r="F11" s="130">
        <v>70344.727048000001</v>
      </c>
      <c r="G11" s="327">
        <f t="shared" si="0"/>
        <v>7.2333537443167407E-3</v>
      </c>
      <c r="H11" s="327">
        <f t="shared" si="1"/>
        <v>-1.0294289596930245E-2</v>
      </c>
      <c r="I11" s="333">
        <v>6653.7859999999991</v>
      </c>
      <c r="J11" s="130">
        <v>71093.581329999986</v>
      </c>
      <c r="K11" s="327">
        <f t="shared" si="2"/>
        <v>6.5919693542164743E-3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30"/>
      <c r="B12" s="430"/>
      <c r="C12" s="155" t="s">
        <v>94</v>
      </c>
      <c r="D12" s="333"/>
      <c r="E12" s="130">
        <v>19699.299780796209</v>
      </c>
      <c r="F12" s="130">
        <v>210429.81716000001</v>
      </c>
      <c r="G12" s="327">
        <f t="shared" si="0"/>
        <v>2.1637923892469463E-2</v>
      </c>
      <c r="H12" s="327">
        <f>(E12-I12)/I12</f>
        <v>0.23103168024586229</v>
      </c>
      <c r="I12" s="333">
        <v>16002.268744913092</v>
      </c>
      <c r="J12" s="130">
        <v>170978.80739999999</v>
      </c>
      <c r="K12" s="327">
        <f t="shared" si="2"/>
        <v>1.5853600516217869E-2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1"/>
      <c r="B13" s="431"/>
      <c r="C13" s="339" t="s">
        <v>0</v>
      </c>
      <c r="D13" s="342">
        <v>2280450</v>
      </c>
      <c r="E13" s="340">
        <v>910406.18678079627</v>
      </c>
      <c r="F13" s="340">
        <v>9725046.5487500001</v>
      </c>
      <c r="G13" s="341">
        <f>SUM(G7:G12)</f>
        <v>1</v>
      </c>
      <c r="H13" s="341">
        <f>(E13-I13)/I13</f>
        <v>-9.8051893591394518E-2</v>
      </c>
      <c r="I13" s="342">
        <v>1009377.568744913</v>
      </c>
      <c r="J13" s="340">
        <v>10784875.126089999</v>
      </c>
      <c r="K13" s="341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29" t="str">
        <f>'3.1'!E5</f>
        <v>Únor</v>
      </c>
      <c r="B14" s="429"/>
      <c r="C14" s="165" t="s">
        <v>4</v>
      </c>
      <c r="D14" s="332">
        <v>1253</v>
      </c>
      <c r="E14" s="328">
        <v>284350.77399999998</v>
      </c>
      <c r="F14" s="328">
        <v>3041072.7299799998</v>
      </c>
      <c r="G14" s="329">
        <f>E14/$E$20</f>
        <v>0.38854932579990414</v>
      </c>
      <c r="H14" s="329">
        <f>(E14-I14)/I14</f>
        <v>-0.21383361859976283</v>
      </c>
      <c r="I14" s="332">
        <v>361692.86899999995</v>
      </c>
      <c r="J14" s="328">
        <v>3865356.3529600003</v>
      </c>
      <c r="K14" s="329">
        <f>I14/$I$20</f>
        <v>0.38736514137954176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30"/>
      <c r="B15" s="430"/>
      <c r="C15" s="155" t="s">
        <v>5</v>
      </c>
      <c r="D15" s="333">
        <v>4381</v>
      </c>
      <c r="E15" s="130">
        <v>64277.512999999992</v>
      </c>
      <c r="F15" s="130">
        <v>687434.40557999979</v>
      </c>
      <c r="G15" s="327">
        <f t="shared" ref="G15:G19" si="3">E15/$E$20</f>
        <v>8.7831603160132679E-2</v>
      </c>
      <c r="H15" s="327">
        <f t="shared" ref="H15:H17" si="4">(E15-I15)/I15</f>
        <v>-0.21903443455115618</v>
      </c>
      <c r="I15" s="333">
        <v>82305.181999999986</v>
      </c>
      <c r="J15" s="130">
        <v>879583.31934999966</v>
      </c>
      <c r="K15" s="327">
        <f t="shared" ref="K15:K19" si="5">I15/$I$20</f>
        <v>8.81470473826204E-2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30"/>
      <c r="B16" s="430"/>
      <c r="C16" s="155" t="s">
        <v>6</v>
      </c>
      <c r="D16" s="333">
        <v>156400</v>
      </c>
      <c r="E16" s="130">
        <v>116093.924</v>
      </c>
      <c r="F16" s="130">
        <v>1241602.1383899997</v>
      </c>
      <c r="G16" s="327">
        <f t="shared" si="3"/>
        <v>0.15863581190626658</v>
      </c>
      <c r="H16" s="327">
        <f t="shared" si="4"/>
        <v>-0.22426631581445006</v>
      </c>
      <c r="I16" s="333">
        <v>149656.93299999999</v>
      </c>
      <c r="J16" s="130">
        <v>1599361.9914499999</v>
      </c>
      <c r="K16" s="327">
        <f>I16/$I$20</f>
        <v>0.16027929765453466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30"/>
      <c r="B17" s="430"/>
      <c r="C17" s="155" t="s">
        <v>7</v>
      </c>
      <c r="D17" s="333">
        <v>2116753</v>
      </c>
      <c r="E17" s="130">
        <v>241964.65699999998</v>
      </c>
      <c r="F17" s="130">
        <v>2587758.6360000004</v>
      </c>
      <c r="G17" s="327">
        <f t="shared" si="3"/>
        <v>0.33063108294811622</v>
      </c>
      <c r="H17" s="327">
        <f t="shared" si="4"/>
        <v>-0.23340820734204396</v>
      </c>
      <c r="I17" s="333">
        <v>315636.89999999997</v>
      </c>
      <c r="J17" s="130">
        <v>3373164.0000000005</v>
      </c>
      <c r="K17" s="327">
        <f>I17/$I$20</f>
        <v>0.33804020723753964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30"/>
      <c r="B18" s="430"/>
      <c r="C18" s="155" t="s">
        <v>93</v>
      </c>
      <c r="D18" s="333">
        <v>204</v>
      </c>
      <c r="E18" s="130">
        <v>6392.3930000000009</v>
      </c>
      <c r="F18" s="130">
        <v>68365.321429999996</v>
      </c>
      <c r="G18" s="327">
        <f t="shared" si="3"/>
        <v>8.7348451894772305E-3</v>
      </c>
      <c r="H18" s="327">
        <f>(E18-I18)/I18</f>
        <v>7.116491406574954E-2</v>
      </c>
      <c r="I18" s="333">
        <v>5967.7019999999993</v>
      </c>
      <c r="J18" s="130">
        <v>63775.938720000006</v>
      </c>
      <c r="K18" s="327">
        <f>I18/$I$20</f>
        <v>6.3912781452735087E-3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30"/>
      <c r="B19" s="430"/>
      <c r="C19" s="155" t="s">
        <v>94</v>
      </c>
      <c r="D19" s="333"/>
      <c r="E19" s="130">
        <v>18747.447010903848</v>
      </c>
      <c r="F19" s="130">
        <v>200500.01612000004</v>
      </c>
      <c r="G19" s="327">
        <f t="shared" si="3"/>
        <v>2.5617330996103142E-2</v>
      </c>
      <c r="H19" s="327">
        <f t="shared" ref="H19" si="6">(E19-I19)/I19</f>
        <v>1.5223569654387623E-2</v>
      </c>
      <c r="I19" s="333">
        <v>18466.323646609228</v>
      </c>
      <c r="J19" s="130">
        <v>197346.82478058053</v>
      </c>
      <c r="K19" s="327">
        <f t="shared" si="5"/>
        <v>1.9777028200490068E-2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1"/>
      <c r="B20" s="431"/>
      <c r="C20" s="339" t="s">
        <v>0</v>
      </c>
      <c r="D20" s="342">
        <v>2278991</v>
      </c>
      <c r="E20" s="340">
        <v>731826.70801090379</v>
      </c>
      <c r="F20" s="340">
        <v>7826733.2474999987</v>
      </c>
      <c r="G20" s="341">
        <f>SUM(G14:G19)</f>
        <v>1</v>
      </c>
      <c r="H20" s="341">
        <f>(E20-I20)/I20</f>
        <v>-0.21622962322221398</v>
      </c>
      <c r="I20" s="342">
        <v>933725.9096466091</v>
      </c>
      <c r="J20" s="340">
        <v>9978588.4272605814</v>
      </c>
      <c r="K20" s="341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29" t="str">
        <f>'3.1'!F5</f>
        <v>Březen</v>
      </c>
      <c r="B21" s="429"/>
      <c r="C21" s="165" t="s">
        <v>4</v>
      </c>
      <c r="D21" s="332">
        <v>1250</v>
      </c>
      <c r="E21" s="328">
        <v>301223.30900000007</v>
      </c>
      <c r="F21" s="328">
        <v>3232676.08721</v>
      </c>
      <c r="G21" s="329">
        <f>E21/$E$27</f>
        <v>0.40860884070248427</v>
      </c>
      <c r="H21" s="329">
        <f>(E21-I21)/I21</f>
        <v>-0.1768917771424508</v>
      </c>
      <c r="I21" s="332">
        <v>365958.32799999998</v>
      </c>
      <c r="J21" s="328">
        <v>3905552.8009799998</v>
      </c>
      <c r="K21" s="329">
        <f>I21/$I$27</f>
        <v>0.42566338529536196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30"/>
      <c r="B22" s="430"/>
      <c r="C22" s="155" t="s">
        <v>5</v>
      </c>
      <c r="D22" s="333">
        <v>4326</v>
      </c>
      <c r="E22" s="130">
        <v>65174.099000000002</v>
      </c>
      <c r="F22" s="130">
        <v>699437.10405999969</v>
      </c>
      <c r="G22" s="327">
        <f t="shared" ref="G22:G26" si="7">E22/$E$27</f>
        <v>8.8408540244204456E-2</v>
      </c>
      <c r="H22" s="327">
        <f t="shared" ref="H22:H26" si="8">(E22-I22)/I22</f>
        <v>-0.10979735675478504</v>
      </c>
      <c r="I22" s="333">
        <v>73212.654999999999</v>
      </c>
      <c r="J22" s="130">
        <v>781335.17889000021</v>
      </c>
      <c r="K22" s="327">
        <f t="shared" ref="K22:K26" si="9">I22/$I$27</f>
        <v>8.5157090819808892E-2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30"/>
      <c r="B23" s="430"/>
      <c r="C23" s="155" t="s">
        <v>6</v>
      </c>
      <c r="D23" s="333">
        <v>156547</v>
      </c>
      <c r="E23" s="130">
        <v>116089.25000000003</v>
      </c>
      <c r="F23" s="130">
        <v>1245849.13873</v>
      </c>
      <c r="G23" s="327">
        <f t="shared" si="7"/>
        <v>0.15747484488499819</v>
      </c>
      <c r="H23" s="327">
        <f t="shared" si="8"/>
        <v>-8.0228628006709532E-2</v>
      </c>
      <c r="I23" s="333">
        <v>126215.333</v>
      </c>
      <c r="J23" s="130">
        <v>1346985.033791</v>
      </c>
      <c r="K23" s="327">
        <f t="shared" si="9"/>
        <v>0.14680700454222595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30"/>
      <c r="B24" s="430"/>
      <c r="C24" s="155" t="s">
        <v>7</v>
      </c>
      <c r="D24" s="333">
        <v>2114797</v>
      </c>
      <c r="E24" s="130">
        <v>232369.65700000001</v>
      </c>
      <c r="F24" s="130">
        <v>2493749.2359999996</v>
      </c>
      <c r="G24" s="327">
        <f t="shared" si="7"/>
        <v>0.31520899387372409</v>
      </c>
      <c r="H24" s="327">
        <f t="shared" si="8"/>
        <v>-0.1465917902721528</v>
      </c>
      <c r="I24" s="333">
        <v>272284.29999999993</v>
      </c>
      <c r="J24" s="130">
        <v>2905852.3</v>
      </c>
      <c r="K24" s="327">
        <f t="shared" si="9"/>
        <v>0.31670670683788321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30"/>
      <c r="B25" s="430"/>
      <c r="C25" s="155" t="s">
        <v>93</v>
      </c>
      <c r="D25" s="333">
        <v>204</v>
      </c>
      <c r="E25" s="130">
        <v>6804.2489999999998</v>
      </c>
      <c r="F25" s="130">
        <v>73021.99411</v>
      </c>
      <c r="G25" s="327">
        <f t="shared" si="7"/>
        <v>9.2299507132133571E-3</v>
      </c>
      <c r="H25" s="327">
        <f t="shared" si="8"/>
        <v>9.1671368885584581E-2</v>
      </c>
      <c r="I25" s="333">
        <v>6232.8729999999996</v>
      </c>
      <c r="J25" s="130">
        <v>66517.98646900001</v>
      </c>
      <c r="K25" s="327">
        <f t="shared" si="9"/>
        <v>7.2497484503100543E-3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30"/>
      <c r="B26" s="430"/>
      <c r="C26" s="155" t="s">
        <v>94</v>
      </c>
      <c r="D26" s="333"/>
      <c r="E26" s="130">
        <v>15531.779861513143</v>
      </c>
      <c r="F26" s="130">
        <v>166684.31505999988</v>
      </c>
      <c r="G26" s="327">
        <f t="shared" si="7"/>
        <v>2.1068829581375709E-2</v>
      </c>
      <c r="H26" s="327">
        <f t="shared" si="8"/>
        <v>-1.9022447618514838E-2</v>
      </c>
      <c r="I26" s="333">
        <v>15832.96154311297</v>
      </c>
      <c r="J26" s="130">
        <v>168971.34055940574</v>
      </c>
      <c r="K26" s="327">
        <f t="shared" si="9"/>
        <v>1.8416064054409893E-2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1"/>
      <c r="B27" s="431"/>
      <c r="C27" s="339" t="s">
        <v>0</v>
      </c>
      <c r="D27" s="342">
        <v>2277124</v>
      </c>
      <c r="E27" s="340">
        <v>737192.34386151319</v>
      </c>
      <c r="F27" s="340">
        <v>7911417.8751699999</v>
      </c>
      <c r="G27" s="341">
        <f>SUM(G21:G26)</f>
        <v>1.0000000000000002</v>
      </c>
      <c r="H27" s="341">
        <f>(E27-I27)/I27</f>
        <v>-0.14253682812236954</v>
      </c>
      <c r="I27" s="342">
        <v>859736.45054311294</v>
      </c>
      <c r="J27" s="340">
        <v>9175214.6406894065</v>
      </c>
      <c r="K27" s="341">
        <f>SUM(K21:K26)</f>
        <v>0.99999999999999989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00" t="str">
        <f>'3.1'!G5</f>
        <v>I. čtvrtletí</v>
      </c>
      <c r="B28" s="429"/>
      <c r="C28" s="165" t="s">
        <v>4</v>
      </c>
      <c r="D28" s="332">
        <f>D21</f>
        <v>1250</v>
      </c>
      <c r="E28" s="328">
        <f>E7+E14+E21</f>
        <v>919843.24699999997</v>
      </c>
      <c r="F28" s="328">
        <f>F7+F14+F21</f>
        <v>9844444.2811700013</v>
      </c>
      <c r="G28" s="329">
        <f>E28/$E$34</f>
        <v>0.38658211741951753</v>
      </c>
      <c r="H28" s="329">
        <f>(E28-I28)/I28</f>
        <v>-0.17593016267860931</v>
      </c>
      <c r="I28" s="332">
        <f>I7+I14+I21</f>
        <v>1116220.0159999998</v>
      </c>
      <c r="J28" s="328">
        <f>J7+J14+J21</f>
        <v>11922643.92168</v>
      </c>
      <c r="K28" s="329">
        <f>I28/$I$34</f>
        <v>0.39824608051173205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30"/>
      <c r="B29" s="430"/>
      <c r="C29" s="155" t="s">
        <v>5</v>
      </c>
      <c r="D29" s="333">
        <f t="shared" ref="D29:D32" si="10">D22</f>
        <v>4326</v>
      </c>
      <c r="E29" s="130">
        <f>E8+E15+E22</f>
        <v>212272.74</v>
      </c>
      <c r="F29" s="130">
        <f t="shared" ref="F29" si="11">F8+F15+F22</f>
        <v>2271575.7962299995</v>
      </c>
      <c r="G29" s="327">
        <f t="shared" ref="G29:G33" si="12">E29/$E$34</f>
        <v>8.9211771209146806E-2</v>
      </c>
      <c r="H29" s="327">
        <f t="shared" ref="H29:H31" si="13">(E29-I29)/I29</f>
        <v>-0.13488068022190253</v>
      </c>
      <c r="I29" s="333">
        <f>I8+I15+I22</f>
        <v>245368.16500000001</v>
      </c>
      <c r="J29" s="130">
        <f t="shared" ref="J29" si="14">J8+J15+J22</f>
        <v>2620939.5823599999</v>
      </c>
      <c r="K29" s="327">
        <f t="shared" ref="K29:K33" si="15">I29/$I$34</f>
        <v>8.7542696415512017E-2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30"/>
      <c r="B30" s="430"/>
      <c r="C30" s="155" t="s">
        <v>6</v>
      </c>
      <c r="D30" s="333">
        <f t="shared" si="10"/>
        <v>156547</v>
      </c>
      <c r="E30" s="130">
        <f t="shared" ref="E30:F33" si="16">E9+E16+E23</f>
        <v>383652.62199999997</v>
      </c>
      <c r="F30" s="130">
        <f t="shared" si="16"/>
        <v>4105461.8950919993</v>
      </c>
      <c r="G30" s="327">
        <f t="shared" si="12"/>
        <v>0.16123751894686655</v>
      </c>
      <c r="H30" s="327">
        <f t="shared" si="13"/>
        <v>-0.12366748086876851</v>
      </c>
      <c r="I30" s="333">
        <f t="shared" ref="I30:J32" si="17">I9+I16+I23</f>
        <v>437793.43299999996</v>
      </c>
      <c r="J30" s="130">
        <f t="shared" si="17"/>
        <v>4676422.8107409999</v>
      </c>
      <c r="K30" s="327">
        <f t="shared" si="15"/>
        <v>0.15619637371385892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30"/>
      <c r="B31" s="430"/>
      <c r="C31" s="155" t="s">
        <v>7</v>
      </c>
      <c r="D31" s="333">
        <f t="shared" si="10"/>
        <v>2114797</v>
      </c>
      <c r="E31" s="130">
        <f>E10+E17+E24</f>
        <v>789896.17099999997</v>
      </c>
      <c r="F31" s="130">
        <f t="shared" si="16"/>
        <v>8452369.5080000013</v>
      </c>
      <c r="G31" s="327">
        <f t="shared" si="12"/>
        <v>0.33196931686203845</v>
      </c>
      <c r="H31" s="327">
        <f t="shared" si="13"/>
        <v>-0.15456048170271205</v>
      </c>
      <c r="I31" s="333">
        <f>I10+I17+I24</f>
        <v>934302.39999999991</v>
      </c>
      <c r="J31" s="130">
        <f t="shared" si="17"/>
        <v>9979987.4000000022</v>
      </c>
      <c r="K31" s="327">
        <f t="shared" si="15"/>
        <v>0.33334133367906249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30"/>
      <c r="B32" s="430"/>
      <c r="C32" s="155" t="s">
        <v>93</v>
      </c>
      <c r="D32" s="333">
        <f t="shared" si="10"/>
        <v>204</v>
      </c>
      <c r="E32" s="130">
        <f>E11+E18+E25</f>
        <v>19781.932000000001</v>
      </c>
      <c r="F32" s="130">
        <f t="shared" si="16"/>
        <v>211732.04258799998</v>
      </c>
      <c r="G32" s="327">
        <f t="shared" si="12"/>
        <v>8.3137438733720589E-3</v>
      </c>
      <c r="H32" s="327">
        <f>(E32-I32)/I32</f>
        <v>4.9196628832979476E-2</v>
      </c>
      <c r="I32" s="333">
        <f>I11+I18+I25</f>
        <v>18854.360999999997</v>
      </c>
      <c r="J32" s="130">
        <f t="shared" si="17"/>
        <v>201387.50651899999</v>
      </c>
      <c r="K32" s="327">
        <f t="shared" si="15"/>
        <v>6.7268775520714736E-3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30"/>
      <c r="B33" s="430"/>
      <c r="C33" s="155" t="s">
        <v>94</v>
      </c>
      <c r="D33" s="333"/>
      <c r="E33" s="130">
        <f t="shared" si="16"/>
        <v>53978.526653213208</v>
      </c>
      <c r="F33" s="130">
        <f t="shared" si="16"/>
        <v>577614.14833999984</v>
      </c>
      <c r="G33" s="327">
        <f t="shared" si="12"/>
        <v>2.2685531689058566E-2</v>
      </c>
      <c r="H33" s="327">
        <f t="shared" ref="H33" si="18">(E33-I33)/I33</f>
        <v>7.3098591016810086E-2</v>
      </c>
      <c r="I33" s="333">
        <f t="shared" ref="I33:J33" si="19">I12+I19+I26</f>
        <v>50301.553934635289</v>
      </c>
      <c r="J33" s="130">
        <f t="shared" si="19"/>
        <v>537296.97273998626</v>
      </c>
      <c r="K33" s="327">
        <f t="shared" si="15"/>
        <v>1.7946638127763155E-2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31"/>
      <c r="B34" s="431"/>
      <c r="C34" s="339" t="s">
        <v>0</v>
      </c>
      <c r="D34" s="342">
        <f>SUM(D28:D33)</f>
        <v>2277124</v>
      </c>
      <c r="E34" s="340">
        <f>SUM(E28:E33)</f>
        <v>2379425.2386532133</v>
      </c>
      <c r="F34" s="340">
        <f>SUM(F28:F33)</f>
        <v>25463197.67142</v>
      </c>
      <c r="G34" s="341">
        <f>SUM(G28:G33)</f>
        <v>0.99999999999999989</v>
      </c>
      <c r="H34" s="341">
        <f>(E34-I34)/I34</f>
        <v>-0.15106631167565898</v>
      </c>
      <c r="I34" s="342">
        <f>SUM(I28:I33)</f>
        <v>2802839.9289346347</v>
      </c>
      <c r="J34" s="340">
        <f>SUM(J28:J33)</f>
        <v>29938678.194039989</v>
      </c>
      <c r="K34" s="341">
        <f>SUM(K28:K33)</f>
        <v>1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23"/>
      <c r="C35" s="102"/>
      <c r="D35" s="88"/>
      <c r="E35" s="88"/>
      <c r="F35" s="88"/>
      <c r="G35" s="483" t="s">
        <v>278</v>
      </c>
      <c r="H35" s="483"/>
      <c r="I35" s="483"/>
      <c r="J35" s="483"/>
      <c r="K35" s="483"/>
    </row>
    <row r="36" spans="1:20" ht="15" customHeight="1">
      <c r="A36" s="475" t="s">
        <v>277</v>
      </c>
      <c r="B36" s="475"/>
      <c r="C36" s="475"/>
      <c r="D36" s="475"/>
      <c r="E36" s="475"/>
      <c r="F36" s="120"/>
      <c r="G36" s="483"/>
      <c r="H36" s="483"/>
      <c r="I36" s="483"/>
      <c r="J36" s="483"/>
      <c r="K36" s="483"/>
      <c r="M36" s="94"/>
      <c r="N36" s="94"/>
      <c r="O36" s="94"/>
      <c r="P36" s="94"/>
      <c r="Q36" s="94"/>
      <c r="R36" s="94"/>
      <c r="S36" s="94"/>
    </row>
    <row r="37" spans="1:20" ht="15" customHeight="1">
      <c r="A37" s="476" t="str">
        <f>A28</f>
        <v>I. čtvrtletí</v>
      </c>
      <c r="B37" s="477"/>
      <c r="C37" s="477"/>
      <c r="D37" s="477"/>
      <c r="E37" s="477"/>
      <c r="F37" s="126"/>
      <c r="G37" s="478" t="str">
        <f>A28</f>
        <v>I. čtvrtletí</v>
      </c>
      <c r="H37" s="478"/>
      <c r="I37" s="478"/>
      <c r="J37" s="478"/>
      <c r="K37" s="478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Leden</v>
      </c>
      <c r="C42" s="78">
        <f>E13</f>
        <v>910406.18678079627</v>
      </c>
      <c r="D42" s="78">
        <f>I13</f>
        <v>1009377.568744913</v>
      </c>
      <c r="E42" s="76"/>
      <c r="F42" s="76"/>
      <c r="G42" s="76"/>
      <c r="H42" s="95" t="str">
        <f>A7</f>
        <v>Leden</v>
      </c>
      <c r="I42" s="96">
        <f>E13/E34</f>
        <v>0.38261600826597031</v>
      </c>
      <c r="J42" s="96">
        <f>I13/I34</f>
        <v>0.36012672658355466</v>
      </c>
      <c r="K42" s="95"/>
    </row>
    <row r="43" spans="1:20" ht="15" customHeight="1">
      <c r="A43" s="95"/>
      <c r="B43" s="95" t="str">
        <f>A14</f>
        <v>Únor</v>
      </c>
      <c r="C43" s="78">
        <f>E20</f>
        <v>731826.70801090379</v>
      </c>
      <c r="D43" s="78">
        <f>I20</f>
        <v>933725.9096466091</v>
      </c>
      <c r="E43" s="76"/>
      <c r="F43" s="76"/>
      <c r="G43" s="76"/>
      <c r="H43" s="95" t="str">
        <f>A14</f>
        <v>Únor</v>
      </c>
      <c r="I43" s="96">
        <f>E20/E34</f>
        <v>0.30756448915584655</v>
      </c>
      <c r="J43" s="96">
        <f>I20/I34</f>
        <v>0.3331356528810121</v>
      </c>
      <c r="K43" s="95"/>
    </row>
    <row r="44" spans="1:20" ht="15" customHeight="1">
      <c r="A44" s="95"/>
      <c r="B44" s="95" t="str">
        <f>A21</f>
        <v>Březen</v>
      </c>
      <c r="C44" s="78">
        <f>E27</f>
        <v>737192.34386151319</v>
      </c>
      <c r="D44" s="78">
        <f>I27</f>
        <v>859736.45054311294</v>
      </c>
      <c r="E44" s="76"/>
      <c r="F44" s="76"/>
      <c r="G44" s="76"/>
      <c r="H44" s="95" t="str">
        <f>A21</f>
        <v>Březen</v>
      </c>
      <c r="I44" s="96">
        <f>E27/E34</f>
        <v>0.30981950257818314</v>
      </c>
      <c r="J44" s="96">
        <f>I27/I34</f>
        <v>0.30673762053543335</v>
      </c>
      <c r="K44" s="95"/>
    </row>
    <row r="45" spans="1:20" ht="15" customHeight="1">
      <c r="A45" s="95"/>
      <c r="B45" s="95"/>
      <c r="C45" s="78">
        <f>SUM(C42:C44)</f>
        <v>2379425.2386532133</v>
      </c>
      <c r="D45" s="78">
        <f>SUM(D42:D44)</f>
        <v>2802839.9289346351</v>
      </c>
      <c r="E45" s="95"/>
      <c r="F45" s="95"/>
      <c r="G45" s="95"/>
      <c r="H45" s="95"/>
      <c r="I45" s="97">
        <f>SUM(I42:I44)</f>
        <v>1</v>
      </c>
      <c r="J45" s="97">
        <f>SUM(J42:J44)</f>
        <v>1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9" t="s">
        <v>307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</row>
    <row r="2" spans="1:21" ht="6" customHeight="1">
      <c r="A2" s="484"/>
      <c r="B2" s="484"/>
      <c r="C2" s="484"/>
      <c r="D2" s="335"/>
      <c r="E2" s="335"/>
      <c r="F2" s="336"/>
      <c r="G2" s="337"/>
      <c r="H2" s="337"/>
      <c r="I2" s="337"/>
      <c r="J2" s="299"/>
      <c r="K2" s="299"/>
    </row>
    <row r="3" spans="1:21" ht="15" customHeight="1">
      <c r="A3" s="494" t="s">
        <v>213</v>
      </c>
      <c r="B3" s="494"/>
      <c r="C3" s="494"/>
      <c r="D3" s="370">
        <f>'3.1'!A4</f>
        <v>2022</v>
      </c>
      <c r="E3" s="497"/>
      <c r="F3" s="497"/>
      <c r="G3" s="497"/>
      <c r="H3" s="369"/>
      <c r="I3" s="496">
        <f>D3-1</f>
        <v>2021</v>
      </c>
      <c r="J3" s="497"/>
      <c r="K3" s="497"/>
    </row>
    <row r="4" spans="1:21" ht="50.1" customHeight="1">
      <c r="A4" s="495"/>
      <c r="B4" s="495"/>
      <c r="C4" s="495"/>
      <c r="D4" s="372"/>
      <c r="E4" s="491"/>
      <c r="F4" s="491"/>
      <c r="G4" s="491"/>
      <c r="H4" s="175"/>
      <c r="I4" s="490"/>
      <c r="J4" s="491"/>
      <c r="K4" s="491"/>
    </row>
    <row r="5" spans="1:21" ht="24.95" customHeight="1">
      <c r="A5" s="494" t="s">
        <v>159</v>
      </c>
      <c r="B5" s="494"/>
      <c r="C5" s="498" t="s">
        <v>185</v>
      </c>
      <c r="D5" s="492" t="s">
        <v>160</v>
      </c>
      <c r="E5" s="486" t="s">
        <v>60</v>
      </c>
      <c r="F5" s="486"/>
      <c r="G5" s="487" t="s">
        <v>33</v>
      </c>
      <c r="H5" s="487" t="s">
        <v>276</v>
      </c>
      <c r="I5" s="485" t="s">
        <v>60</v>
      </c>
      <c r="J5" s="486"/>
      <c r="K5" s="487" t="s">
        <v>33</v>
      </c>
    </row>
    <row r="6" spans="1:21" ht="22.5" customHeight="1">
      <c r="A6" s="495"/>
      <c r="B6" s="495"/>
      <c r="C6" s="499"/>
      <c r="D6" s="493"/>
      <c r="E6" s="222" t="s">
        <v>267</v>
      </c>
      <c r="F6" s="222" t="s">
        <v>268</v>
      </c>
      <c r="G6" s="474"/>
      <c r="H6" s="474"/>
      <c r="I6" s="224" t="s">
        <v>267</v>
      </c>
      <c r="J6" s="222" t="s">
        <v>268</v>
      </c>
      <c r="K6" s="474"/>
    </row>
    <row r="7" spans="1:21" ht="12.95" customHeight="1">
      <c r="A7" s="429" t="str">
        <f>'3.1'!D5</f>
        <v>Leden</v>
      </c>
      <c r="B7" s="429"/>
      <c r="C7" s="165" t="s">
        <v>4</v>
      </c>
      <c r="D7" s="332">
        <v>97</v>
      </c>
      <c r="E7" s="328">
        <v>11529.92455</v>
      </c>
      <c r="F7" s="328">
        <v>123100.37586000001</v>
      </c>
      <c r="G7" s="329">
        <f t="shared" ref="G7:G12" si="0">E7/$E$13</f>
        <v>0.25630803772816757</v>
      </c>
      <c r="H7" s="329">
        <f>(E7-I7)/I7</f>
        <v>-0.10198239345907423</v>
      </c>
      <c r="I7" s="332">
        <v>12839.3079</v>
      </c>
      <c r="J7" s="328">
        <v>137023.63222999999</v>
      </c>
      <c r="K7" s="329">
        <f>I7/$I$13</f>
        <v>0.26022414578546998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30"/>
      <c r="B8" s="430"/>
      <c r="C8" s="155" t="s">
        <v>5</v>
      </c>
      <c r="D8" s="333">
        <v>355</v>
      </c>
      <c r="E8" s="130">
        <v>5989.1930899999998</v>
      </c>
      <c r="F8" s="130">
        <v>63944.218909999996</v>
      </c>
      <c r="G8" s="327">
        <f t="shared" si="0"/>
        <v>0.13313862738789567</v>
      </c>
      <c r="H8" s="327">
        <f t="shared" ref="H8:H11" si="1">(E8-I8)/I8</f>
        <v>-4.8398510457543995E-2</v>
      </c>
      <c r="I8" s="333">
        <v>6293.8038200000001</v>
      </c>
      <c r="J8" s="130">
        <v>67168.733110000001</v>
      </c>
      <c r="K8" s="327">
        <f t="shared" ref="K8:K12" si="2">I8/$I$13</f>
        <v>0.1275613713415836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30"/>
      <c r="B9" s="430"/>
      <c r="C9" s="155" t="s">
        <v>6</v>
      </c>
      <c r="D9" s="333">
        <v>10769</v>
      </c>
      <c r="E9" s="130">
        <v>10358.7107</v>
      </c>
      <c r="F9" s="130">
        <v>110595.81069</v>
      </c>
      <c r="G9" s="327">
        <f t="shared" si="0"/>
        <v>0.23027217579760947</v>
      </c>
      <c r="H9" s="327">
        <f t="shared" si="1"/>
        <v>-9.361675232510494E-2</v>
      </c>
      <c r="I9" s="333">
        <v>11428.621090000001</v>
      </c>
      <c r="J9" s="130">
        <v>121968.53006</v>
      </c>
      <c r="K9" s="327">
        <f t="shared" si="2"/>
        <v>0.23163266928516119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30"/>
      <c r="B10" s="430"/>
      <c r="C10" s="155" t="s">
        <v>7</v>
      </c>
      <c r="D10" s="333">
        <v>103542</v>
      </c>
      <c r="E10" s="130">
        <v>15799.649660000001</v>
      </c>
      <c r="F10" s="130">
        <v>168685.31552999999</v>
      </c>
      <c r="G10" s="327">
        <f t="shared" si="0"/>
        <v>0.35122321777440518</v>
      </c>
      <c r="H10" s="327">
        <f t="shared" si="1"/>
        <v>-9.3616752075045967E-2</v>
      </c>
      <c r="I10" s="333">
        <v>17431.533179999999</v>
      </c>
      <c r="J10" s="130">
        <v>186034.25047999999</v>
      </c>
      <c r="K10" s="327">
        <f t="shared" si="2"/>
        <v>0.35329831380526183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30"/>
      <c r="B11" s="430"/>
      <c r="C11" s="155" t="s">
        <v>93</v>
      </c>
      <c r="D11" s="333">
        <v>17</v>
      </c>
      <c r="E11" s="130">
        <v>435.45699999999999</v>
      </c>
      <c r="F11" s="130">
        <v>4649.32</v>
      </c>
      <c r="G11" s="327">
        <f t="shared" si="0"/>
        <v>9.6801265872112473E-3</v>
      </c>
      <c r="H11" s="327">
        <f t="shared" si="1"/>
        <v>0.13859255540564566</v>
      </c>
      <c r="I11" s="333">
        <v>382.452</v>
      </c>
      <c r="J11" s="130">
        <v>4081.0889999999999</v>
      </c>
      <c r="K11" s="327">
        <f t="shared" si="2"/>
        <v>7.7514493599724777E-3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30"/>
      <c r="B12" s="430"/>
      <c r="C12" s="155" t="s">
        <v>94</v>
      </c>
      <c r="D12" s="333"/>
      <c r="E12" s="130">
        <v>871.70400000000006</v>
      </c>
      <c r="F12" s="130">
        <v>9306.8110000000015</v>
      </c>
      <c r="G12" s="327">
        <f t="shared" si="0"/>
        <v>1.9377814724710805E-2</v>
      </c>
      <c r="H12" s="327">
        <f>(E12-I12)/I12</f>
        <v>-9.5461243125453843E-2</v>
      </c>
      <c r="I12" s="333">
        <v>963.69999999999993</v>
      </c>
      <c r="J12" s="130">
        <v>10257.923000000001</v>
      </c>
      <c r="K12" s="327">
        <f t="shared" si="2"/>
        <v>1.9532050422551003E-2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1"/>
      <c r="B13" s="431"/>
      <c r="C13" s="339" t="s">
        <v>0</v>
      </c>
      <c r="D13" s="342">
        <v>114780</v>
      </c>
      <c r="E13" s="340">
        <v>44984.639000000003</v>
      </c>
      <c r="F13" s="340">
        <v>480281.85199000005</v>
      </c>
      <c r="G13" s="341">
        <f>SUM(G7:G12)</f>
        <v>1</v>
      </c>
      <c r="H13" s="341">
        <f>(E13-I13)/I13</f>
        <v>-8.8261661110040024E-2</v>
      </c>
      <c r="I13" s="342">
        <v>49339.417989999994</v>
      </c>
      <c r="J13" s="340">
        <v>526534.15787999996</v>
      </c>
      <c r="K13" s="341">
        <f>SUM(K7:K12)</f>
        <v>1.0000000000000002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29" t="str">
        <f>'3.1'!E5</f>
        <v>Únor</v>
      </c>
      <c r="B14" s="429"/>
      <c r="C14" s="165" t="s">
        <v>4</v>
      </c>
      <c r="D14" s="332">
        <v>104</v>
      </c>
      <c r="E14" s="328">
        <v>10775.438300000002</v>
      </c>
      <c r="F14" s="328">
        <v>115248.71663</v>
      </c>
      <c r="G14" s="329">
        <f>E14/$E$20</f>
        <v>0.29388340997037266</v>
      </c>
      <c r="H14" s="329">
        <f>(E14-I14)/I14</f>
        <v>-6.5281316616355195E-2</v>
      </c>
      <c r="I14" s="332">
        <v>11528.001410000001</v>
      </c>
      <c r="J14" s="328">
        <v>123324.24907999999</v>
      </c>
      <c r="K14" s="329">
        <f>I14/$I$20</f>
        <v>0.27436245514820867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30"/>
      <c r="B15" s="430"/>
      <c r="C15" s="155" t="s">
        <v>5</v>
      </c>
      <c r="D15" s="333">
        <v>349</v>
      </c>
      <c r="E15" s="130">
        <v>4519.4417000000003</v>
      </c>
      <c r="F15" s="130">
        <v>48337.688719999998</v>
      </c>
      <c r="G15" s="327">
        <f t="shared" ref="G15:G19" si="3">E15/$E$20</f>
        <v>0.12326078076641186</v>
      </c>
      <c r="H15" s="327">
        <f t="shared" ref="H15:H17" si="4">(E15-I15)/I15</f>
        <v>-0.17551526368059789</v>
      </c>
      <c r="I15" s="333">
        <v>5481.5347099999999</v>
      </c>
      <c r="J15" s="130">
        <v>58640.36204</v>
      </c>
      <c r="K15" s="327">
        <f t="shared" ref="K15:K19" si="5">I15/$I$20</f>
        <v>0.13045863437448382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30"/>
      <c r="B16" s="430"/>
      <c r="C16" s="155" t="s">
        <v>6</v>
      </c>
      <c r="D16" s="333">
        <v>10760</v>
      </c>
      <c r="E16" s="130">
        <v>8019.9587099999999</v>
      </c>
      <c r="F16" s="130">
        <v>85777.468460000004</v>
      </c>
      <c r="G16" s="327">
        <f t="shared" si="3"/>
        <v>0.21873196689515548</v>
      </c>
      <c r="H16" s="327">
        <f t="shared" si="4"/>
        <v>-0.15064900689107957</v>
      </c>
      <c r="I16" s="333">
        <v>9442.4552100000001</v>
      </c>
      <c r="J16" s="130">
        <v>101013.49741</v>
      </c>
      <c r="K16" s="327">
        <f>I16/$I$20</f>
        <v>0.22472717532766107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30"/>
      <c r="B17" s="430"/>
      <c r="C17" s="155" t="s">
        <v>7</v>
      </c>
      <c r="D17" s="333">
        <v>103492</v>
      </c>
      <c r="E17" s="130">
        <v>12232.462289999999</v>
      </c>
      <c r="F17" s="130">
        <v>130831.27236999999</v>
      </c>
      <c r="G17" s="327">
        <f t="shared" si="3"/>
        <v>0.33362148527352176</v>
      </c>
      <c r="H17" s="327">
        <f t="shared" si="4"/>
        <v>-0.15064900621433561</v>
      </c>
      <c r="I17" s="333">
        <v>14402.12866</v>
      </c>
      <c r="J17" s="130">
        <v>154071.53501999998</v>
      </c>
      <c r="K17" s="327">
        <f>I17/$I$20</f>
        <v>0.34276569181283439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30"/>
      <c r="B18" s="430"/>
      <c r="C18" s="155" t="s">
        <v>93</v>
      </c>
      <c r="D18" s="333">
        <v>17</v>
      </c>
      <c r="E18" s="130">
        <v>403.55600000000004</v>
      </c>
      <c r="F18" s="130">
        <v>4316.9179999999997</v>
      </c>
      <c r="G18" s="327">
        <f t="shared" si="3"/>
        <v>1.1006365596655469E-2</v>
      </c>
      <c r="H18" s="327">
        <f>(E18-I18)/I18</f>
        <v>7.4521790993908044E-2</v>
      </c>
      <c r="I18" s="333">
        <v>375.56799999999998</v>
      </c>
      <c r="J18" s="130">
        <v>4017.3760000000002</v>
      </c>
      <c r="K18" s="327">
        <f>I18/$I$20</f>
        <v>8.9383887883391945E-3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30"/>
      <c r="B19" s="430"/>
      <c r="C19" s="155" t="s">
        <v>94</v>
      </c>
      <c r="D19" s="333"/>
      <c r="E19" s="130">
        <v>714.83399999999995</v>
      </c>
      <c r="F19" s="130">
        <v>7645.5230000000001</v>
      </c>
      <c r="G19" s="327">
        <f t="shared" si="3"/>
        <v>1.9495991497882857E-2</v>
      </c>
      <c r="H19" s="327">
        <f t="shared" ref="H19" si="6">(E19-I19)/I19</f>
        <v>-9.2537017853878509E-2</v>
      </c>
      <c r="I19" s="333">
        <v>787.72799999999995</v>
      </c>
      <c r="J19" s="130">
        <v>8426.643</v>
      </c>
      <c r="K19" s="327">
        <f t="shared" si="5"/>
        <v>1.8747654548472863E-2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1"/>
      <c r="B20" s="431"/>
      <c r="C20" s="339" t="s">
        <v>0</v>
      </c>
      <c r="D20" s="342">
        <v>114722</v>
      </c>
      <c r="E20" s="340">
        <v>36665.690999999999</v>
      </c>
      <c r="F20" s="340">
        <v>392157.58717999997</v>
      </c>
      <c r="G20" s="341">
        <f>SUM(G14:G19)</f>
        <v>1.0000000000000002</v>
      </c>
      <c r="H20" s="341">
        <f>(E20-I20)/I20</f>
        <v>-0.12736920783690492</v>
      </c>
      <c r="I20" s="342">
        <v>42017.415990000001</v>
      </c>
      <c r="J20" s="340">
        <v>449493.66254999989</v>
      </c>
      <c r="K20" s="341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29" t="str">
        <f>'3.1'!F5</f>
        <v>Březen</v>
      </c>
      <c r="B21" s="429"/>
      <c r="C21" s="165" t="s">
        <v>4</v>
      </c>
      <c r="D21" s="332">
        <v>103</v>
      </c>
      <c r="E21" s="328">
        <v>11418.37091</v>
      </c>
      <c r="F21" s="328">
        <v>122076.02396999999</v>
      </c>
      <c r="G21" s="329">
        <f>E21/$E$27</f>
        <v>0.3094906826490002</v>
      </c>
      <c r="H21" s="329">
        <f>(E21-I21)/I21</f>
        <v>-7.8646080586639217E-2</v>
      </c>
      <c r="I21" s="332">
        <v>12393.0345</v>
      </c>
      <c r="J21" s="328">
        <v>132153.11592000001</v>
      </c>
      <c r="K21" s="329">
        <f>I21/$I$27</f>
        <v>0.30202498017261975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30"/>
      <c r="B22" s="430"/>
      <c r="C22" s="155" t="s">
        <v>5</v>
      </c>
      <c r="D22" s="333">
        <v>341</v>
      </c>
      <c r="E22" s="130">
        <v>4604.7814600000002</v>
      </c>
      <c r="F22" s="130">
        <v>49230.639509999994</v>
      </c>
      <c r="G22" s="327">
        <f t="shared" ref="G22:G26" si="7">E22/$E$27</f>
        <v>0.12481088315818775</v>
      </c>
      <c r="H22" s="327">
        <f t="shared" ref="H22:H26" si="8">(E22-I22)/I22</f>
        <v>-0.13160927434770112</v>
      </c>
      <c r="I22" s="333">
        <v>5302.6608000000006</v>
      </c>
      <c r="J22" s="130">
        <v>56544.923490000001</v>
      </c>
      <c r="K22" s="327">
        <f t="shared" ref="K22:K26" si="9">I22/$I$27</f>
        <v>0.129228723036487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30"/>
      <c r="B23" s="430"/>
      <c r="C23" s="155" t="s">
        <v>6</v>
      </c>
      <c r="D23" s="333">
        <v>10762</v>
      </c>
      <c r="E23" s="130">
        <v>7794.8793000000005</v>
      </c>
      <c r="F23" s="130">
        <v>83336.613580000005</v>
      </c>
      <c r="G23" s="327">
        <f t="shared" si="7"/>
        <v>0.21127729469803685</v>
      </c>
      <c r="H23" s="327">
        <f t="shared" si="8"/>
        <v>-0.11100694366448048</v>
      </c>
      <c r="I23" s="333">
        <v>8768.2116800000003</v>
      </c>
      <c r="J23" s="130">
        <v>93499.825250000009</v>
      </c>
      <c r="K23" s="327">
        <f t="shared" si="9"/>
        <v>0.21368607977338666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30"/>
      <c r="B24" s="430"/>
      <c r="C24" s="155" t="s">
        <v>7</v>
      </c>
      <c r="D24" s="333">
        <v>103358</v>
      </c>
      <c r="E24" s="130">
        <v>11889.15933</v>
      </c>
      <c r="F24" s="130">
        <v>127108.2893</v>
      </c>
      <c r="G24" s="327">
        <f t="shared" si="7"/>
        <v>0.32225122709421866</v>
      </c>
      <c r="H24" s="327">
        <f t="shared" si="8"/>
        <v>-0.11100694434845929</v>
      </c>
      <c r="I24" s="333">
        <v>13373.737010000001</v>
      </c>
      <c r="J24" s="130">
        <v>142610.35858</v>
      </c>
      <c r="K24" s="327">
        <f t="shared" si="9"/>
        <v>0.32592523286198233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30"/>
      <c r="B25" s="430"/>
      <c r="C25" s="155" t="s">
        <v>93</v>
      </c>
      <c r="D25" s="333">
        <v>17</v>
      </c>
      <c r="E25" s="130">
        <v>466.202</v>
      </c>
      <c r="F25" s="130">
        <v>4983.902</v>
      </c>
      <c r="G25" s="327">
        <f t="shared" si="7"/>
        <v>1.2636231242581803E-2</v>
      </c>
      <c r="H25" s="327">
        <f t="shared" si="8"/>
        <v>0.19819782772960215</v>
      </c>
      <c r="I25" s="333">
        <v>389.08600000000001</v>
      </c>
      <c r="J25" s="130">
        <v>4148.9949999999999</v>
      </c>
      <c r="K25" s="327">
        <f t="shared" si="9"/>
        <v>9.4822370933804728E-3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30"/>
      <c r="B26" s="430"/>
      <c r="C26" s="155" t="s">
        <v>94</v>
      </c>
      <c r="D26" s="333"/>
      <c r="E26" s="130">
        <v>720.67700000000002</v>
      </c>
      <c r="F26" s="130">
        <v>7705.9920000000002</v>
      </c>
      <c r="G26" s="327">
        <f t="shared" si="7"/>
        <v>1.953368115797471E-2</v>
      </c>
      <c r="H26" s="327">
        <f t="shared" si="8"/>
        <v>-0.10631883871063742</v>
      </c>
      <c r="I26" s="333">
        <v>806.41399999999999</v>
      </c>
      <c r="J26" s="130">
        <v>8599.1820000000007</v>
      </c>
      <c r="K26" s="327">
        <f t="shared" si="9"/>
        <v>1.9652747062143899E-2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1"/>
      <c r="B27" s="431"/>
      <c r="C27" s="339" t="s">
        <v>0</v>
      </c>
      <c r="D27" s="342">
        <v>114581</v>
      </c>
      <c r="E27" s="340">
        <v>36894.07</v>
      </c>
      <c r="F27" s="340">
        <v>394441.46036000003</v>
      </c>
      <c r="G27" s="341">
        <f>SUM(G21:G26)</f>
        <v>1</v>
      </c>
      <c r="H27" s="341">
        <f>(E27-I27)/I27</f>
        <v>-0.10087148065009867</v>
      </c>
      <c r="I27" s="342">
        <v>41033.143989999997</v>
      </c>
      <c r="J27" s="340">
        <v>437556.40023999999</v>
      </c>
      <c r="K27" s="341">
        <f>SUM(K21:K26)</f>
        <v>1.0000000000000002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00" t="str">
        <f>'3.1'!G5</f>
        <v>I. čtvrtletí</v>
      </c>
      <c r="B28" s="429"/>
      <c r="C28" s="165" t="s">
        <v>4</v>
      </c>
      <c r="D28" s="332">
        <f>D21</f>
        <v>103</v>
      </c>
      <c r="E28" s="328">
        <f>E7+E14+E21</f>
        <v>33723.733760000003</v>
      </c>
      <c r="F28" s="328">
        <f>F7+F14+F21</f>
        <v>360425.11645999999</v>
      </c>
      <c r="G28" s="329">
        <f>E28/$E$34</f>
        <v>0.28448187986948353</v>
      </c>
      <c r="H28" s="329">
        <f>(E28-I28)/I28</f>
        <v>-8.2605594378960617E-2</v>
      </c>
      <c r="I28" s="332">
        <f>I7+I14+I21</f>
        <v>36760.343809999998</v>
      </c>
      <c r="J28" s="328">
        <f>J7+J14+J21</f>
        <v>392500.99722999998</v>
      </c>
      <c r="K28" s="329">
        <f>I28/$I$34</f>
        <v>0.27766711932175114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30"/>
      <c r="B29" s="430"/>
      <c r="C29" s="155" t="s">
        <v>5</v>
      </c>
      <c r="D29" s="333">
        <f t="shared" ref="D29:D32" si="10">D22</f>
        <v>341</v>
      </c>
      <c r="E29" s="130">
        <f>E8+E15+E22</f>
        <v>15113.41625</v>
      </c>
      <c r="F29" s="130">
        <f t="shared" ref="F29" si="11">F8+F15+F22</f>
        <v>161512.54713999998</v>
      </c>
      <c r="G29" s="327">
        <f t="shared" ref="G29:G33" si="12">E29/$E$34</f>
        <v>0.12749160862934059</v>
      </c>
      <c r="H29" s="327">
        <f t="shared" ref="H29:H31" si="13">(E29-I29)/I29</f>
        <v>-0.11503590333025279</v>
      </c>
      <c r="I29" s="333">
        <f>I8+I15+I22</f>
        <v>17077.999330000002</v>
      </c>
      <c r="J29" s="130">
        <f t="shared" ref="J29" si="14">J8+J15+J22</f>
        <v>182354.01864000002</v>
      </c>
      <c r="K29" s="327">
        <f t="shared" ref="K29:K33" si="15">I29/$I$34</f>
        <v>0.12899767483812055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30"/>
      <c r="B30" s="430"/>
      <c r="C30" s="155" t="s">
        <v>6</v>
      </c>
      <c r="D30" s="333">
        <f t="shared" si="10"/>
        <v>10762</v>
      </c>
      <c r="E30" s="130">
        <f t="shared" ref="E30:F33" si="16">E9+E16+E23</f>
        <v>26173.548709999999</v>
      </c>
      <c r="F30" s="130">
        <f t="shared" si="16"/>
        <v>279709.89273000002</v>
      </c>
      <c r="G30" s="327">
        <f t="shared" si="12"/>
        <v>0.22079110198372931</v>
      </c>
      <c r="H30" s="327">
        <f t="shared" si="13"/>
        <v>-0.11693058457877306</v>
      </c>
      <c r="I30" s="333">
        <f t="shared" ref="I30:J32" si="17">I9+I16+I23</f>
        <v>29639.287980000001</v>
      </c>
      <c r="J30" s="130">
        <f t="shared" si="17"/>
        <v>316481.85272000002</v>
      </c>
      <c r="K30" s="327">
        <f t="shared" si="15"/>
        <v>0.22387863820565299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30"/>
      <c r="B31" s="430"/>
      <c r="C31" s="155" t="s">
        <v>7</v>
      </c>
      <c r="D31" s="333">
        <f t="shared" si="10"/>
        <v>103358</v>
      </c>
      <c r="E31" s="130">
        <f>E10+E17+E24</f>
        <v>39921.271280000001</v>
      </c>
      <c r="F31" s="130">
        <f t="shared" si="16"/>
        <v>426624.87719999999</v>
      </c>
      <c r="G31" s="327">
        <f t="shared" si="12"/>
        <v>0.33676218598263608</v>
      </c>
      <c r="H31" s="327">
        <f t="shared" si="13"/>
        <v>-0.11693058447223617</v>
      </c>
      <c r="I31" s="333">
        <f>I10+I17+I24</f>
        <v>45207.398849999998</v>
      </c>
      <c r="J31" s="130">
        <f t="shared" si="17"/>
        <v>482716.14408</v>
      </c>
      <c r="K31" s="327">
        <f t="shared" si="15"/>
        <v>0.34147145836253662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30"/>
      <c r="B32" s="430"/>
      <c r="C32" s="155" t="s">
        <v>93</v>
      </c>
      <c r="D32" s="333">
        <f t="shared" si="10"/>
        <v>17</v>
      </c>
      <c r="E32" s="130">
        <f>E11+E18+E25</f>
        <v>1305.2150000000001</v>
      </c>
      <c r="F32" s="130">
        <f t="shared" si="16"/>
        <v>13950.14</v>
      </c>
      <c r="G32" s="327">
        <f t="shared" si="12"/>
        <v>1.1010347177935021E-2</v>
      </c>
      <c r="H32" s="327">
        <f>(E32-I32)/I32</f>
        <v>0.13783294656291586</v>
      </c>
      <c r="I32" s="333">
        <f>I11+I18+I25</f>
        <v>1147.106</v>
      </c>
      <c r="J32" s="130">
        <f t="shared" si="17"/>
        <v>12247.46</v>
      </c>
      <c r="K32" s="327">
        <f t="shared" si="15"/>
        <v>8.6645984657534869E-3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30"/>
      <c r="B33" s="430"/>
      <c r="C33" s="155" t="s">
        <v>94</v>
      </c>
      <c r="D33" s="333"/>
      <c r="E33" s="130">
        <f t="shared" si="16"/>
        <v>2307.2150000000001</v>
      </c>
      <c r="F33" s="130">
        <f t="shared" si="16"/>
        <v>24658.326000000001</v>
      </c>
      <c r="G33" s="327">
        <f t="shared" si="12"/>
        <v>1.9462876356875568E-2</v>
      </c>
      <c r="H33" s="327">
        <f t="shared" ref="H33" si="18">(E33-I33)/I33</f>
        <v>-9.7983769130383952E-2</v>
      </c>
      <c r="I33" s="333">
        <f t="shared" ref="I33:J33" si="19">I12+I19+I26</f>
        <v>2557.8419999999996</v>
      </c>
      <c r="J33" s="130">
        <f t="shared" si="19"/>
        <v>27283.748</v>
      </c>
      <c r="K33" s="327">
        <f t="shared" si="15"/>
        <v>1.9320510806185156E-2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31"/>
      <c r="B34" s="431"/>
      <c r="C34" s="339" t="s">
        <v>0</v>
      </c>
      <c r="D34" s="342">
        <f>SUM(D28:D33)</f>
        <v>114581</v>
      </c>
      <c r="E34" s="340">
        <f>SUM(E28:E33)</f>
        <v>118544.4</v>
      </c>
      <c r="F34" s="340">
        <f>SUM(F28:F33)</f>
        <v>1266880.8995300001</v>
      </c>
      <c r="G34" s="341">
        <f>SUM(G28:G33)</f>
        <v>1</v>
      </c>
      <c r="H34" s="341">
        <f>(E34-I34)/I34</f>
        <v>-0.1045817680635725</v>
      </c>
      <c r="I34" s="342">
        <f>SUM(I28:I33)</f>
        <v>132389.97797000001</v>
      </c>
      <c r="J34" s="340">
        <f>SUM(J28:J33)</f>
        <v>1413584.22067</v>
      </c>
      <c r="K34" s="341">
        <f>SUM(K28:K33)</f>
        <v>0.99999999999999989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23"/>
      <c r="C35" s="102"/>
      <c r="D35" s="88"/>
      <c r="E35" s="88"/>
      <c r="F35" s="88"/>
      <c r="G35" s="483" t="s">
        <v>278</v>
      </c>
      <c r="H35" s="483"/>
      <c r="I35" s="483"/>
      <c r="J35" s="483"/>
      <c r="K35" s="483"/>
    </row>
    <row r="36" spans="1:20" ht="15" customHeight="1">
      <c r="A36" s="475" t="s">
        <v>277</v>
      </c>
      <c r="B36" s="475"/>
      <c r="C36" s="475"/>
      <c r="D36" s="475"/>
      <c r="E36" s="475"/>
      <c r="F36" s="120"/>
      <c r="G36" s="483"/>
      <c r="H36" s="483"/>
      <c r="I36" s="483"/>
      <c r="J36" s="483"/>
      <c r="K36" s="483"/>
      <c r="M36" s="94"/>
      <c r="N36" s="94"/>
      <c r="O36" s="94"/>
      <c r="P36" s="94"/>
      <c r="Q36" s="94"/>
      <c r="R36" s="94"/>
      <c r="S36" s="94"/>
    </row>
    <row r="37" spans="1:20" ht="15" customHeight="1">
      <c r="A37" s="476" t="str">
        <f>A28</f>
        <v>I. čtvrtletí</v>
      </c>
      <c r="B37" s="477"/>
      <c r="C37" s="477"/>
      <c r="D37" s="477"/>
      <c r="E37" s="477"/>
      <c r="F37" s="126"/>
      <c r="G37" s="478" t="str">
        <f>A28</f>
        <v>I. čtvrtletí</v>
      </c>
      <c r="H37" s="478"/>
      <c r="I37" s="478"/>
      <c r="J37" s="478"/>
      <c r="K37" s="478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Leden</v>
      </c>
      <c r="C42" s="78">
        <f>E13</f>
        <v>44984.639000000003</v>
      </c>
      <c r="D42" s="78">
        <f>I13</f>
        <v>49339.417989999994</v>
      </c>
      <c r="E42" s="76"/>
      <c r="F42" s="76"/>
      <c r="G42" s="76"/>
      <c r="H42" s="95" t="str">
        <f>A7</f>
        <v>Leden</v>
      </c>
      <c r="I42" s="96">
        <f>E13/E34</f>
        <v>0.37947502370419861</v>
      </c>
      <c r="J42" s="96">
        <f>I13/I34</f>
        <v>0.37268242465589402</v>
      </c>
      <c r="K42" s="95"/>
    </row>
    <row r="43" spans="1:20" ht="15" customHeight="1">
      <c r="A43" s="95"/>
      <c r="B43" s="95" t="str">
        <f>A14</f>
        <v>Únor</v>
      </c>
      <c r="C43" s="78">
        <f>E20</f>
        <v>36665.690999999999</v>
      </c>
      <c r="D43" s="78">
        <f>I20</f>
        <v>42017.415990000001</v>
      </c>
      <c r="E43" s="76"/>
      <c r="F43" s="76"/>
      <c r="G43" s="76"/>
      <c r="H43" s="95" t="str">
        <f>A14</f>
        <v>Únor</v>
      </c>
      <c r="I43" s="96">
        <f>E20/E34</f>
        <v>0.30929922459432924</v>
      </c>
      <c r="J43" s="96">
        <f>I20/I34</f>
        <v>0.31737610832990154</v>
      </c>
      <c r="K43" s="95"/>
    </row>
    <row r="44" spans="1:20" ht="15" customHeight="1">
      <c r="A44" s="95"/>
      <c r="B44" s="95" t="str">
        <f>A21</f>
        <v>Březen</v>
      </c>
      <c r="C44" s="78">
        <f>E27</f>
        <v>36894.07</v>
      </c>
      <c r="D44" s="78">
        <f>I27</f>
        <v>41033.143989999997</v>
      </c>
      <c r="E44" s="76"/>
      <c r="F44" s="76"/>
      <c r="G44" s="76"/>
      <c r="H44" s="95" t="str">
        <f>A21</f>
        <v>Březen</v>
      </c>
      <c r="I44" s="96">
        <f>E27/E34</f>
        <v>0.31122575170147221</v>
      </c>
      <c r="J44" s="96">
        <f>I27/I34</f>
        <v>0.30994146701420433</v>
      </c>
      <c r="K44" s="95"/>
    </row>
    <row r="45" spans="1:20" ht="15" customHeight="1">
      <c r="A45" s="95"/>
      <c r="B45" s="95"/>
      <c r="C45" s="78">
        <f>SUM(C42:C44)</f>
        <v>118544.4</v>
      </c>
      <c r="D45" s="78">
        <f>SUM(D42:D44)</f>
        <v>132389.97797000001</v>
      </c>
      <c r="E45" s="95"/>
      <c r="F45" s="95"/>
      <c r="G45" s="95"/>
      <c r="H45" s="95"/>
      <c r="I45" s="97">
        <f>SUM(I42:I44)</f>
        <v>1</v>
      </c>
      <c r="J45" s="97">
        <f>SUM(J42:J44)</f>
        <v>0.99999999999999989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I3:K4"/>
    <mergeCell ref="E3:G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9" t="s">
        <v>308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</row>
    <row r="2" spans="1:21" ht="6" customHeight="1">
      <c r="A2" s="484"/>
      <c r="B2" s="484"/>
      <c r="C2" s="484"/>
      <c r="D2" s="335"/>
      <c r="E2" s="335"/>
      <c r="F2" s="336"/>
      <c r="G2" s="337"/>
      <c r="H2" s="337"/>
      <c r="I2" s="337"/>
      <c r="J2" s="299"/>
      <c r="K2" s="299"/>
    </row>
    <row r="3" spans="1:21" ht="15" customHeight="1">
      <c r="A3" s="494" t="s">
        <v>34</v>
      </c>
      <c r="B3" s="494"/>
      <c r="C3" s="494"/>
      <c r="D3" s="370">
        <f>'3.1'!A4</f>
        <v>2022</v>
      </c>
      <c r="E3" s="497"/>
      <c r="F3" s="497"/>
      <c r="G3" s="497"/>
      <c r="H3" s="369"/>
      <c r="I3" s="496">
        <f>D3-1</f>
        <v>2021</v>
      </c>
      <c r="J3" s="497"/>
      <c r="K3" s="497"/>
    </row>
    <row r="4" spans="1:21" ht="50.1" customHeight="1">
      <c r="A4" s="495"/>
      <c r="B4" s="495"/>
      <c r="C4" s="495"/>
      <c r="D4" s="372"/>
      <c r="E4" s="491"/>
      <c r="F4" s="491"/>
      <c r="G4" s="491"/>
      <c r="H4" s="175"/>
      <c r="I4" s="490"/>
      <c r="J4" s="491"/>
      <c r="K4" s="491"/>
    </row>
    <row r="5" spans="1:21" ht="24.95" customHeight="1">
      <c r="A5" s="494" t="s">
        <v>159</v>
      </c>
      <c r="B5" s="494"/>
      <c r="C5" s="498" t="s">
        <v>185</v>
      </c>
      <c r="D5" s="492" t="s">
        <v>160</v>
      </c>
      <c r="E5" s="486" t="s">
        <v>60</v>
      </c>
      <c r="F5" s="486"/>
      <c r="G5" s="487" t="s">
        <v>33</v>
      </c>
      <c r="H5" s="487" t="s">
        <v>276</v>
      </c>
      <c r="I5" s="485" t="s">
        <v>60</v>
      </c>
      <c r="J5" s="486"/>
      <c r="K5" s="487" t="s">
        <v>33</v>
      </c>
    </row>
    <row r="6" spans="1:21" ht="22.5" customHeight="1">
      <c r="A6" s="495"/>
      <c r="B6" s="495"/>
      <c r="C6" s="499"/>
      <c r="D6" s="493"/>
      <c r="E6" s="222" t="s">
        <v>267</v>
      </c>
      <c r="F6" s="222" t="s">
        <v>268</v>
      </c>
      <c r="G6" s="474"/>
      <c r="H6" s="474"/>
      <c r="I6" s="224" t="s">
        <v>267</v>
      </c>
      <c r="J6" s="222" t="s">
        <v>268</v>
      </c>
      <c r="K6" s="474"/>
    </row>
    <row r="7" spans="1:21" ht="12.95" customHeight="1">
      <c r="A7" s="429" t="str">
        <f>'3.1'!D5</f>
        <v>Leden</v>
      </c>
      <c r="B7" s="429"/>
      <c r="C7" s="165" t="s">
        <v>4</v>
      </c>
      <c r="D7" s="332">
        <v>94</v>
      </c>
      <c r="E7" s="328">
        <v>47750.985000000001</v>
      </c>
      <c r="F7" s="328">
        <v>511041.52035000001</v>
      </c>
      <c r="G7" s="329">
        <f t="shared" ref="G7:G12" si="0">E7/$E$13</f>
        <v>0.98486104826311882</v>
      </c>
      <c r="H7" s="329">
        <f>(E7-I7)/I7</f>
        <v>-0.32700405566473528</v>
      </c>
      <c r="I7" s="332">
        <v>70952.857000000004</v>
      </c>
      <c r="J7" s="328">
        <v>756767.7997320001</v>
      </c>
      <c r="K7" s="329">
        <f>I7/$I$13</f>
        <v>0.96989574402825951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30"/>
      <c r="B8" s="430"/>
      <c r="C8" s="155" t="s">
        <v>5</v>
      </c>
      <c r="D8" s="333">
        <v>131</v>
      </c>
      <c r="E8" s="130">
        <v>125.873</v>
      </c>
      <c r="F8" s="130">
        <v>1328.1959999999999</v>
      </c>
      <c r="G8" s="327">
        <f t="shared" si="0"/>
        <v>2.5961226711453921E-3</v>
      </c>
      <c r="H8" s="327">
        <f t="shared" ref="H8:H11" si="1">(E8-I8)/I8</f>
        <v>-6.2377557785276455E-2</v>
      </c>
      <c r="I8" s="333">
        <v>134.24700000000001</v>
      </c>
      <c r="J8" s="130">
        <v>1421.3030000000001</v>
      </c>
      <c r="K8" s="327">
        <f t="shared" ref="K8:K12" si="2">I8/$I$13</f>
        <v>1.8351000855196256E-3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30"/>
      <c r="B9" s="430"/>
      <c r="C9" s="155" t="s">
        <v>6</v>
      </c>
      <c r="D9" s="333">
        <v>1041</v>
      </c>
      <c r="E9" s="130">
        <v>73.28</v>
      </c>
      <c r="F9" s="130">
        <v>770.99400000000003</v>
      </c>
      <c r="G9" s="327">
        <f t="shared" si="0"/>
        <v>1.511395369471883E-3</v>
      </c>
      <c r="H9" s="327">
        <f t="shared" si="1"/>
        <v>-0.50643560021822442</v>
      </c>
      <c r="I9" s="333">
        <v>148.471</v>
      </c>
      <c r="J9" s="130">
        <v>1561.749</v>
      </c>
      <c r="K9" s="327">
        <f t="shared" si="2"/>
        <v>2.0295361892421005E-3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30"/>
      <c r="B10" s="430"/>
      <c r="C10" s="155" t="s">
        <v>7</v>
      </c>
      <c r="D10" s="333">
        <v>7495</v>
      </c>
      <c r="E10" s="130">
        <v>0</v>
      </c>
      <c r="F10" s="130">
        <v>0</v>
      </c>
      <c r="G10" s="327">
        <f t="shared" si="0"/>
        <v>0</v>
      </c>
      <c r="H10" s="373" t="e">
        <f t="shared" si="1"/>
        <v>#DIV/0!</v>
      </c>
      <c r="I10" s="333">
        <v>0</v>
      </c>
      <c r="J10" s="130">
        <v>0</v>
      </c>
      <c r="K10" s="327">
        <f t="shared" si="2"/>
        <v>0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30"/>
      <c r="B11" s="430"/>
      <c r="C11" s="155" t="s">
        <v>93</v>
      </c>
      <c r="D11" s="333">
        <v>6</v>
      </c>
      <c r="E11" s="130">
        <v>41.201000000000001</v>
      </c>
      <c r="F11" s="130">
        <v>425.483</v>
      </c>
      <c r="G11" s="327">
        <f t="shared" si="0"/>
        <v>8.4976802152853513E-4</v>
      </c>
      <c r="H11" s="327">
        <f t="shared" si="1"/>
        <v>0.75892247267759572</v>
      </c>
      <c r="I11" s="333">
        <v>23.423999999999999</v>
      </c>
      <c r="J11" s="130">
        <v>243.56299999999999</v>
      </c>
      <c r="K11" s="327">
        <f t="shared" si="2"/>
        <v>3.2019623830112929E-4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30"/>
      <c r="B12" s="430"/>
      <c r="C12" s="155" t="s">
        <v>96</v>
      </c>
      <c r="D12" s="333">
        <v>0</v>
      </c>
      <c r="E12" s="130">
        <v>493.65802999999954</v>
      </c>
      <c r="F12" s="130">
        <v>5554.8847459999943</v>
      </c>
      <c r="G12" s="327">
        <f t="shared" si="0"/>
        <v>1.0181665674735415E-2</v>
      </c>
      <c r="H12" s="327">
        <f>(E12-I12)/I12</f>
        <v>-0.73965092749002082</v>
      </c>
      <c r="I12" s="333">
        <v>1896.1390000000004</v>
      </c>
      <c r="J12" s="130">
        <v>20426.379959666665</v>
      </c>
      <c r="K12" s="327">
        <f t="shared" si="2"/>
        <v>2.5919423458677641E-2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1"/>
      <c r="B13" s="431"/>
      <c r="C13" s="339" t="s">
        <v>0</v>
      </c>
      <c r="D13" s="342">
        <v>8767</v>
      </c>
      <c r="E13" s="340">
        <v>48484.997029999999</v>
      </c>
      <c r="F13" s="340">
        <v>519121.07809600001</v>
      </c>
      <c r="G13" s="341">
        <f>SUM(G7:G12)</f>
        <v>1</v>
      </c>
      <c r="H13" s="341">
        <f>(E13-I13)/I13</f>
        <v>-0.3372304617893005</v>
      </c>
      <c r="I13" s="342">
        <v>73155.138000000006</v>
      </c>
      <c r="J13" s="340">
        <v>780420.79469166661</v>
      </c>
      <c r="K13" s="341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29" t="str">
        <f>'3.1'!E5</f>
        <v>Únor</v>
      </c>
      <c r="B14" s="429"/>
      <c r="C14" s="165" t="s">
        <v>4</v>
      </c>
      <c r="D14" s="332">
        <v>94</v>
      </c>
      <c r="E14" s="328">
        <v>18392.179999999997</v>
      </c>
      <c r="F14" s="328">
        <v>196715.82862700001</v>
      </c>
      <c r="G14" s="329">
        <f>E14/$E$20</f>
        <v>0.96185471671749334</v>
      </c>
      <c r="H14" s="329">
        <f>(E14-I14)/I14</f>
        <v>-0.68388281331573908</v>
      </c>
      <c r="I14" s="332">
        <v>58181.524999999994</v>
      </c>
      <c r="J14" s="328">
        <v>620521.30568800005</v>
      </c>
      <c r="K14" s="329">
        <f>I14/$I$20</f>
        <v>0.98979668513223662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30"/>
      <c r="B15" s="430"/>
      <c r="C15" s="155" t="s">
        <v>5</v>
      </c>
      <c r="D15" s="333">
        <v>131</v>
      </c>
      <c r="E15" s="130">
        <v>91.616</v>
      </c>
      <c r="F15" s="130">
        <v>964.98099999999999</v>
      </c>
      <c r="G15" s="327">
        <f t="shared" ref="G15:G19" si="3">E15/$E$20</f>
        <v>4.7912363693042304E-3</v>
      </c>
      <c r="H15" s="327">
        <f t="shared" ref="H15:H17" si="4">(E15-I15)/I15</f>
        <v>-0.24197218292087608</v>
      </c>
      <c r="I15" s="333">
        <v>120.861</v>
      </c>
      <c r="J15" s="130">
        <v>1281.883</v>
      </c>
      <c r="K15" s="327">
        <f t="shared" ref="K15:K19" si="5">I15/$I$20</f>
        <v>2.0561134683521492E-3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30"/>
      <c r="B16" s="430"/>
      <c r="C16" s="155" t="s">
        <v>6</v>
      </c>
      <c r="D16" s="333">
        <v>1043</v>
      </c>
      <c r="E16" s="130">
        <v>57.367999999999995</v>
      </c>
      <c r="F16" s="130">
        <v>607.97299999999996</v>
      </c>
      <c r="G16" s="327">
        <f t="shared" si="3"/>
        <v>3.0001708002340755E-3</v>
      </c>
      <c r="H16" s="327">
        <f t="shared" si="4"/>
        <v>-0.61042788556217287</v>
      </c>
      <c r="I16" s="333">
        <v>147.25900000000001</v>
      </c>
      <c r="J16" s="130">
        <v>1549.143</v>
      </c>
      <c r="K16" s="327">
        <f>I16/$I$20</f>
        <v>2.5052019529547922E-3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30"/>
      <c r="B17" s="430"/>
      <c r="C17" s="155" t="s">
        <v>7</v>
      </c>
      <c r="D17" s="333">
        <v>7507</v>
      </c>
      <c r="E17" s="130">
        <v>0</v>
      </c>
      <c r="F17" s="130">
        <v>0</v>
      </c>
      <c r="G17" s="327">
        <f t="shared" si="3"/>
        <v>0</v>
      </c>
      <c r="H17" s="373" t="e">
        <f t="shared" si="4"/>
        <v>#DIV/0!</v>
      </c>
      <c r="I17" s="333">
        <v>0</v>
      </c>
      <c r="J17" s="130">
        <v>0</v>
      </c>
      <c r="K17" s="327">
        <f>I17/$I$20</f>
        <v>0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30"/>
      <c r="B18" s="430"/>
      <c r="C18" s="155" t="s">
        <v>93</v>
      </c>
      <c r="D18" s="333">
        <v>6</v>
      </c>
      <c r="E18" s="130">
        <v>52.668999999999997</v>
      </c>
      <c r="F18" s="130">
        <v>545.75599999999997</v>
      </c>
      <c r="G18" s="327">
        <f t="shared" si="3"/>
        <v>2.7544274835714778E-3</v>
      </c>
      <c r="H18" s="327">
        <f>(E18-I18)/I18</f>
        <v>1.3491971454058873</v>
      </c>
      <c r="I18" s="333">
        <v>22.42</v>
      </c>
      <c r="J18" s="130">
        <v>233.19</v>
      </c>
      <c r="K18" s="327">
        <f>I18/$I$20</f>
        <v>3.8141388835484714E-4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30"/>
      <c r="B19" s="430"/>
      <c r="C19" s="155" t="s">
        <v>96</v>
      </c>
      <c r="D19" s="333">
        <v>0</v>
      </c>
      <c r="E19" s="130">
        <v>527.74501000000055</v>
      </c>
      <c r="F19" s="130">
        <v>5837.9260310000054</v>
      </c>
      <c r="G19" s="327">
        <f t="shared" si="3"/>
        <v>2.7599448629396912E-2</v>
      </c>
      <c r="H19" s="327">
        <f t="shared" ref="H19" si="6">(E19-I19)/I19</f>
        <v>0.70667545209945359</v>
      </c>
      <c r="I19" s="333">
        <v>309.22399999999948</v>
      </c>
      <c r="J19" s="130">
        <v>3479.7146206666694</v>
      </c>
      <c r="K19" s="327">
        <f t="shared" si="5"/>
        <v>5.2605855581016525E-3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1"/>
      <c r="B20" s="431"/>
      <c r="C20" s="339" t="s">
        <v>0</v>
      </c>
      <c r="D20" s="342">
        <v>8781</v>
      </c>
      <c r="E20" s="340">
        <v>19121.578009999997</v>
      </c>
      <c r="F20" s="340">
        <v>204672.46465800001</v>
      </c>
      <c r="G20" s="341">
        <f>SUM(G14:G19)</f>
        <v>1</v>
      </c>
      <c r="H20" s="341">
        <f>(E20-I20)/I20</f>
        <v>-0.67469957982717932</v>
      </c>
      <c r="I20" s="342">
        <v>58781.28899999999</v>
      </c>
      <c r="J20" s="340">
        <v>627065.23630866676</v>
      </c>
      <c r="K20" s="341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29" t="str">
        <f>'3.1'!F5</f>
        <v>Březen</v>
      </c>
      <c r="B21" s="429"/>
      <c r="C21" s="165" t="s">
        <v>4</v>
      </c>
      <c r="D21" s="332">
        <v>94</v>
      </c>
      <c r="E21" s="328">
        <v>47116.79099999999</v>
      </c>
      <c r="F21" s="328">
        <v>509063.62257999997</v>
      </c>
      <c r="G21" s="329">
        <f>E21/$E$27</f>
        <v>0.97549174876332689</v>
      </c>
      <c r="H21" s="329">
        <f>(E21-I21)/I21</f>
        <v>-0.37941228632669305</v>
      </c>
      <c r="I21" s="332">
        <v>75922.854999999981</v>
      </c>
      <c r="J21" s="328">
        <v>809026.82816599996</v>
      </c>
      <c r="K21" s="329">
        <f>I21/$I$27</f>
        <v>0.97007201440579427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30"/>
      <c r="B22" s="430"/>
      <c r="C22" s="155" t="s">
        <v>5</v>
      </c>
      <c r="D22" s="333">
        <v>132</v>
      </c>
      <c r="E22" s="130">
        <v>98.787000000000006</v>
      </c>
      <c r="F22" s="130">
        <v>1042.152</v>
      </c>
      <c r="G22" s="327">
        <f t="shared" ref="G22:G26" si="7">E22/$E$27</f>
        <v>2.0452560825944786E-3</v>
      </c>
      <c r="H22" s="327">
        <f t="shared" ref="H22:H26" si="8">(E22-I22)/I22</f>
        <v>-2.8948610073526455E-2</v>
      </c>
      <c r="I22" s="333">
        <v>101.732</v>
      </c>
      <c r="J22" s="130">
        <v>1073.472</v>
      </c>
      <c r="K22" s="327">
        <f t="shared" ref="K22:K26" si="9">I22/$I$27</f>
        <v>1.2998373963878241E-3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30"/>
      <c r="B23" s="430"/>
      <c r="C23" s="155" t="s">
        <v>6</v>
      </c>
      <c r="D23" s="333">
        <v>1057</v>
      </c>
      <c r="E23" s="130">
        <v>58.754999999999995</v>
      </c>
      <c r="F23" s="130">
        <v>623.43200000000002</v>
      </c>
      <c r="G23" s="327">
        <f t="shared" si="7"/>
        <v>1.2164456976407683E-3</v>
      </c>
      <c r="H23" s="327">
        <f t="shared" si="8"/>
        <v>-0.59642687877351686</v>
      </c>
      <c r="I23" s="333">
        <v>145.58699999999999</v>
      </c>
      <c r="J23" s="130">
        <v>1529.4380000000001</v>
      </c>
      <c r="K23" s="327">
        <f t="shared" si="9"/>
        <v>1.8601760215852842E-3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30"/>
      <c r="B24" s="430"/>
      <c r="C24" s="155" t="s">
        <v>7</v>
      </c>
      <c r="D24" s="333">
        <v>7510</v>
      </c>
      <c r="E24" s="130">
        <v>0.17599999999999999</v>
      </c>
      <c r="F24" s="130">
        <v>1.875</v>
      </c>
      <c r="G24" s="327">
        <f t="shared" si="7"/>
        <v>3.6438506133056801E-6</v>
      </c>
      <c r="H24" s="373" t="e">
        <f t="shared" si="8"/>
        <v>#DIV/0!</v>
      </c>
      <c r="I24" s="333">
        <v>0</v>
      </c>
      <c r="J24" s="130">
        <v>0</v>
      </c>
      <c r="K24" s="327">
        <f t="shared" si="9"/>
        <v>0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30"/>
      <c r="B25" s="430"/>
      <c r="C25" s="155" t="s">
        <v>93</v>
      </c>
      <c r="D25" s="333">
        <v>6</v>
      </c>
      <c r="E25" s="130">
        <v>71.662000000000006</v>
      </c>
      <c r="F25" s="130">
        <v>743.13499999999999</v>
      </c>
      <c r="G25" s="327">
        <f t="shared" si="7"/>
        <v>1.4836683105154073E-3</v>
      </c>
      <c r="H25" s="327">
        <f t="shared" si="8"/>
        <v>1.811487308250618</v>
      </c>
      <c r="I25" s="333">
        <v>25.489000000000001</v>
      </c>
      <c r="J25" s="130">
        <v>263.58199999999999</v>
      </c>
      <c r="K25" s="327">
        <f t="shared" si="9"/>
        <v>3.2567486529832548E-4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30"/>
      <c r="B26" s="430"/>
      <c r="C26" s="155" t="s">
        <v>96</v>
      </c>
      <c r="D26" s="333">
        <v>0</v>
      </c>
      <c r="E26" s="130">
        <v>954.38208999999961</v>
      </c>
      <c r="F26" s="130">
        <v>10292.479037000021</v>
      </c>
      <c r="G26" s="327">
        <f t="shared" si="7"/>
        <v>1.9759237295309408E-2</v>
      </c>
      <c r="H26" s="327">
        <f t="shared" si="8"/>
        <v>-0.53883690881565793</v>
      </c>
      <c r="I26" s="333">
        <v>2069.5110000000013</v>
      </c>
      <c r="J26" s="130">
        <v>22155.679144666679</v>
      </c>
      <c r="K26" s="327">
        <f t="shared" si="9"/>
        <v>2.6442297310934258E-2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1"/>
      <c r="B27" s="431"/>
      <c r="C27" s="339" t="s">
        <v>0</v>
      </c>
      <c r="D27" s="342">
        <v>8799</v>
      </c>
      <c r="E27" s="340">
        <v>48300.553089999979</v>
      </c>
      <c r="F27" s="340">
        <v>521766.69561699999</v>
      </c>
      <c r="G27" s="341">
        <f>SUM(G21:G26)</f>
        <v>1.0000000000000002</v>
      </c>
      <c r="H27" s="341">
        <f>(E27-I27)/I27</f>
        <v>-0.38286020944641369</v>
      </c>
      <c r="I27" s="342">
        <v>78265.173999999985</v>
      </c>
      <c r="J27" s="340">
        <v>834048.99931066658</v>
      </c>
      <c r="K27" s="341">
        <f>SUM(K21:K26)</f>
        <v>1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00" t="str">
        <f>'3.1'!G5</f>
        <v>I. čtvrtletí</v>
      </c>
      <c r="B28" s="429"/>
      <c r="C28" s="165" t="s">
        <v>4</v>
      </c>
      <c r="D28" s="332">
        <f>D21</f>
        <v>94</v>
      </c>
      <c r="E28" s="328">
        <f>E7+E14+E21</f>
        <v>113259.95599999998</v>
      </c>
      <c r="F28" s="328">
        <f>F7+F14+F21</f>
        <v>1216820.971557</v>
      </c>
      <c r="G28" s="329">
        <f>E28/$E$34</f>
        <v>0.97716126546564952</v>
      </c>
      <c r="H28" s="329">
        <f>(E28-I28)/I28</f>
        <v>-0.44766662392900575</v>
      </c>
      <c r="I28" s="332">
        <f>I7+I14+I21</f>
        <v>205057.23699999996</v>
      </c>
      <c r="J28" s="328">
        <f>J7+J14+J21</f>
        <v>2186315.933586</v>
      </c>
      <c r="K28" s="329">
        <f>I28/$I$34</f>
        <v>0.97552652322567213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30"/>
      <c r="B29" s="430"/>
      <c r="C29" s="155" t="s">
        <v>5</v>
      </c>
      <c r="D29" s="333">
        <f t="shared" ref="D29:D32" si="10">D22</f>
        <v>132</v>
      </c>
      <c r="E29" s="130">
        <f>E8+E15+E22</f>
        <v>316.27600000000001</v>
      </c>
      <c r="F29" s="130">
        <f t="shared" ref="F29" si="11">F8+F15+F22</f>
        <v>3335.3289999999997</v>
      </c>
      <c r="G29" s="327">
        <f t="shared" ref="G29:G33" si="12">E29/$E$34</f>
        <v>2.7287018935131303E-3</v>
      </c>
      <c r="H29" s="327">
        <f t="shared" ref="H29:H31" si="13">(E29-I29)/I29</f>
        <v>-0.11367559690617648</v>
      </c>
      <c r="I29" s="333">
        <f>I8+I15+I22</f>
        <v>356.84000000000003</v>
      </c>
      <c r="J29" s="130">
        <f t="shared" ref="J29" si="14">J8+J15+J22</f>
        <v>3776.6580000000004</v>
      </c>
      <c r="K29" s="327">
        <f t="shared" ref="K29:K33" si="15">I29/$I$34</f>
        <v>1.6976083831064638E-3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30"/>
      <c r="B30" s="430"/>
      <c r="C30" s="155" t="s">
        <v>6</v>
      </c>
      <c r="D30" s="333">
        <f t="shared" si="10"/>
        <v>1057</v>
      </c>
      <c r="E30" s="130">
        <f t="shared" ref="E30:F33" si="16">E9+E16+E23</f>
        <v>189.40299999999999</v>
      </c>
      <c r="F30" s="130">
        <f t="shared" si="16"/>
        <v>2002.3990000000001</v>
      </c>
      <c r="G30" s="327">
        <f t="shared" si="12"/>
        <v>1.6340927694073132E-3</v>
      </c>
      <c r="H30" s="327">
        <f t="shared" si="13"/>
        <v>-0.57082324043714616</v>
      </c>
      <c r="I30" s="333">
        <f t="shared" ref="I30:J32" si="17">I9+I16+I23</f>
        <v>441.31700000000001</v>
      </c>
      <c r="J30" s="130">
        <f t="shared" si="17"/>
        <v>4640.33</v>
      </c>
      <c r="K30" s="327">
        <f t="shared" si="15"/>
        <v>2.0994939995723438E-3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30"/>
      <c r="B31" s="430"/>
      <c r="C31" s="155" t="s">
        <v>7</v>
      </c>
      <c r="D31" s="333">
        <f t="shared" si="10"/>
        <v>7510</v>
      </c>
      <c r="E31" s="130">
        <f>E10+E17+E24</f>
        <v>0.17599999999999999</v>
      </c>
      <c r="F31" s="130">
        <f t="shared" si="16"/>
        <v>1.875</v>
      </c>
      <c r="G31" s="327">
        <f t="shared" si="12"/>
        <v>1.5184570857678449E-6</v>
      </c>
      <c r="H31" s="373" t="e">
        <f t="shared" si="13"/>
        <v>#DIV/0!</v>
      </c>
      <c r="I31" s="333">
        <f>I10+I17+I24</f>
        <v>0</v>
      </c>
      <c r="J31" s="130">
        <f t="shared" si="17"/>
        <v>0</v>
      </c>
      <c r="K31" s="327">
        <f t="shared" si="15"/>
        <v>0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30"/>
      <c r="B32" s="430"/>
      <c r="C32" s="155" t="s">
        <v>93</v>
      </c>
      <c r="D32" s="333">
        <f t="shared" si="10"/>
        <v>6</v>
      </c>
      <c r="E32" s="130">
        <f>E11+E18+E25</f>
        <v>165.53200000000001</v>
      </c>
      <c r="F32" s="130">
        <f t="shared" si="16"/>
        <v>1714.374</v>
      </c>
      <c r="G32" s="327">
        <f t="shared" si="12"/>
        <v>1.4281433995529712E-3</v>
      </c>
      <c r="H32" s="327">
        <f>(E32-I32)/I32</f>
        <v>1.3205528997799056</v>
      </c>
      <c r="I32" s="333">
        <f>I11+I18+I25</f>
        <v>71.332999999999998</v>
      </c>
      <c r="J32" s="130">
        <f t="shared" si="17"/>
        <v>740.33500000000004</v>
      </c>
      <c r="K32" s="327">
        <f t="shared" si="15"/>
        <v>3.3935516980196552E-4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30"/>
      <c r="B33" s="430"/>
      <c r="C33" s="155" t="s">
        <v>96</v>
      </c>
      <c r="D33" s="333"/>
      <c r="E33" s="130">
        <f t="shared" si="16"/>
        <v>1975.7851299999998</v>
      </c>
      <c r="F33" s="130">
        <f t="shared" si="16"/>
        <v>21685.289814000018</v>
      </c>
      <c r="G33" s="327">
        <f t="shared" si="12"/>
        <v>1.7046278014791149E-2</v>
      </c>
      <c r="H33" s="327">
        <f t="shared" ref="H33" si="18">(E33-I33)/I33</f>
        <v>-0.53781441745417546</v>
      </c>
      <c r="I33" s="333">
        <f t="shared" ref="I33:J33" si="19">I12+I19+I26</f>
        <v>4274.8740000000016</v>
      </c>
      <c r="J33" s="130">
        <f t="shared" si="19"/>
        <v>46061.773725000014</v>
      </c>
      <c r="K33" s="327">
        <f t="shared" si="15"/>
        <v>2.0337019221846945E-2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31"/>
      <c r="B34" s="431"/>
      <c r="C34" s="339" t="s">
        <v>0</v>
      </c>
      <c r="D34" s="342">
        <f>SUM(D28:D33)</f>
        <v>8799</v>
      </c>
      <c r="E34" s="340">
        <f>SUM(E28:E33)</f>
        <v>115907.12813</v>
      </c>
      <c r="F34" s="340">
        <f>SUM(F28:F33)</f>
        <v>1245560.2383709999</v>
      </c>
      <c r="G34" s="341">
        <f>SUM(G28:G33)</f>
        <v>0.99999999999999989</v>
      </c>
      <c r="H34" s="341">
        <f>(E34-I34)/I34</f>
        <v>-0.44859065022059463</v>
      </c>
      <c r="I34" s="342">
        <f>SUM(I28:I33)</f>
        <v>210201.601</v>
      </c>
      <c r="J34" s="340">
        <f>SUM(J28:J33)</f>
        <v>2241535.0303110001</v>
      </c>
      <c r="K34" s="341">
        <f>SUM(K28:K33)</f>
        <v>0.99999999999999989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23"/>
      <c r="C35" s="102"/>
      <c r="D35" s="88"/>
      <c r="E35" s="88"/>
      <c r="F35" s="88"/>
      <c r="G35" s="483" t="s">
        <v>278</v>
      </c>
      <c r="H35" s="483"/>
      <c r="I35" s="483"/>
      <c r="J35" s="483"/>
      <c r="K35" s="483"/>
    </row>
    <row r="36" spans="1:20" ht="15" customHeight="1">
      <c r="A36" s="475" t="s">
        <v>277</v>
      </c>
      <c r="B36" s="475"/>
      <c r="C36" s="475"/>
      <c r="D36" s="475"/>
      <c r="E36" s="475"/>
      <c r="F36" s="120"/>
      <c r="G36" s="483"/>
      <c r="H36" s="483"/>
      <c r="I36" s="483"/>
      <c r="J36" s="483"/>
      <c r="K36" s="483"/>
      <c r="M36" s="94"/>
      <c r="N36" s="94"/>
      <c r="O36" s="94"/>
      <c r="P36" s="94"/>
      <c r="Q36" s="94"/>
      <c r="R36" s="94"/>
      <c r="S36" s="94"/>
    </row>
    <row r="37" spans="1:20" ht="15" customHeight="1">
      <c r="A37" s="476" t="str">
        <f>A28</f>
        <v>I. čtvrtletí</v>
      </c>
      <c r="B37" s="476"/>
      <c r="C37" s="476"/>
      <c r="D37" s="476"/>
      <c r="E37" s="476"/>
      <c r="F37" s="126"/>
      <c r="G37" s="478" t="str">
        <f>A28</f>
        <v>I. čtvrtletí</v>
      </c>
      <c r="H37" s="478"/>
      <c r="I37" s="478"/>
      <c r="J37" s="478"/>
      <c r="K37" s="478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Leden</v>
      </c>
      <c r="C42" s="78">
        <f>E13</f>
        <v>48484.997029999999</v>
      </c>
      <c r="D42" s="78">
        <f>I13</f>
        <v>73155.138000000006</v>
      </c>
      <c r="E42" s="76"/>
      <c r="F42" s="76"/>
      <c r="G42" s="76"/>
      <c r="H42" s="95" t="str">
        <f>A7</f>
        <v>Leden</v>
      </c>
      <c r="I42" s="96">
        <f>E13/E34</f>
        <v>0.41830901871384329</v>
      </c>
      <c r="J42" s="96">
        <f>I13/I34</f>
        <v>0.34802369559497315</v>
      </c>
      <c r="K42" s="95"/>
    </row>
    <row r="43" spans="1:20" ht="15" customHeight="1">
      <c r="A43" s="95"/>
      <c r="B43" s="95" t="str">
        <f>A14</f>
        <v>Únor</v>
      </c>
      <c r="C43" s="78">
        <f>E20</f>
        <v>19121.578009999997</v>
      </c>
      <c r="D43" s="78">
        <f>I20</f>
        <v>58781.28899999999</v>
      </c>
      <c r="E43" s="76"/>
      <c r="F43" s="76"/>
      <c r="G43" s="76"/>
      <c r="H43" s="95" t="str">
        <f>A14</f>
        <v>Únor</v>
      </c>
      <c r="I43" s="96">
        <f>E20/E34</f>
        <v>0.16497327057015401</v>
      </c>
      <c r="J43" s="96">
        <f>I20/I34</f>
        <v>0.27964244192412213</v>
      </c>
      <c r="K43" s="95"/>
    </row>
    <row r="44" spans="1:20" ht="15" customHeight="1">
      <c r="A44" s="95"/>
      <c r="B44" s="95" t="str">
        <f>A21</f>
        <v>Březen</v>
      </c>
      <c r="C44" s="78">
        <f>E27</f>
        <v>48300.553089999979</v>
      </c>
      <c r="D44" s="78">
        <f>I27</f>
        <v>78265.173999999985</v>
      </c>
      <c r="E44" s="76"/>
      <c r="F44" s="76"/>
      <c r="G44" s="76"/>
      <c r="H44" s="95" t="str">
        <f>A21</f>
        <v>Březen</v>
      </c>
      <c r="I44" s="96">
        <f>E27/E34</f>
        <v>0.41671771071600255</v>
      </c>
      <c r="J44" s="96">
        <f>I27/I34</f>
        <v>0.37233386248090461</v>
      </c>
      <c r="K44" s="95"/>
    </row>
    <row r="45" spans="1:20" ht="15" customHeight="1">
      <c r="A45" s="95"/>
      <c r="B45" s="95"/>
      <c r="C45" s="78">
        <f>SUM(C42:C44)</f>
        <v>115907.12812999997</v>
      </c>
      <c r="D45" s="78">
        <f>SUM(D42:D44)</f>
        <v>210201.60099999997</v>
      </c>
      <c r="E45" s="95"/>
      <c r="F45" s="95"/>
      <c r="G45" s="95"/>
      <c r="H45" s="95"/>
      <c r="I45" s="97">
        <f>SUM(I42:I44)</f>
        <v>0.99999999999999978</v>
      </c>
      <c r="J45" s="97">
        <f>SUM(J42:J44)</f>
        <v>0.99999999999999989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503" t="s">
        <v>206</v>
      </c>
      <c r="B52" s="503"/>
      <c r="C52" s="503"/>
      <c r="D52" s="503"/>
      <c r="E52" s="503"/>
      <c r="F52" s="503"/>
      <c r="G52" s="503"/>
      <c r="H52" s="503"/>
      <c r="I52" s="503"/>
      <c r="J52" s="503"/>
      <c r="K52" s="503"/>
    </row>
    <row r="53" spans="1:11" ht="15" customHeight="1">
      <c r="A53" s="503"/>
      <c r="B53" s="503"/>
      <c r="C53" s="503"/>
      <c r="D53" s="503"/>
      <c r="E53" s="503"/>
      <c r="F53" s="503"/>
      <c r="G53" s="503"/>
      <c r="H53" s="503"/>
      <c r="I53" s="503"/>
      <c r="J53" s="503"/>
      <c r="K53" s="503"/>
    </row>
    <row r="54" spans="1:11" ht="15" customHeight="1">
      <c r="A54" s="503"/>
      <c r="B54" s="503"/>
      <c r="C54" s="503"/>
      <c r="D54" s="503"/>
      <c r="E54" s="503"/>
      <c r="F54" s="503"/>
      <c r="G54" s="503"/>
      <c r="H54" s="503"/>
      <c r="I54" s="503"/>
      <c r="J54" s="503"/>
      <c r="K54" s="503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  <mergeCell ref="A52:K54"/>
    <mergeCell ref="A7:B13"/>
    <mergeCell ref="A14:B20"/>
    <mergeCell ref="A21:B27"/>
    <mergeCell ref="A28:B34"/>
    <mergeCell ref="A36:E36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4" t="str">
        <f>"5.6 Spotřeba zemního plynu a teplota ovzduší: "&amp;LOWER(A3)</f>
        <v>5.6 Spotřeba zemního plynu a teplota ovzduší: leden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ht="6" customHeight="1">
      <c r="A2" s="508"/>
      <c r="B2" s="508"/>
      <c r="C2" s="320"/>
      <c r="D2" s="321"/>
      <c r="E2" s="322"/>
      <c r="F2" s="322"/>
      <c r="G2" s="322"/>
      <c r="H2" s="322"/>
      <c r="I2" s="76"/>
      <c r="J2" s="76"/>
      <c r="K2" s="76"/>
    </row>
    <row r="3" spans="1:11" ht="18.75" customHeight="1">
      <c r="A3" s="511" t="str">
        <f>'3.1'!D5</f>
        <v>Leden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</row>
    <row r="4" spans="1:11" ht="24.95" customHeight="1">
      <c r="A4" s="129"/>
      <c r="B4" s="272">
        <f>'3.1'!A4</f>
        <v>2022</v>
      </c>
      <c r="C4" s="505" t="s">
        <v>60</v>
      </c>
      <c r="D4" s="506"/>
      <c r="E4" s="506"/>
      <c r="F4" s="507"/>
      <c r="G4" s="505" t="s">
        <v>187</v>
      </c>
      <c r="H4" s="506"/>
      <c r="I4" s="506"/>
      <c r="J4" s="506"/>
      <c r="K4" s="506"/>
    </row>
    <row r="5" spans="1:11" ht="22.5">
      <c r="A5" s="292"/>
      <c r="B5" s="487" t="s">
        <v>186</v>
      </c>
      <c r="C5" s="374"/>
      <c r="D5" s="375"/>
      <c r="E5" s="487" t="s">
        <v>285</v>
      </c>
      <c r="F5" s="509" t="s">
        <v>288</v>
      </c>
      <c r="G5" s="376" t="s">
        <v>62</v>
      </c>
      <c r="H5" s="377" t="s">
        <v>174</v>
      </c>
      <c r="I5" s="377" t="s">
        <v>175</v>
      </c>
      <c r="J5" s="377" t="s">
        <v>286</v>
      </c>
      <c r="K5" s="377" t="s">
        <v>287</v>
      </c>
    </row>
    <row r="6" spans="1:11" ht="24.95" customHeight="1">
      <c r="A6" s="378" t="s">
        <v>289</v>
      </c>
      <c r="B6" s="474"/>
      <c r="C6" s="224" t="s">
        <v>267</v>
      </c>
      <c r="D6" s="222" t="s">
        <v>268</v>
      </c>
      <c r="E6" s="474"/>
      <c r="F6" s="510"/>
      <c r="G6" s="379" t="s">
        <v>235</v>
      </c>
      <c r="H6" s="380" t="s">
        <v>235</v>
      </c>
      <c r="I6" s="380" t="s">
        <v>235</v>
      </c>
      <c r="J6" s="380" t="s">
        <v>235</v>
      </c>
      <c r="K6" s="380" t="s">
        <v>235</v>
      </c>
    </row>
    <row r="7" spans="1:11" ht="15.95" customHeight="1">
      <c r="A7" s="155" t="s">
        <v>20</v>
      </c>
      <c r="B7" s="130">
        <f>'5.2'!D13</f>
        <v>413929</v>
      </c>
      <c r="C7" s="333">
        <f>'5.2'!E13</f>
        <v>130387.01038711204</v>
      </c>
      <c r="D7" s="130">
        <f>'5.2'!F13</f>
        <v>1394340.13053</v>
      </c>
      <c r="E7" s="327">
        <f>C7/$C$11</f>
        <v>0.11495308368652318</v>
      </c>
      <c r="F7" s="353">
        <f>'5.2'!H13</f>
        <v>-7.6821321500547379E-2</v>
      </c>
      <c r="G7" s="351">
        <v>2.4516129032258061</v>
      </c>
      <c r="H7" s="345">
        <v>10.1</v>
      </c>
      <c r="I7" s="345">
        <v>-2</v>
      </c>
      <c r="J7" s="345">
        <v>-0.60000000000000009</v>
      </c>
      <c r="K7" s="345">
        <v>3.0516129032258061</v>
      </c>
    </row>
    <row r="8" spans="1:11" ht="15.95" customHeight="1">
      <c r="A8" s="155" t="s">
        <v>87</v>
      </c>
      <c r="B8" s="130">
        <f>'5.3'!D13</f>
        <v>2280450</v>
      </c>
      <c r="C8" s="333">
        <f>'5.3'!E13</f>
        <v>910406.18678079627</v>
      </c>
      <c r="D8" s="130">
        <f>'5.3'!F13</f>
        <v>9725046.5487500001</v>
      </c>
      <c r="E8" s="327">
        <f t="shared" ref="E8:E10" si="0">C8/$C$11</f>
        <v>0.80264129277164364</v>
      </c>
      <c r="F8" s="353">
        <f>'5.3'!H13</f>
        <v>-9.8051893591394518E-2</v>
      </c>
      <c r="G8" s="351">
        <v>0.81397849462365601</v>
      </c>
      <c r="H8" s="346">
        <v>8.6833333333333336</v>
      </c>
      <c r="I8" s="346">
        <v>-3.7333333333333329</v>
      </c>
      <c r="J8" s="346">
        <v>-1.6333333333333331</v>
      </c>
      <c r="K8" s="345">
        <v>2.4473118279569892</v>
      </c>
    </row>
    <row r="9" spans="1:11" ht="15.95" customHeight="1">
      <c r="A9" s="155" t="s">
        <v>215</v>
      </c>
      <c r="B9" s="130">
        <f>'5.4'!D13</f>
        <v>114780</v>
      </c>
      <c r="C9" s="333">
        <f>'5.4'!E13</f>
        <v>44984.639000000003</v>
      </c>
      <c r="D9" s="130">
        <f>'5.4'!F13</f>
        <v>480281.85199000005</v>
      </c>
      <c r="E9" s="327">
        <f t="shared" si="0"/>
        <v>3.9659801664462195E-2</v>
      </c>
      <c r="F9" s="353">
        <f>'5.4'!H13</f>
        <v>-8.8261661110040024E-2</v>
      </c>
      <c r="G9" s="351">
        <v>0.76451612903225841</v>
      </c>
      <c r="H9" s="346">
        <v>8.1</v>
      </c>
      <c r="I9" s="346">
        <v>-4.5999999999999996</v>
      </c>
      <c r="J9" s="346">
        <v>-2.1000000000000005</v>
      </c>
      <c r="K9" s="345">
        <v>2.8645161290322587</v>
      </c>
    </row>
    <row r="10" spans="1:11" ht="15.95" customHeight="1">
      <c r="A10" s="155" t="s">
        <v>32</v>
      </c>
      <c r="B10" s="130">
        <f>'5.5'!D13</f>
        <v>8767</v>
      </c>
      <c r="C10" s="333">
        <f>'5.5'!E13</f>
        <v>48484.997029999999</v>
      </c>
      <c r="D10" s="130">
        <f>'5.5'!F13</f>
        <v>519121.07809600001</v>
      </c>
      <c r="E10" s="327">
        <f t="shared" si="0"/>
        <v>4.2745821877371033E-2</v>
      </c>
      <c r="F10" s="353">
        <f>'5.5'!H13</f>
        <v>-0.3372304617893005</v>
      </c>
      <c r="G10" s="351">
        <v>0.78709677419354818</v>
      </c>
      <c r="H10" s="346">
        <v>8.6</v>
      </c>
      <c r="I10" s="346">
        <v>-3.8</v>
      </c>
      <c r="J10" s="346">
        <v>-1.2258064516129035</v>
      </c>
      <c r="K10" s="345">
        <v>2.0129032258064514</v>
      </c>
    </row>
    <row r="11" spans="1:11" ht="15.95" customHeight="1">
      <c r="A11" s="160" t="s">
        <v>3</v>
      </c>
      <c r="B11" s="330">
        <f>SUM(B7:B10)</f>
        <v>2817926</v>
      </c>
      <c r="C11" s="334">
        <f>SUM(C7:C10)</f>
        <v>1134262.8331979082</v>
      </c>
      <c r="D11" s="330">
        <f t="shared" ref="D11:E11" si="1">SUM(D7:D10)</f>
        <v>12118789.609366</v>
      </c>
      <c r="E11" s="331">
        <f t="shared" si="1"/>
        <v>1</v>
      </c>
      <c r="F11" s="354">
        <f>'5.1'!H14</f>
        <v>-0.10906081135943572</v>
      </c>
      <c r="G11" s="352">
        <v>0.78709677419354818</v>
      </c>
      <c r="H11" s="350">
        <v>8.6</v>
      </c>
      <c r="I11" s="350">
        <v>-3.8</v>
      </c>
      <c r="J11" s="350">
        <v>-1.2258064516129035</v>
      </c>
      <c r="K11" s="349">
        <v>2.0129032258064514</v>
      </c>
    </row>
    <row r="12" spans="1:11" ht="15" customHeight="1">
      <c r="A12" s="102"/>
      <c r="B12" s="95"/>
      <c r="C12" s="512" t="s">
        <v>246</v>
      </c>
      <c r="D12" s="512"/>
      <c r="E12" s="512"/>
      <c r="F12" s="512"/>
      <c r="G12" s="515" t="s">
        <v>247</v>
      </c>
      <c r="H12" s="515"/>
      <c r="I12" s="515"/>
      <c r="J12" s="515"/>
      <c r="K12" s="515"/>
    </row>
    <row r="13" spans="1:11" ht="15" customHeight="1">
      <c r="A13" s="95"/>
      <c r="B13" s="95"/>
      <c r="C13" s="512"/>
      <c r="D13" s="512"/>
      <c r="E13" s="512"/>
      <c r="F13" s="512"/>
      <c r="G13" s="515" t="s">
        <v>248</v>
      </c>
      <c r="H13" s="515"/>
      <c r="I13" s="515"/>
      <c r="J13" s="515"/>
      <c r="K13" s="515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6" t="s">
        <v>279</v>
      </c>
      <c r="B16" s="516"/>
      <c r="C16" s="516"/>
      <c r="D16" s="516"/>
      <c r="E16" s="516"/>
      <c r="F16" s="516" t="s">
        <v>280</v>
      </c>
      <c r="G16" s="516"/>
      <c r="H16" s="516"/>
      <c r="I16" s="516"/>
      <c r="J16" s="516"/>
      <c r="K16" s="516"/>
    </row>
    <row r="17" spans="1:11" ht="15" customHeight="1">
      <c r="A17" s="516"/>
      <c r="B17" s="516"/>
      <c r="C17" s="516"/>
      <c r="D17" s="516"/>
      <c r="E17" s="516"/>
      <c r="F17" s="516"/>
      <c r="G17" s="516"/>
      <c r="H17" s="516"/>
      <c r="I17" s="516"/>
      <c r="J17" s="516"/>
      <c r="K17" s="516"/>
    </row>
    <row r="18" spans="1:11" ht="15" customHeight="1">
      <c r="A18" s="125"/>
      <c r="B18" s="513"/>
      <c r="C18" s="513"/>
      <c r="D18" s="125"/>
      <c r="E18" s="125"/>
      <c r="F18" s="125"/>
      <c r="G18" s="125"/>
      <c r="H18" s="513"/>
      <c r="I18" s="513"/>
      <c r="J18" s="125"/>
      <c r="K18" s="125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6" t="s">
        <v>281</v>
      </c>
      <c r="B33" s="477"/>
      <c r="C33" s="477"/>
      <c r="D33" s="477"/>
      <c r="E33" s="477"/>
      <c r="F33" s="516" t="s">
        <v>66</v>
      </c>
      <c r="G33" s="516"/>
      <c r="H33" s="516"/>
      <c r="I33" s="516"/>
      <c r="J33" s="516"/>
      <c r="K33" s="516"/>
    </row>
    <row r="34" spans="1:11" ht="15" customHeight="1">
      <c r="A34" s="477"/>
      <c r="B34" s="477"/>
      <c r="C34" s="477"/>
      <c r="D34" s="477"/>
      <c r="E34" s="477"/>
      <c r="F34" s="516"/>
      <c r="G34" s="516"/>
      <c r="H34" s="516"/>
      <c r="I34" s="516"/>
      <c r="J34" s="516"/>
      <c r="K34" s="516"/>
    </row>
    <row r="35" spans="1:11" ht="15" customHeight="1">
      <c r="A35" s="125"/>
      <c r="B35" s="513"/>
      <c r="C35" s="513"/>
      <c r="D35" s="125"/>
      <c r="E35" s="122"/>
      <c r="F35" s="128"/>
      <c r="G35" s="128"/>
      <c r="H35" s="514"/>
      <c r="I35" s="514"/>
      <c r="J35" s="128"/>
      <c r="K35" s="128"/>
    </row>
    <row r="36" spans="1:11" ht="15" customHeight="1">
      <c r="A36" s="125"/>
      <c r="B36" s="125"/>
      <c r="C36" s="125"/>
      <c r="D36" s="125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  <mergeCell ref="A1:K1"/>
    <mergeCell ref="G4:K4"/>
    <mergeCell ref="B5:B6"/>
    <mergeCell ref="C4:F4"/>
    <mergeCell ref="A2:B2"/>
    <mergeCell ref="E5:E6"/>
    <mergeCell ref="F5:F6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4" t="str">
        <f>"5.7 Spotřeba zemního plynu a teplota ovzduší: "&amp;LOWER(A3)</f>
        <v>5.7 Spotřeba zemního plynu a teplota ovzduší: únor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ht="6" customHeight="1">
      <c r="A2" s="508"/>
      <c r="B2" s="508"/>
      <c r="C2" s="320"/>
      <c r="D2" s="321"/>
      <c r="E2" s="322"/>
      <c r="F2" s="322"/>
      <c r="G2" s="322"/>
      <c r="H2" s="322"/>
      <c r="I2" s="76"/>
      <c r="J2" s="76"/>
      <c r="K2" s="76"/>
    </row>
    <row r="3" spans="1:11" ht="18.75" customHeight="1">
      <c r="A3" s="511" t="str">
        <f>'3.1'!E5</f>
        <v>Únor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</row>
    <row r="4" spans="1:11" ht="24.95" customHeight="1">
      <c r="A4" s="129"/>
      <c r="B4" s="272">
        <f>'3.1'!A4</f>
        <v>2022</v>
      </c>
      <c r="C4" s="505" t="s">
        <v>60</v>
      </c>
      <c r="D4" s="506"/>
      <c r="E4" s="506"/>
      <c r="F4" s="507"/>
      <c r="G4" s="505" t="s">
        <v>187</v>
      </c>
      <c r="H4" s="506"/>
      <c r="I4" s="506"/>
      <c r="J4" s="506"/>
      <c r="K4" s="506"/>
    </row>
    <row r="5" spans="1:11" ht="22.5">
      <c r="A5" s="292"/>
      <c r="B5" s="487" t="s">
        <v>186</v>
      </c>
      <c r="C5" s="374"/>
      <c r="D5" s="375"/>
      <c r="E5" s="487" t="s">
        <v>285</v>
      </c>
      <c r="F5" s="509" t="s">
        <v>288</v>
      </c>
      <c r="G5" s="376" t="s">
        <v>62</v>
      </c>
      <c r="H5" s="377" t="s">
        <v>174</v>
      </c>
      <c r="I5" s="377" t="s">
        <v>175</v>
      </c>
      <c r="J5" s="377" t="s">
        <v>286</v>
      </c>
      <c r="K5" s="377" t="s">
        <v>287</v>
      </c>
    </row>
    <row r="6" spans="1:11" ht="24.95" customHeight="1">
      <c r="A6" s="378" t="s">
        <v>289</v>
      </c>
      <c r="B6" s="474"/>
      <c r="C6" s="224" t="s">
        <v>267</v>
      </c>
      <c r="D6" s="222" t="s">
        <v>268</v>
      </c>
      <c r="E6" s="474"/>
      <c r="F6" s="510"/>
      <c r="G6" s="379" t="s">
        <v>235</v>
      </c>
      <c r="H6" s="380" t="s">
        <v>235</v>
      </c>
      <c r="I6" s="380" t="s">
        <v>235</v>
      </c>
      <c r="J6" s="380" t="s">
        <v>235</v>
      </c>
      <c r="K6" s="380" t="s">
        <v>235</v>
      </c>
    </row>
    <row r="7" spans="1:11" ht="15.95" customHeight="1">
      <c r="A7" s="155" t="s">
        <v>20</v>
      </c>
      <c r="B7" s="130">
        <f>'5.2'!D20</f>
        <v>413851</v>
      </c>
      <c r="C7" s="333">
        <f>'5.2'!E20</f>
        <v>102886.42307283396</v>
      </c>
      <c r="D7" s="130">
        <f>'5.2'!F20</f>
        <v>1103405.49288</v>
      </c>
      <c r="E7" s="327">
        <f>C7/$C$11</f>
        <v>0.11553776175957216</v>
      </c>
      <c r="F7" s="353">
        <f>'5.2'!H20</f>
        <v>-0.21269716114052242</v>
      </c>
      <c r="G7" s="351">
        <v>4.8357142857142845</v>
      </c>
      <c r="H7" s="345">
        <v>8.3000000000000007</v>
      </c>
      <c r="I7" s="345">
        <v>-1</v>
      </c>
      <c r="J7" s="345">
        <v>0.69999999999999962</v>
      </c>
      <c r="K7" s="345">
        <v>4.1357142857142852</v>
      </c>
    </row>
    <row r="8" spans="1:11" ht="15.95" customHeight="1">
      <c r="A8" s="155" t="s">
        <v>87</v>
      </c>
      <c r="B8" s="130">
        <f>'5.3'!D20</f>
        <v>2278991</v>
      </c>
      <c r="C8" s="333">
        <f>'5.3'!E20</f>
        <v>731826.70801090379</v>
      </c>
      <c r="D8" s="130">
        <f>'5.3'!F20</f>
        <v>7826733.2474999987</v>
      </c>
      <c r="E8" s="327">
        <f t="shared" ref="E8:E10" si="0">C8/$C$11</f>
        <v>0.82181513667356987</v>
      </c>
      <c r="F8" s="353">
        <f>'5.3'!H20</f>
        <v>-0.21622962322221398</v>
      </c>
      <c r="G8" s="351">
        <v>3.1053571428571431</v>
      </c>
      <c r="H8" s="346">
        <v>6.6333333333333337</v>
      </c>
      <c r="I8" s="346">
        <v>-1.7666666666666664</v>
      </c>
      <c r="J8" s="346">
        <v>-0.46666666666666673</v>
      </c>
      <c r="K8" s="345">
        <v>3.5720238095238099</v>
      </c>
    </row>
    <row r="9" spans="1:11" ht="15.95" customHeight="1">
      <c r="A9" s="155" t="s">
        <v>215</v>
      </c>
      <c r="B9" s="130">
        <f>'5.4'!D20</f>
        <v>114722</v>
      </c>
      <c r="C9" s="333">
        <f>'5.4'!E20</f>
        <v>36665.690999999999</v>
      </c>
      <c r="D9" s="130">
        <f>'5.4'!F20</f>
        <v>392157.58717999997</v>
      </c>
      <c r="E9" s="327">
        <f t="shared" si="0"/>
        <v>4.1174255504141735E-2</v>
      </c>
      <c r="F9" s="353">
        <f>'5.4'!H20</f>
        <v>-0.12736920783690492</v>
      </c>
      <c r="G9" s="351">
        <v>2.7964285714285717</v>
      </c>
      <c r="H9" s="346">
        <v>7</v>
      </c>
      <c r="I9" s="346">
        <v>-3.5</v>
      </c>
      <c r="J9" s="346">
        <v>-1</v>
      </c>
      <c r="K9" s="345">
        <v>3.7964285714285717</v>
      </c>
    </row>
    <row r="10" spans="1:11" ht="15.95" customHeight="1">
      <c r="A10" s="155" t="s">
        <v>32</v>
      </c>
      <c r="B10" s="130">
        <f>'5.5'!D20</f>
        <v>8781</v>
      </c>
      <c r="C10" s="333">
        <f>'5.5'!E20</f>
        <v>19121.578009999997</v>
      </c>
      <c r="D10" s="130">
        <f>'5.5'!F20</f>
        <v>204672.46465800001</v>
      </c>
      <c r="E10" s="327">
        <f t="shared" si="0"/>
        <v>2.1472846062716176E-2</v>
      </c>
      <c r="F10" s="353">
        <f>'5.5'!H20</f>
        <v>-0.67469957982717932</v>
      </c>
      <c r="G10" s="351">
        <v>3.0892857142857144</v>
      </c>
      <c r="H10" s="346">
        <v>6.7</v>
      </c>
      <c r="I10" s="346">
        <v>-2</v>
      </c>
      <c r="J10" s="346">
        <v>-0.15517241379310354</v>
      </c>
      <c r="K10" s="345">
        <v>3.2444581280788181</v>
      </c>
    </row>
    <row r="11" spans="1:11" ht="15.95" customHeight="1">
      <c r="A11" s="160" t="s">
        <v>3</v>
      </c>
      <c r="B11" s="330">
        <f>SUM(B7:B10)</f>
        <v>2816345</v>
      </c>
      <c r="C11" s="334">
        <f t="shared" ref="C11:E11" si="1">SUM(C7:C10)</f>
        <v>890500.40009373776</v>
      </c>
      <c r="D11" s="330">
        <f t="shared" si="1"/>
        <v>9526968.7922179978</v>
      </c>
      <c r="E11" s="331">
        <f t="shared" si="1"/>
        <v>1</v>
      </c>
      <c r="F11" s="354">
        <f>'5.1'!H21</f>
        <v>-0.23575760835301951</v>
      </c>
      <c r="G11" s="352">
        <v>3.0892857142857144</v>
      </c>
      <c r="H11" s="350">
        <v>6.7</v>
      </c>
      <c r="I11" s="350">
        <v>-2</v>
      </c>
      <c r="J11" s="350">
        <v>-0.15517241379310354</v>
      </c>
      <c r="K11" s="349">
        <v>3.2444581280788181</v>
      </c>
    </row>
    <row r="12" spans="1:11" ht="15" customHeight="1">
      <c r="A12" s="102"/>
      <c r="B12" s="95"/>
      <c r="C12" s="512" t="s">
        <v>246</v>
      </c>
      <c r="D12" s="512"/>
      <c r="E12" s="512"/>
      <c r="F12" s="512"/>
      <c r="G12" s="515" t="s">
        <v>247</v>
      </c>
      <c r="H12" s="515"/>
      <c r="I12" s="515"/>
      <c r="J12" s="515"/>
      <c r="K12" s="515"/>
    </row>
    <row r="13" spans="1:11" ht="15" customHeight="1">
      <c r="A13" s="95"/>
      <c r="B13" s="95"/>
      <c r="C13" s="512"/>
      <c r="D13" s="512"/>
      <c r="E13" s="512"/>
      <c r="F13" s="512"/>
      <c r="G13" s="515" t="s">
        <v>248</v>
      </c>
      <c r="H13" s="515"/>
      <c r="I13" s="515"/>
      <c r="J13" s="515"/>
      <c r="K13" s="515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6" t="s">
        <v>279</v>
      </c>
      <c r="B16" s="516"/>
      <c r="C16" s="516"/>
      <c r="D16" s="516"/>
      <c r="E16" s="516"/>
      <c r="F16" s="516" t="s">
        <v>280</v>
      </c>
      <c r="G16" s="516"/>
      <c r="H16" s="516"/>
      <c r="I16" s="516"/>
      <c r="J16" s="516"/>
      <c r="K16" s="516"/>
    </row>
    <row r="17" spans="1:11" ht="15" customHeight="1">
      <c r="A17" s="516"/>
      <c r="B17" s="516"/>
      <c r="C17" s="516"/>
      <c r="D17" s="516"/>
      <c r="E17" s="516"/>
      <c r="F17" s="516"/>
      <c r="G17" s="516"/>
      <c r="H17" s="516"/>
      <c r="I17" s="516"/>
      <c r="J17" s="516"/>
      <c r="K17" s="516"/>
    </row>
    <row r="18" spans="1:11" ht="15" customHeight="1">
      <c r="A18" s="121"/>
      <c r="B18" s="513"/>
      <c r="C18" s="513"/>
      <c r="D18" s="121"/>
      <c r="E18" s="121"/>
      <c r="F18" s="121"/>
      <c r="G18" s="124"/>
      <c r="H18" s="513"/>
      <c r="I18" s="513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6" t="s">
        <v>281</v>
      </c>
      <c r="B33" s="477"/>
      <c r="C33" s="477"/>
      <c r="D33" s="477"/>
      <c r="E33" s="477"/>
      <c r="F33" s="516" t="s">
        <v>66</v>
      </c>
      <c r="G33" s="516"/>
      <c r="H33" s="516"/>
      <c r="I33" s="516"/>
      <c r="J33" s="516"/>
      <c r="K33" s="516"/>
    </row>
    <row r="34" spans="1:11" ht="15" customHeight="1">
      <c r="A34" s="477"/>
      <c r="B34" s="477"/>
      <c r="C34" s="477"/>
      <c r="D34" s="477"/>
      <c r="E34" s="477"/>
      <c r="F34" s="516"/>
      <c r="G34" s="516"/>
      <c r="H34" s="516"/>
      <c r="I34" s="516"/>
      <c r="J34" s="516"/>
      <c r="K34" s="516"/>
    </row>
    <row r="35" spans="1:11" ht="15" customHeight="1">
      <c r="A35" s="121"/>
      <c r="B35" s="513"/>
      <c r="C35" s="513"/>
      <c r="D35" s="121"/>
      <c r="E35" s="122"/>
      <c r="F35" s="128"/>
      <c r="G35" s="128"/>
      <c r="H35" s="514"/>
      <c r="I35" s="514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  <mergeCell ref="B35:C35"/>
    <mergeCell ref="H35:I35"/>
    <mergeCell ref="H18:I18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4" t="str">
        <f>"5.8 Spotřeba zemního plynu a teplota ovzduší: "&amp;LOWER(A3)</f>
        <v>5.8 Spotřeba zemního plynu a teplota ovzduší: březen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ht="6" customHeight="1">
      <c r="A2" s="508"/>
      <c r="B2" s="508"/>
      <c r="C2" s="320"/>
      <c r="D2" s="321"/>
      <c r="E2" s="322"/>
      <c r="F2" s="322"/>
      <c r="G2" s="322"/>
      <c r="H2" s="322"/>
      <c r="I2" s="76"/>
      <c r="J2" s="76"/>
      <c r="K2" s="76"/>
    </row>
    <row r="3" spans="1:11" ht="18.75" customHeight="1">
      <c r="A3" s="511" t="str">
        <f>'3.1'!F5</f>
        <v>Březen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</row>
    <row r="4" spans="1:11" ht="24.95" customHeight="1">
      <c r="A4" s="129"/>
      <c r="B4" s="272">
        <f>'3.1'!A4</f>
        <v>2022</v>
      </c>
      <c r="C4" s="505" t="s">
        <v>60</v>
      </c>
      <c r="D4" s="506"/>
      <c r="E4" s="506"/>
      <c r="F4" s="507"/>
      <c r="G4" s="505" t="s">
        <v>187</v>
      </c>
      <c r="H4" s="506"/>
      <c r="I4" s="506"/>
      <c r="J4" s="506"/>
      <c r="K4" s="506"/>
    </row>
    <row r="5" spans="1:11" ht="22.5">
      <c r="A5" s="292"/>
      <c r="B5" s="487" t="s">
        <v>186</v>
      </c>
      <c r="C5" s="374"/>
      <c r="D5" s="375"/>
      <c r="E5" s="487" t="s">
        <v>285</v>
      </c>
      <c r="F5" s="509" t="s">
        <v>288</v>
      </c>
      <c r="G5" s="376" t="s">
        <v>62</v>
      </c>
      <c r="H5" s="377" t="s">
        <v>174</v>
      </c>
      <c r="I5" s="377" t="s">
        <v>175</v>
      </c>
      <c r="J5" s="377" t="s">
        <v>286</v>
      </c>
      <c r="K5" s="377" t="s">
        <v>287</v>
      </c>
    </row>
    <row r="6" spans="1:11" ht="24.95" customHeight="1">
      <c r="A6" s="378" t="s">
        <v>289</v>
      </c>
      <c r="B6" s="474"/>
      <c r="C6" s="224" t="s">
        <v>267</v>
      </c>
      <c r="D6" s="222" t="s">
        <v>268</v>
      </c>
      <c r="E6" s="474"/>
      <c r="F6" s="510"/>
      <c r="G6" s="379" t="s">
        <v>235</v>
      </c>
      <c r="H6" s="380" t="s">
        <v>235</v>
      </c>
      <c r="I6" s="380" t="s">
        <v>235</v>
      </c>
      <c r="J6" s="380" t="s">
        <v>235</v>
      </c>
      <c r="K6" s="380" t="s">
        <v>235</v>
      </c>
    </row>
    <row r="7" spans="1:11" ht="15.95" customHeight="1">
      <c r="A7" s="155" t="s">
        <v>20</v>
      </c>
      <c r="B7" s="130">
        <f>'5.2'!D27</f>
        <v>413233</v>
      </c>
      <c r="C7" s="333">
        <f>'5.2'!E27</f>
        <v>100232.52548318211</v>
      </c>
      <c r="D7" s="130">
        <f>'5.2'!F27</f>
        <v>1081827.962102833</v>
      </c>
      <c r="E7" s="327">
        <f>C7/$C$11</f>
        <v>0.10863907201730487</v>
      </c>
      <c r="F7" s="353">
        <f>'5.2'!H27</f>
        <v>-0.10617974115869031</v>
      </c>
      <c r="G7" s="351">
        <v>5.0354838709677425</v>
      </c>
      <c r="H7" s="345">
        <v>12.8</v>
      </c>
      <c r="I7" s="345">
        <v>-0.9</v>
      </c>
      <c r="J7" s="345">
        <v>4.599999999999997</v>
      </c>
      <c r="K7" s="345">
        <v>0.43548387096774555</v>
      </c>
    </row>
    <row r="8" spans="1:11" ht="15.95" customHeight="1">
      <c r="A8" s="155" t="s">
        <v>87</v>
      </c>
      <c r="B8" s="130">
        <f>'5.3'!D27</f>
        <v>2277124</v>
      </c>
      <c r="C8" s="333">
        <f>'5.3'!E27</f>
        <v>737192.34386151319</v>
      </c>
      <c r="D8" s="130">
        <f>'5.3'!F27</f>
        <v>7911417.8751699999</v>
      </c>
      <c r="E8" s="327">
        <f t="shared" ref="E8:E10" si="0">C8/$C$11</f>
        <v>0.79902099392691206</v>
      </c>
      <c r="F8" s="353">
        <f>'5.3'!H27</f>
        <v>-0.14253682812236954</v>
      </c>
      <c r="G8" s="351">
        <v>3.3290322580645162</v>
      </c>
      <c r="H8" s="346">
        <v>9.7666666666666657</v>
      </c>
      <c r="I8" s="346">
        <v>-2.1333333333333333</v>
      </c>
      <c r="J8" s="346">
        <v>3.383333333333336</v>
      </c>
      <c r="K8" s="345">
        <v>-5.4301075268819776E-2</v>
      </c>
    </row>
    <row r="9" spans="1:11" ht="15.95" customHeight="1">
      <c r="A9" s="155" t="s">
        <v>215</v>
      </c>
      <c r="B9" s="130">
        <f>'5.4'!D27</f>
        <v>114581</v>
      </c>
      <c r="C9" s="333">
        <f>'5.4'!E27</f>
        <v>36894.07</v>
      </c>
      <c r="D9" s="130">
        <f>'5.4'!F27</f>
        <v>394441.46036000003</v>
      </c>
      <c r="E9" s="327">
        <f t="shared" si="0"/>
        <v>3.9988392075524501E-2</v>
      </c>
      <c r="F9" s="353">
        <f>'5.4'!H27</f>
        <v>-0.10087148065009867</v>
      </c>
      <c r="G9" s="351">
        <v>2.8967741935483868</v>
      </c>
      <c r="H9" s="346">
        <v>9.4</v>
      </c>
      <c r="I9" s="346">
        <v>-2.7</v>
      </c>
      <c r="J9" s="346">
        <v>2.9000000000000008</v>
      </c>
      <c r="K9" s="345">
        <v>-3.2258064516139662E-3</v>
      </c>
    </row>
    <row r="10" spans="1:11" ht="15.95" customHeight="1">
      <c r="A10" s="155" t="s">
        <v>32</v>
      </c>
      <c r="B10" s="130">
        <f>'5.5'!D27</f>
        <v>8799</v>
      </c>
      <c r="C10" s="333">
        <f>'5.5'!E27</f>
        <v>48300.553089999979</v>
      </c>
      <c r="D10" s="130">
        <f>'5.5'!F27</f>
        <v>521766.69561699999</v>
      </c>
      <c r="E10" s="327">
        <f t="shared" si="0"/>
        <v>5.2351541980258771E-2</v>
      </c>
      <c r="F10" s="353">
        <f>'5.5'!H27</f>
        <v>-0.38286020944641369</v>
      </c>
      <c r="G10" s="351">
        <v>3.3161290322580643</v>
      </c>
      <c r="H10" s="346">
        <v>9.8000000000000007</v>
      </c>
      <c r="I10" s="346">
        <v>-2.1</v>
      </c>
      <c r="J10" s="346">
        <v>3.512903225806451</v>
      </c>
      <c r="K10" s="345">
        <v>-0.19677419354838666</v>
      </c>
    </row>
    <row r="11" spans="1:11" ht="15.95" customHeight="1">
      <c r="A11" s="160" t="s">
        <v>3</v>
      </c>
      <c r="B11" s="330">
        <f>SUM(B7:B10)</f>
        <v>2813737</v>
      </c>
      <c r="C11" s="334">
        <f t="shared" ref="C11:E11" si="1">SUM(C7:C10)</f>
        <v>922619.49243469513</v>
      </c>
      <c r="D11" s="330">
        <f t="shared" si="1"/>
        <v>9909453.9932498317</v>
      </c>
      <c r="E11" s="331">
        <f t="shared" si="1"/>
        <v>1.0000000000000002</v>
      </c>
      <c r="F11" s="354">
        <f>'5.1'!H28</f>
        <v>-0.15447096877579736</v>
      </c>
      <c r="G11" s="352">
        <v>3.3161290322580643</v>
      </c>
      <c r="H11" s="350">
        <v>9.8000000000000007</v>
      </c>
      <c r="I11" s="350">
        <v>-2.1</v>
      </c>
      <c r="J11" s="350">
        <v>3.512903225806451</v>
      </c>
      <c r="K11" s="349">
        <v>-0.19677419354838666</v>
      </c>
    </row>
    <row r="12" spans="1:11" ht="15" customHeight="1">
      <c r="A12" s="102"/>
      <c r="B12" s="95"/>
      <c r="C12" s="512" t="s">
        <v>246</v>
      </c>
      <c r="D12" s="512"/>
      <c r="E12" s="512"/>
      <c r="F12" s="512"/>
      <c r="G12" s="515" t="s">
        <v>247</v>
      </c>
      <c r="H12" s="515"/>
      <c r="I12" s="515"/>
      <c r="J12" s="515"/>
      <c r="K12" s="515"/>
    </row>
    <row r="13" spans="1:11" ht="15" customHeight="1">
      <c r="A13" s="95"/>
      <c r="B13" s="95"/>
      <c r="C13" s="512"/>
      <c r="D13" s="512"/>
      <c r="E13" s="512"/>
      <c r="F13" s="512"/>
      <c r="G13" s="515" t="s">
        <v>248</v>
      </c>
      <c r="H13" s="515"/>
      <c r="I13" s="515"/>
      <c r="J13" s="515"/>
      <c r="K13" s="515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6" t="s">
        <v>279</v>
      </c>
      <c r="B16" s="516"/>
      <c r="C16" s="516"/>
      <c r="D16" s="516"/>
      <c r="E16" s="516"/>
      <c r="F16" s="516" t="s">
        <v>280</v>
      </c>
      <c r="G16" s="516"/>
      <c r="H16" s="516"/>
      <c r="I16" s="516"/>
      <c r="J16" s="516"/>
      <c r="K16" s="516"/>
    </row>
    <row r="17" spans="1:11" ht="15" customHeight="1">
      <c r="A17" s="516"/>
      <c r="B17" s="516"/>
      <c r="C17" s="516"/>
      <c r="D17" s="516"/>
      <c r="E17" s="516"/>
      <c r="F17" s="516"/>
      <c r="G17" s="516"/>
      <c r="H17" s="516"/>
      <c r="I17" s="516"/>
      <c r="J17" s="516"/>
      <c r="K17" s="516"/>
    </row>
    <row r="18" spans="1:11" ht="15" customHeight="1">
      <c r="A18" s="121"/>
      <c r="B18" s="513"/>
      <c r="C18" s="513"/>
      <c r="D18" s="121"/>
      <c r="E18" s="121"/>
      <c r="F18" s="121"/>
      <c r="G18" s="121"/>
      <c r="H18" s="513"/>
      <c r="I18" s="513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6" t="s">
        <v>281</v>
      </c>
      <c r="B33" s="477"/>
      <c r="C33" s="477"/>
      <c r="D33" s="477"/>
      <c r="E33" s="477"/>
      <c r="F33" s="516" t="s">
        <v>66</v>
      </c>
      <c r="G33" s="516"/>
      <c r="H33" s="516"/>
      <c r="I33" s="516"/>
      <c r="J33" s="516"/>
      <c r="K33" s="516"/>
    </row>
    <row r="34" spans="1:11" ht="15" customHeight="1">
      <c r="A34" s="477"/>
      <c r="B34" s="477"/>
      <c r="C34" s="477"/>
      <c r="D34" s="477"/>
      <c r="E34" s="477"/>
      <c r="F34" s="516"/>
      <c r="G34" s="516"/>
      <c r="H34" s="516"/>
      <c r="I34" s="516"/>
      <c r="J34" s="516"/>
      <c r="K34" s="516"/>
    </row>
    <row r="35" spans="1:11" ht="15" customHeight="1">
      <c r="A35" s="121"/>
      <c r="B35" s="513"/>
      <c r="C35" s="513"/>
      <c r="D35" s="121"/>
      <c r="E35" s="122"/>
      <c r="F35" s="128"/>
      <c r="G35" s="128"/>
      <c r="H35" s="514"/>
      <c r="I35" s="514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A2:B2"/>
    <mergeCell ref="C4:F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4" t="str">
        <f>"5.9 Spotřeba zemního plynu a teplota ovzduší: "&amp;(A3)</f>
        <v>5.9 Spotřeba zemního plynu a teplota ovzduší: I. čtvrtletí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ht="6" customHeight="1">
      <c r="A2" s="508"/>
      <c r="B2" s="508"/>
      <c r="C2" s="320"/>
      <c r="D2" s="321"/>
      <c r="E2" s="322"/>
      <c r="F2" s="322"/>
      <c r="G2" s="322"/>
      <c r="H2" s="322"/>
      <c r="I2" s="76"/>
      <c r="J2" s="76"/>
      <c r="K2" s="76"/>
    </row>
    <row r="3" spans="1:11" ht="18.75" customHeight="1">
      <c r="A3" s="511" t="str">
        <f>'3.1'!G5</f>
        <v>I. čtvrtletí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</row>
    <row r="4" spans="1:11" ht="24.95" customHeight="1">
      <c r="A4" s="129"/>
      <c r="B4" s="272">
        <f>'3.1'!A4</f>
        <v>2022</v>
      </c>
      <c r="C4" s="505" t="s">
        <v>60</v>
      </c>
      <c r="D4" s="506"/>
      <c r="E4" s="506"/>
      <c r="F4" s="507"/>
      <c r="G4" s="505" t="s">
        <v>187</v>
      </c>
      <c r="H4" s="506"/>
      <c r="I4" s="506"/>
      <c r="J4" s="506"/>
      <c r="K4" s="506"/>
    </row>
    <row r="5" spans="1:11" ht="22.5" customHeight="1">
      <c r="A5" s="292"/>
      <c r="B5" s="509" t="s">
        <v>186</v>
      </c>
      <c r="C5" s="374"/>
      <c r="D5" s="375"/>
      <c r="E5" s="519" t="s">
        <v>285</v>
      </c>
      <c r="F5" s="520" t="s">
        <v>288</v>
      </c>
      <c r="G5" s="376" t="s">
        <v>62</v>
      </c>
      <c r="H5" s="377" t="s">
        <v>174</v>
      </c>
      <c r="I5" s="377" t="s">
        <v>175</v>
      </c>
      <c r="J5" s="377" t="s">
        <v>286</v>
      </c>
      <c r="K5" s="377" t="s">
        <v>287</v>
      </c>
    </row>
    <row r="6" spans="1:11" ht="24.95" customHeight="1">
      <c r="A6" s="378" t="s">
        <v>289</v>
      </c>
      <c r="B6" s="510"/>
      <c r="C6" s="224" t="s">
        <v>267</v>
      </c>
      <c r="D6" s="222" t="s">
        <v>268</v>
      </c>
      <c r="E6" s="474"/>
      <c r="F6" s="510"/>
      <c r="G6" s="379" t="s">
        <v>235</v>
      </c>
      <c r="H6" s="380" t="s">
        <v>235</v>
      </c>
      <c r="I6" s="380" t="s">
        <v>235</v>
      </c>
      <c r="J6" s="380" t="s">
        <v>235</v>
      </c>
      <c r="K6" s="380" t="s">
        <v>235</v>
      </c>
    </row>
    <row r="7" spans="1:11" ht="15.95" customHeight="1">
      <c r="A7" s="155" t="s">
        <v>20</v>
      </c>
      <c r="B7" s="130">
        <f>'5.2'!D34</f>
        <v>413233</v>
      </c>
      <c r="C7" s="333">
        <f>'5.2'!E34</f>
        <v>333505.95894312812</v>
      </c>
      <c r="D7" s="130">
        <f>'5.2'!F34</f>
        <v>3579573.5855128332</v>
      </c>
      <c r="E7" s="327">
        <f>C7/$C$11</f>
        <v>0.11315325832376932</v>
      </c>
      <c r="F7" s="353">
        <f>'5.2'!H34</f>
        <v>-0.13162749339937438</v>
      </c>
      <c r="G7" s="351">
        <f>AVERAGE('5.6'!G7,'5.7'!G7,'5.8'!G7)</f>
        <v>4.1076036866359447</v>
      </c>
      <c r="H7" s="345">
        <f>MAX('5.6'!H7,'5.7'!H7,'5.8'!H7)</f>
        <v>12.8</v>
      </c>
      <c r="I7" s="345">
        <f>MIN('5.6'!I7,'5.7'!I7,'5.8'!I7)</f>
        <v>-2</v>
      </c>
      <c r="J7" s="345">
        <f>AVERAGE('5.6'!J7,'5.7'!J7,'5.8'!J7)</f>
        <v>1.5666666666666655</v>
      </c>
      <c r="K7" s="345">
        <f>G7-J7</f>
        <v>2.5409370199692791</v>
      </c>
    </row>
    <row r="8" spans="1:11" ht="15.95" customHeight="1">
      <c r="A8" s="155" t="s">
        <v>87</v>
      </c>
      <c r="B8" s="130">
        <f>'5.3'!D34</f>
        <v>2277124</v>
      </c>
      <c r="C8" s="333">
        <f>'5.3'!E34</f>
        <v>2379425.2386532133</v>
      </c>
      <c r="D8" s="130">
        <f>'5.3'!F34</f>
        <v>25463197.67142</v>
      </c>
      <c r="E8" s="327">
        <f t="shared" ref="E8:E10" si="0">C8/$C$11</f>
        <v>0.80730107355393987</v>
      </c>
      <c r="F8" s="353">
        <f>'5.3'!H34</f>
        <v>-0.15106631167565898</v>
      </c>
      <c r="G8" s="351">
        <f>AVERAGE('5.6'!G8,'5.7'!G8,'5.8'!G8)</f>
        <v>2.4161226318484386</v>
      </c>
      <c r="H8" s="346">
        <f>MAX('5.6'!H8,'5.7'!H8,'5.8'!H8)</f>
        <v>9.7666666666666657</v>
      </c>
      <c r="I8" s="346">
        <f>MIN('5.6'!I8,'5.7'!I8,'5.8'!I8)</f>
        <v>-3.7333333333333329</v>
      </c>
      <c r="J8" s="346">
        <f>AVERAGE('5.6'!J8,'5.7'!J8,'5.8'!J8)</f>
        <v>0.42777777777777876</v>
      </c>
      <c r="K8" s="345">
        <f t="shared" ref="K8:K11" si="1">G8-J8</f>
        <v>1.9883448540706599</v>
      </c>
    </row>
    <row r="9" spans="1:11" ht="15.95" customHeight="1">
      <c r="A9" s="155" t="s">
        <v>215</v>
      </c>
      <c r="B9" s="130">
        <f>'5.4'!D34</f>
        <v>114581</v>
      </c>
      <c r="C9" s="333">
        <f>'5.4'!E34</f>
        <v>118544.4</v>
      </c>
      <c r="D9" s="130">
        <f>'5.4'!F34</f>
        <v>1266880.8995300001</v>
      </c>
      <c r="E9" s="327">
        <f t="shared" si="0"/>
        <v>4.0220226224874263E-2</v>
      </c>
      <c r="F9" s="353">
        <f>'5.4'!H34</f>
        <v>-0.1045817680635725</v>
      </c>
      <c r="G9" s="351">
        <f>AVERAGE('5.6'!G9,'5.7'!G9,'5.8'!G9)</f>
        <v>2.1525729646697389</v>
      </c>
      <c r="H9" s="346">
        <f>MAX('5.6'!H9,'5.7'!H9,'5.8'!H9)</f>
        <v>9.4</v>
      </c>
      <c r="I9" s="346">
        <f>MIN('5.6'!I9,'5.7'!I9,'5.8'!I9)</f>
        <v>-4.5999999999999996</v>
      </c>
      <c r="J9" s="346">
        <f>AVERAGE('5.6'!J9,'5.7'!J9,'5.8'!J9)</f>
        <v>-6.6666666666666582E-2</v>
      </c>
      <c r="K9" s="345">
        <f t="shared" si="1"/>
        <v>2.2192396313364053</v>
      </c>
    </row>
    <row r="10" spans="1:11" ht="15.95" customHeight="1">
      <c r="A10" s="155" t="s">
        <v>32</v>
      </c>
      <c r="B10" s="130">
        <f>'5.5'!D34</f>
        <v>8799</v>
      </c>
      <c r="C10" s="333">
        <f>'5.5'!E34</f>
        <v>115907.12813</v>
      </c>
      <c r="D10" s="130">
        <f>'5.5'!F34</f>
        <v>1245560.2383709999</v>
      </c>
      <c r="E10" s="327">
        <f t="shared" si="0"/>
        <v>3.9325441897416387E-2</v>
      </c>
      <c r="F10" s="353">
        <f>'5.5'!H34</f>
        <v>-0.44859065022059463</v>
      </c>
      <c r="G10" s="351">
        <f>AVERAGE('5.6'!G10,'5.7'!G10,'5.8'!G10)</f>
        <v>2.3975038402457756</v>
      </c>
      <c r="H10" s="346">
        <f>MAX('5.6'!H10,'5.7'!H10,'5.8'!H10)</f>
        <v>9.8000000000000007</v>
      </c>
      <c r="I10" s="346">
        <f>MIN('5.6'!I10,'5.7'!I10,'5.8'!I10)</f>
        <v>-3.8</v>
      </c>
      <c r="J10" s="346">
        <f>AVERAGE('5.6'!J10,'5.7'!J10,'5.8'!J10)</f>
        <v>0.71064145346681462</v>
      </c>
      <c r="K10" s="345">
        <f t="shared" si="1"/>
        <v>1.6868623867789609</v>
      </c>
    </row>
    <row r="11" spans="1:11" ht="15.95" customHeight="1">
      <c r="A11" s="160" t="s">
        <v>3</v>
      </c>
      <c r="B11" s="330">
        <f>'5.1'!D35</f>
        <v>2813737</v>
      </c>
      <c r="C11" s="334">
        <f>'5.1'!E35</f>
        <v>2947382.7257263418</v>
      </c>
      <c r="D11" s="330">
        <f>'5.1'!F35</f>
        <v>31555212.394833829</v>
      </c>
      <c r="E11" s="331">
        <f t="shared" ref="E11" si="2">SUM(E7:E10)</f>
        <v>0.99999999999999989</v>
      </c>
      <c r="F11" s="354">
        <f>'5.1'!H35</f>
        <v>-0.16492677214543189</v>
      </c>
      <c r="G11" s="352">
        <f>AVERAGE('5.6'!G11,'5.7'!G11,'5.8'!G11)</f>
        <v>2.3975038402457756</v>
      </c>
      <c r="H11" s="350">
        <f>MAX('5.6'!H11,'5.7'!H11,'5.8'!H11)</f>
        <v>9.8000000000000007</v>
      </c>
      <c r="I11" s="350">
        <f>MIN('5.6'!I11,'5.7'!I11,'5.8'!I11)</f>
        <v>-3.8</v>
      </c>
      <c r="J11" s="350">
        <f>AVERAGE('5.6'!J11,'5.7'!J11,'5.8'!J11)</f>
        <v>0.71064145346681462</v>
      </c>
      <c r="K11" s="349">
        <f t="shared" si="1"/>
        <v>1.6868623867789609</v>
      </c>
    </row>
    <row r="12" spans="1:11" ht="15" customHeight="1">
      <c r="A12" s="102"/>
      <c r="B12" s="95"/>
      <c r="C12" s="512" t="s">
        <v>246</v>
      </c>
      <c r="D12" s="512"/>
      <c r="E12" s="512"/>
      <c r="F12" s="512"/>
      <c r="G12" s="515" t="s">
        <v>247</v>
      </c>
      <c r="H12" s="515"/>
      <c r="I12" s="515"/>
      <c r="J12" s="515"/>
      <c r="K12" s="515"/>
    </row>
    <row r="13" spans="1:11" ht="15" customHeight="1">
      <c r="A13" s="95"/>
      <c r="B13" s="95"/>
      <c r="C13" s="512"/>
      <c r="D13" s="512"/>
      <c r="E13" s="512"/>
      <c r="F13" s="512"/>
      <c r="G13" s="515" t="s">
        <v>248</v>
      </c>
      <c r="H13" s="515"/>
      <c r="I13" s="515"/>
      <c r="J13" s="515"/>
      <c r="K13" s="515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6" t="s">
        <v>279</v>
      </c>
      <c r="B16" s="516"/>
      <c r="C16" s="516"/>
      <c r="D16" s="516"/>
      <c r="E16" s="516"/>
      <c r="F16" s="516" t="s">
        <v>280</v>
      </c>
      <c r="G16" s="516"/>
      <c r="H16" s="516"/>
      <c r="I16" s="516"/>
      <c r="J16" s="516"/>
      <c r="K16" s="516"/>
    </row>
    <row r="17" spans="1:11" ht="15" customHeight="1">
      <c r="A17" s="516"/>
      <c r="B17" s="516"/>
      <c r="C17" s="516"/>
      <c r="D17" s="516"/>
      <c r="E17" s="516"/>
      <c r="F17" s="516"/>
      <c r="G17" s="516"/>
      <c r="H17" s="516"/>
      <c r="I17" s="516"/>
      <c r="J17" s="516"/>
      <c r="K17" s="516"/>
    </row>
    <row r="18" spans="1:11" ht="15" customHeight="1">
      <c r="A18" s="121"/>
      <c r="B18" s="518"/>
      <c r="C18" s="518"/>
      <c r="D18" s="121"/>
      <c r="E18" s="121"/>
      <c r="F18" s="121"/>
      <c r="G18" s="121"/>
      <c r="H18" s="518"/>
      <c r="I18" s="518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6" t="s">
        <v>281</v>
      </c>
      <c r="B33" s="477"/>
      <c r="C33" s="477"/>
      <c r="D33" s="477"/>
      <c r="E33" s="477"/>
      <c r="F33" s="516" t="s">
        <v>66</v>
      </c>
      <c r="G33" s="516"/>
      <c r="H33" s="516"/>
      <c r="I33" s="516"/>
      <c r="J33" s="516"/>
      <c r="K33" s="516"/>
    </row>
    <row r="34" spans="1:11" ht="15" customHeight="1">
      <c r="A34" s="477"/>
      <c r="B34" s="477"/>
      <c r="C34" s="477"/>
      <c r="D34" s="477"/>
      <c r="E34" s="477"/>
      <c r="F34" s="516"/>
      <c r="G34" s="516"/>
      <c r="H34" s="516"/>
      <c r="I34" s="516"/>
      <c r="J34" s="516"/>
      <c r="K34" s="516"/>
    </row>
    <row r="35" spans="1:11" ht="15" customHeight="1">
      <c r="A35" s="121"/>
      <c r="B35" s="518"/>
      <c r="C35" s="518"/>
      <c r="D35" s="121"/>
      <c r="E35" s="122"/>
      <c r="F35" s="128"/>
      <c r="G35" s="128"/>
      <c r="H35" s="517"/>
      <c r="I35" s="517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4:F4"/>
    <mergeCell ref="A2:B2"/>
    <mergeCell ref="A1:K1"/>
    <mergeCell ref="G4:K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5.85546875" style="47" customWidth="1"/>
    <col min="2" max="2" width="90.28515625" style="46" customWidth="1"/>
    <col min="3" max="3" width="3.28515625" style="47" bestFit="1" customWidth="1"/>
    <col min="4" max="4" width="9.140625" style="47" customWidth="1"/>
    <col min="5" max="5" width="9.140625" style="47" hidden="1" customWidth="1"/>
    <col min="6" max="16384" width="9.140625" style="47"/>
  </cols>
  <sheetData>
    <row r="1" spans="1:5" ht="20.25">
      <c r="A1" s="69" t="s">
        <v>250</v>
      </c>
    </row>
    <row r="2" spans="1:5" ht="6" customHeight="1"/>
    <row r="3" spans="1:5" ht="15">
      <c r="A3" s="408" t="str">
        <f>MID(E3,1,1+IF(MID(E3,2,1)&lt;&gt;" ",IF(MID(E3,3,1)&lt;&gt;" ",IF(MID(E3,4,1)&lt;&gt;" ",3,2),1),0))</f>
        <v>1</v>
      </c>
      <c r="B3" s="409" t="str">
        <f>MID(E3,3+IF(MID(E3,2,1)&lt;&gt;" ",IF(MID(E3,3,1)&lt;&gt;" ",IF(MID(E3,4,1)&lt;&gt;" ",3,2),1),0),100)</f>
        <v>ZKRATKY A POJMY</v>
      </c>
      <c r="C3" s="48">
        <v>4</v>
      </c>
      <c r="E3" s="49" t="str">
        <f>'1'!A1</f>
        <v>1 ZKRATKY A POJMY</v>
      </c>
    </row>
    <row r="4" spans="1:5" ht="15">
      <c r="A4" s="408" t="str">
        <f t="shared" ref="A4:A36" si="0">MID(E4,1,1+IF(MID(E4,2,1)&lt;&gt;" ",IF(MID(E4,3,1)&lt;&gt;" ",IF(MID(E4,4,1)&lt;&gt;" ",3,2),1),0))</f>
        <v>2</v>
      </c>
      <c r="B4" s="409" t="str">
        <f t="shared" ref="B4:B36" si="1">MID(E4,3+IF(MID(E4,2,1)&lt;&gt;" ",IF(MID(E4,3,1)&lt;&gt;" ",IF(MID(E4,4,1)&lt;&gt;" ",3,2),1),0),100)</f>
        <v>STRUČNÝ PŘEHLED ZA I. ČTVRTLETÍ 2022</v>
      </c>
      <c r="C4" s="48">
        <v>6</v>
      </c>
      <c r="E4" s="49" t="str">
        <f>'2'!A1</f>
        <v>2 STRUČNÝ PŘEHLED ZA I. ČTVRTLETÍ 2022</v>
      </c>
    </row>
    <row r="5" spans="1:5" ht="15">
      <c r="A5" s="408" t="str">
        <f t="shared" si="0"/>
        <v>3</v>
      </c>
      <c r="B5" s="409" t="str">
        <f t="shared" si="1"/>
        <v>PLYNÁRENSKÁ SOUSTAVA</v>
      </c>
      <c r="C5" s="48">
        <v>7</v>
      </c>
      <c r="E5" s="49" t="str">
        <f>'3.1'!A1</f>
        <v>3 PLYNÁRENSKÁ SOUSTAVA</v>
      </c>
    </row>
    <row r="6" spans="1:5" ht="15">
      <c r="A6" s="408" t="str">
        <f t="shared" si="0"/>
        <v>3.1</v>
      </c>
      <c r="B6" s="409" t="str">
        <f t="shared" si="1"/>
        <v>Čtvrtletní bilance plynárenské soustavy ČR</v>
      </c>
      <c r="C6" s="48">
        <v>7</v>
      </c>
      <c r="E6" s="50" t="str">
        <f>'3.1'!A2</f>
        <v>3.1 Čtvrtletní bilance plynárenské soustavy ČR</v>
      </c>
    </row>
    <row r="7" spans="1:5" ht="15">
      <c r="A7" s="408" t="str">
        <f t="shared" si="0"/>
        <v>3.2</v>
      </c>
      <c r="B7" s="409" t="str">
        <f t="shared" si="1"/>
        <v>Bilance plynárenské soustavy ČR v průběhu roku</v>
      </c>
      <c r="C7" s="48">
        <v>8</v>
      </c>
      <c r="E7" s="50" t="str">
        <f>'3.2'!A1</f>
        <v>3.2 Bilance plynárenské soustavy ČR v průběhu roku</v>
      </c>
    </row>
    <row r="8" spans="1:5" ht="15">
      <c r="A8" s="408" t="str">
        <f t="shared" si="0"/>
        <v>4</v>
      </c>
      <c r="B8" s="409" t="str">
        <f t="shared" si="1"/>
        <v>SPOTŘEBA ZEMNÍHO PLYNU</v>
      </c>
      <c r="C8" s="48">
        <v>9</v>
      </c>
      <c r="E8" s="49" t="str">
        <f>'4.1'!A1</f>
        <v>4 SPOTŘEBA ZEMNÍHO PLYNU</v>
      </c>
    </row>
    <row r="9" spans="1:5" ht="15">
      <c r="A9" s="408" t="str">
        <f t="shared" si="0"/>
        <v>4.1</v>
      </c>
      <c r="B9" s="409" t="str">
        <f t="shared" si="1"/>
        <v>Spotřeba zemního plynu v ČR v průběhu roku</v>
      </c>
      <c r="C9" s="48">
        <v>9</v>
      </c>
      <c r="E9" s="49" t="str">
        <f>'4.1'!A2</f>
        <v>4.1 Spotřeba zemního plynu v ČR v průběhu roku</v>
      </c>
    </row>
    <row r="10" spans="1:5" ht="15">
      <c r="A10" s="408" t="str">
        <f t="shared" si="0"/>
        <v>4.2</v>
      </c>
      <c r="B10" s="409" t="str">
        <f t="shared" si="1"/>
        <v>Spotřeba zemního plynu v ČR podle kategorií zákazníků v průběhu roku</v>
      </c>
      <c r="C10" s="48">
        <v>10</v>
      </c>
      <c r="E10" s="50" t="str">
        <f>'4.2'!A1</f>
        <v>4.2 Spotřeba zemního plynu v ČR podle kategorií zákazníků v průběhu roku</v>
      </c>
    </row>
    <row r="11" spans="1:5" ht="15">
      <c r="A11" s="408" t="str">
        <f t="shared" si="0"/>
        <v>4.3</v>
      </c>
      <c r="B11" s="409" t="str">
        <f t="shared" si="1"/>
        <v>Denní průběh spotřeb zemního plynu v ČR</v>
      </c>
      <c r="C11" s="48">
        <v>11</v>
      </c>
      <c r="E11" s="50" t="str">
        <f>'4.3'!A1</f>
        <v>4.3 Denní průběh spotřeb zemního plynu v ČR</v>
      </c>
    </row>
    <row r="12" spans="1:5" ht="15">
      <c r="A12" s="408" t="str">
        <f t="shared" si="0"/>
        <v>5</v>
      </c>
      <c r="B12" s="409" t="str">
        <f t="shared" si="1"/>
        <v>SPOTŘEBA ZEMNÍHO PLYNU PODLE DISTRIBUČNÍCH SOUSTAV</v>
      </c>
      <c r="C12" s="48">
        <v>12</v>
      </c>
      <c r="E12" s="49" t="str">
        <f>'5.1'!A1</f>
        <v>5 SPOTŘEBA ZEMNÍHO PLYNU PODLE DISTRIBUČNÍCH SOUSTAV</v>
      </c>
    </row>
    <row r="13" spans="1:5" ht="15">
      <c r="A13" s="408" t="str">
        <f t="shared" si="0"/>
        <v>5.1</v>
      </c>
      <c r="B13" s="409" t="str">
        <f t="shared" si="1"/>
        <v>Spotřeba zemního plynu podle kategorií zákazníků v ČR</v>
      </c>
      <c r="C13" s="48">
        <v>12</v>
      </c>
      <c r="E13" s="50" t="str">
        <f>'5.1'!A2</f>
        <v>5.1 Spotřeba zemního plynu podle kategorií zákazníků v ČR</v>
      </c>
    </row>
    <row r="14" spans="1:5" ht="15">
      <c r="A14" s="408" t="str">
        <f t="shared" si="0"/>
        <v>5.2</v>
      </c>
      <c r="B14" s="409" t="str">
        <f t="shared" si="1"/>
        <v>Spotřeba zemního plynu u společnosti PP Distribuce</v>
      </c>
      <c r="C14" s="48">
        <v>13</v>
      </c>
      <c r="E14" s="51" t="str">
        <f>'5.2'!A1</f>
        <v>5.2 Spotřeba zemního plynu u společnosti PP Distribuce</v>
      </c>
    </row>
    <row r="15" spans="1:5" ht="15">
      <c r="A15" s="408" t="str">
        <f t="shared" si="0"/>
        <v>5.3</v>
      </c>
      <c r="B15" s="409" t="str">
        <f t="shared" si="1"/>
        <v>Spotřeba zemního plynu u společnosti GasNet</v>
      </c>
      <c r="C15" s="48">
        <v>14</v>
      </c>
      <c r="E15" s="52" t="str">
        <f>'5.3'!A1</f>
        <v>5.3 Spotřeba zemního plynu u společnosti GasNet</v>
      </c>
    </row>
    <row r="16" spans="1:5" ht="15">
      <c r="A16" s="408" t="str">
        <f t="shared" si="0"/>
        <v>5.4</v>
      </c>
      <c r="B16" s="409" t="str">
        <f t="shared" si="1"/>
        <v>Spotřeba zemního plynu u společnosti EG.D</v>
      </c>
      <c r="C16" s="48">
        <v>15</v>
      </c>
      <c r="E16" s="52" t="str">
        <f>'5.4'!A1</f>
        <v>5.4 Spotřeba zemního plynu u společnosti EG.D</v>
      </c>
    </row>
    <row r="17" spans="1:5" ht="15">
      <c r="A17" s="408" t="str">
        <f t="shared" si="0"/>
        <v>5.5</v>
      </c>
      <c r="B17" s="409" t="str">
        <f t="shared" si="1"/>
        <v>Spotřeba zemního plynu u ostatních společností</v>
      </c>
      <c r="C17" s="48">
        <v>16</v>
      </c>
      <c r="E17" s="52" t="str">
        <f>'5.5'!A1</f>
        <v>5.5 Spotřeba zemního plynu u ostatních společností</v>
      </c>
    </row>
    <row r="18" spans="1:5" ht="15">
      <c r="A18" s="408" t="str">
        <f t="shared" si="0"/>
        <v>5.6</v>
      </c>
      <c r="B18" s="409" t="str">
        <f t="shared" si="1"/>
        <v>Spotřeba zemního plynu a teplota ovzduší: leden</v>
      </c>
      <c r="C18" s="48">
        <v>17</v>
      </c>
      <c r="E18" s="50" t="str">
        <f>'5.6'!A1</f>
        <v>5.6 Spotřeba zemního plynu a teplota ovzduší: leden</v>
      </c>
    </row>
    <row r="19" spans="1:5" ht="15">
      <c r="A19" s="408" t="str">
        <f t="shared" si="0"/>
        <v>5.7</v>
      </c>
      <c r="B19" s="409" t="str">
        <f t="shared" si="1"/>
        <v>Spotřeba zemního plynu a teplota ovzduší: únor</v>
      </c>
      <c r="C19" s="48">
        <v>18</v>
      </c>
      <c r="E19" s="50" t="str">
        <f>'5.7'!A1</f>
        <v>5.7 Spotřeba zemního plynu a teplota ovzduší: únor</v>
      </c>
    </row>
    <row r="20" spans="1:5" ht="15">
      <c r="A20" s="408" t="str">
        <f t="shared" si="0"/>
        <v>5.8</v>
      </c>
      <c r="B20" s="409" t="str">
        <f t="shared" si="1"/>
        <v>Spotřeba zemního plynu a teplota ovzduší: březen</v>
      </c>
      <c r="C20" s="48">
        <v>19</v>
      </c>
      <c r="E20" s="50" t="str">
        <f>'5.8'!A1</f>
        <v>5.8 Spotřeba zemního plynu a teplota ovzduší: březen</v>
      </c>
    </row>
    <row r="21" spans="1:5" ht="15">
      <c r="A21" s="408" t="str">
        <f t="shared" si="0"/>
        <v>5.9</v>
      </c>
      <c r="B21" s="409" t="str">
        <f t="shared" si="1"/>
        <v>Spotřeba zemního plynu a teplota ovzduší: I. čtvrtletí</v>
      </c>
      <c r="C21" s="48">
        <v>20</v>
      </c>
      <c r="E21" s="50" t="str">
        <f>'5.9'!A1</f>
        <v>5.9 Spotřeba zemního plynu a teplota ovzduší: I. čtvrtletí</v>
      </c>
    </row>
    <row r="22" spans="1:5" ht="15">
      <c r="A22" s="408" t="str">
        <f t="shared" si="0"/>
        <v>5.10</v>
      </c>
      <c r="B22" s="409" t="str">
        <f t="shared" si="1"/>
        <v>Spotřeba zemního plynu podle plynárenských soustav v průběhu roku</v>
      </c>
      <c r="C22" s="48">
        <v>21</v>
      </c>
      <c r="E22" s="50" t="str">
        <f>'5.10'!A1</f>
        <v>5.10 Spotřeba zemního plynu podle plynárenských soustav v průběhu roku</v>
      </c>
    </row>
    <row r="23" spans="1:5" ht="15">
      <c r="A23" s="408" t="str">
        <f t="shared" si="0"/>
        <v>6</v>
      </c>
      <c r="B23" s="409" t="str">
        <f t="shared" si="1"/>
        <v>SPOTŘEBA ZEMNÍHO PLYNU PODLE KRAJŮ</v>
      </c>
      <c r="C23" s="48">
        <v>22</v>
      </c>
      <c r="E23" s="49" t="str">
        <f>'6.1'!A1</f>
        <v>6 SPOTŘEBA ZEMNÍHO PLYNU PODLE KRAJŮ</v>
      </c>
    </row>
    <row r="24" spans="1:5" ht="15">
      <c r="A24" s="408" t="str">
        <f t="shared" si="0"/>
        <v>6.1</v>
      </c>
      <c r="B24" s="409" t="str">
        <f t="shared" si="1"/>
        <v>Spotřeba zemního plynu: Jihočeský a Jihomoravský kraj</v>
      </c>
      <c r="C24" s="48">
        <v>22</v>
      </c>
      <c r="E24" s="50" t="str">
        <f>'6.1'!A2</f>
        <v>6.1 Spotřeba zemního plynu: Jihočeský a Jihomoravský kraj</v>
      </c>
    </row>
    <row r="25" spans="1:5" ht="15">
      <c r="A25" s="408" t="str">
        <f t="shared" si="0"/>
        <v>6.2</v>
      </c>
      <c r="B25" s="409" t="str">
        <f t="shared" si="1"/>
        <v>Spotřeba zemního plynu: Karlovarský a Královéhradecký kraj</v>
      </c>
      <c r="C25" s="48">
        <v>23</v>
      </c>
      <c r="E25" s="50" t="str">
        <f>'6.2'!A1</f>
        <v>6.2 Spotřeba zemního plynu: Karlovarský a Královéhradecký kraj</v>
      </c>
    </row>
    <row r="26" spans="1:5" ht="15">
      <c r="A26" s="408" t="str">
        <f t="shared" si="0"/>
        <v>6.3</v>
      </c>
      <c r="B26" s="409" t="str">
        <f t="shared" si="1"/>
        <v>Spotřeba zemního plynu: Liberecký a Moravskoslezský kraj</v>
      </c>
      <c r="C26" s="48">
        <v>24</v>
      </c>
      <c r="E26" s="50" t="str">
        <f>'6.3'!A1</f>
        <v>6.3 Spotřeba zemního plynu: Liberecký a Moravskoslezský kraj</v>
      </c>
    </row>
    <row r="27" spans="1:5" ht="15">
      <c r="A27" s="408" t="str">
        <f t="shared" si="0"/>
        <v>6.4</v>
      </c>
      <c r="B27" s="409" t="str">
        <f t="shared" si="1"/>
        <v>Spotřeba zemního plynu: Olomoucký a Pardubický kraj</v>
      </c>
      <c r="C27" s="48">
        <v>25</v>
      </c>
      <c r="E27" s="50" t="str">
        <f>'6.4'!A1</f>
        <v>6.4 Spotřeba zemního plynu: Olomoucký a Pardubický kraj</v>
      </c>
    </row>
    <row r="28" spans="1:5" ht="15">
      <c r="A28" s="408" t="str">
        <f t="shared" si="0"/>
        <v>6.5</v>
      </c>
      <c r="B28" s="409" t="str">
        <f t="shared" si="1"/>
        <v>Spotřeba zemního plynu: Plzeňský kraj a Hlavní město Praha</v>
      </c>
      <c r="C28" s="48">
        <v>26</v>
      </c>
      <c r="E28" s="50" t="str">
        <f>'6.5'!A1</f>
        <v>6.5 Spotřeba zemního plynu: Plzeňský kraj a Hlavní město Praha</v>
      </c>
    </row>
    <row r="29" spans="1:5" ht="15">
      <c r="A29" s="408" t="str">
        <f t="shared" si="0"/>
        <v>6.6</v>
      </c>
      <c r="B29" s="409" t="str">
        <f t="shared" si="1"/>
        <v>Spotřeba zemního plynu: Středočeský a Ústecký kraj</v>
      </c>
      <c r="C29" s="48">
        <v>27</v>
      </c>
      <c r="E29" s="50" t="str">
        <f>'6.6'!A1</f>
        <v>6.6 Spotřeba zemního plynu: Středočeský a Ústecký kraj</v>
      </c>
    </row>
    <row r="30" spans="1:5" ht="15">
      <c r="A30" s="408" t="str">
        <f t="shared" si="0"/>
        <v>6.7</v>
      </c>
      <c r="B30" s="409" t="str">
        <f t="shared" si="1"/>
        <v>Spotřeba zemního plynu: Kraj Vysočina a Zlínský kraj</v>
      </c>
      <c r="C30" s="48">
        <v>28</v>
      </c>
      <c r="E30" s="50" t="str">
        <f>'6.7'!A1</f>
        <v>6.7 Spotřeba zemního plynu: Kraj Vysočina a Zlínský kraj</v>
      </c>
    </row>
    <row r="31" spans="1:5" ht="15">
      <c r="A31" s="408" t="str">
        <f t="shared" si="0"/>
        <v>6.8</v>
      </c>
      <c r="B31" s="409" t="str">
        <f t="shared" si="1"/>
        <v>Spotřeba zemního plynu a teplota ovzduší podle krajů: leden</v>
      </c>
      <c r="C31" s="48">
        <v>29</v>
      </c>
      <c r="E31" s="50" t="str">
        <f>'6.8'!A1</f>
        <v>6.8 Spotřeba zemního plynu a teplota ovzduší podle krajů: leden</v>
      </c>
    </row>
    <row r="32" spans="1:5" ht="15">
      <c r="A32" s="408" t="str">
        <f t="shared" si="0"/>
        <v>6.9</v>
      </c>
      <c r="B32" s="409" t="str">
        <f t="shared" si="1"/>
        <v>Spotřeba zemního plynu a teplota ovzduší podle krajů: únor</v>
      </c>
      <c r="C32" s="48">
        <v>30</v>
      </c>
      <c r="E32" s="50" t="str">
        <f>'6.9'!A1</f>
        <v>6.9 Spotřeba zemního plynu a teplota ovzduší podle krajů: únor</v>
      </c>
    </row>
    <row r="33" spans="1:5" ht="15">
      <c r="A33" s="408" t="str">
        <f t="shared" si="0"/>
        <v>6.10</v>
      </c>
      <c r="B33" s="409" t="str">
        <f t="shared" si="1"/>
        <v>Spotřeba zemního plynu a teplota ovzduší podle krajů: březen</v>
      </c>
      <c r="C33" s="48">
        <v>31</v>
      </c>
      <c r="E33" s="50" t="str">
        <f>'6.10'!A1</f>
        <v>6.10 Spotřeba zemního plynu a teplota ovzduší podle krajů: březen</v>
      </c>
    </row>
    <row r="34" spans="1:5" ht="15">
      <c r="A34" s="408" t="str">
        <f t="shared" si="0"/>
        <v>6.11</v>
      </c>
      <c r="B34" s="409" t="str">
        <f t="shared" si="1"/>
        <v>Spotřeba zemního plynu a teplota ovzduší podle krajů: I. čtvrtletí</v>
      </c>
      <c r="C34" s="48">
        <v>32</v>
      </c>
      <c r="E34" s="50" t="str">
        <f>'6.11'!A1</f>
        <v>6.11 Spotřeba zemního plynu a teplota ovzduší podle krajů: I. čtvrtletí</v>
      </c>
    </row>
    <row r="35" spans="1:5" ht="15">
      <c r="A35" s="408" t="str">
        <f t="shared" si="0"/>
        <v>6.12</v>
      </c>
      <c r="B35" s="409" t="str">
        <f t="shared" si="1"/>
        <v>Spotřeba zemního plynu podle krajů v ČR v průběhu roku</v>
      </c>
      <c r="C35" s="48">
        <v>33</v>
      </c>
      <c r="E35" s="50" t="str">
        <f>'6.12'!A1</f>
        <v>6.12 Spotřeba zemního plynu podle krajů v ČR v průběhu roku</v>
      </c>
    </row>
    <row r="36" spans="1:5" ht="15">
      <c r="A36" s="408" t="str">
        <f t="shared" si="0"/>
        <v>7</v>
      </c>
      <c r="B36" s="409" t="str">
        <f t="shared" si="1"/>
        <v>MAPA PLYNÁRENSKÉ SOUSTAVY ČR</v>
      </c>
      <c r="C36" s="48">
        <v>35</v>
      </c>
      <c r="E36" s="49" t="str">
        <f>'7'!A1</f>
        <v>7 MAPA PLYNÁRENSKÉ SOUSTAVY ČR</v>
      </c>
    </row>
    <row r="37" spans="1:5" ht="12" customHeight="1">
      <c r="B37" s="53"/>
    </row>
    <row r="38" spans="1:5" ht="12" customHeight="1">
      <c r="B38" s="53"/>
    </row>
    <row r="39" spans="1:5" ht="12" customHeight="1">
      <c r="B39" s="53"/>
    </row>
    <row r="40" spans="1:5" ht="12" customHeight="1">
      <c r="B40" s="53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9.7109375" style="12" customWidth="1"/>
    <col min="2" max="10" width="8.85546875" style="12" customWidth="1"/>
    <col min="11" max="11" width="9" style="12" customWidth="1"/>
    <col min="12" max="12" width="9.28515625" style="12" bestFit="1" customWidth="1"/>
    <col min="13" max="13" width="11.42578125" style="12" bestFit="1" customWidth="1"/>
    <col min="14" max="252" width="9.140625" style="12"/>
    <col min="253" max="265" width="10.7109375" style="12" customWidth="1"/>
    <col min="266" max="508" width="9.140625" style="12"/>
    <col min="509" max="521" width="10.7109375" style="12" customWidth="1"/>
    <col min="522" max="764" width="9.140625" style="12"/>
    <col min="765" max="777" width="10.7109375" style="12" customWidth="1"/>
    <col min="778" max="1020" width="9.140625" style="12"/>
    <col min="1021" max="1033" width="10.7109375" style="12" customWidth="1"/>
    <col min="1034" max="1276" width="9.140625" style="12"/>
    <col min="1277" max="1289" width="10.7109375" style="12" customWidth="1"/>
    <col min="1290" max="1532" width="9.140625" style="12"/>
    <col min="1533" max="1545" width="10.7109375" style="12" customWidth="1"/>
    <col min="1546" max="1788" width="9.140625" style="12"/>
    <col min="1789" max="1801" width="10.7109375" style="12" customWidth="1"/>
    <col min="1802" max="2044" width="9.140625" style="12"/>
    <col min="2045" max="2057" width="10.7109375" style="12" customWidth="1"/>
    <col min="2058" max="2300" width="9.140625" style="12"/>
    <col min="2301" max="2313" width="10.7109375" style="12" customWidth="1"/>
    <col min="2314" max="2556" width="9.140625" style="12"/>
    <col min="2557" max="2569" width="10.7109375" style="12" customWidth="1"/>
    <col min="2570" max="2812" width="9.140625" style="12"/>
    <col min="2813" max="2825" width="10.7109375" style="12" customWidth="1"/>
    <col min="2826" max="3068" width="9.140625" style="12"/>
    <col min="3069" max="3081" width="10.7109375" style="12" customWidth="1"/>
    <col min="3082" max="3324" width="9.140625" style="12"/>
    <col min="3325" max="3337" width="10.7109375" style="12" customWidth="1"/>
    <col min="3338" max="3580" width="9.140625" style="12"/>
    <col min="3581" max="3593" width="10.7109375" style="12" customWidth="1"/>
    <col min="3594" max="3836" width="9.140625" style="12"/>
    <col min="3837" max="3849" width="10.7109375" style="12" customWidth="1"/>
    <col min="3850" max="4092" width="9.140625" style="12"/>
    <col min="4093" max="4105" width="10.7109375" style="12" customWidth="1"/>
    <col min="4106" max="4348" width="9.140625" style="12"/>
    <col min="4349" max="4361" width="10.7109375" style="12" customWidth="1"/>
    <col min="4362" max="4604" width="9.140625" style="12"/>
    <col min="4605" max="4617" width="10.7109375" style="12" customWidth="1"/>
    <col min="4618" max="4860" width="9.140625" style="12"/>
    <col min="4861" max="4873" width="10.7109375" style="12" customWidth="1"/>
    <col min="4874" max="5116" width="9.140625" style="12"/>
    <col min="5117" max="5129" width="10.7109375" style="12" customWidth="1"/>
    <col min="5130" max="5372" width="9.140625" style="12"/>
    <col min="5373" max="5385" width="10.7109375" style="12" customWidth="1"/>
    <col min="5386" max="5628" width="9.140625" style="12"/>
    <col min="5629" max="5641" width="10.7109375" style="12" customWidth="1"/>
    <col min="5642" max="5884" width="9.140625" style="12"/>
    <col min="5885" max="5897" width="10.7109375" style="12" customWidth="1"/>
    <col min="5898" max="6140" width="9.140625" style="12"/>
    <col min="6141" max="6153" width="10.7109375" style="12" customWidth="1"/>
    <col min="6154" max="6396" width="9.140625" style="12"/>
    <col min="6397" max="6409" width="10.7109375" style="12" customWidth="1"/>
    <col min="6410" max="6652" width="9.140625" style="12"/>
    <col min="6653" max="6665" width="10.7109375" style="12" customWidth="1"/>
    <col min="6666" max="6908" width="9.140625" style="12"/>
    <col min="6909" max="6921" width="10.7109375" style="12" customWidth="1"/>
    <col min="6922" max="7164" width="9.140625" style="12"/>
    <col min="7165" max="7177" width="10.7109375" style="12" customWidth="1"/>
    <col min="7178" max="7420" width="9.140625" style="12"/>
    <col min="7421" max="7433" width="10.7109375" style="12" customWidth="1"/>
    <col min="7434" max="7676" width="9.140625" style="12"/>
    <col min="7677" max="7689" width="10.7109375" style="12" customWidth="1"/>
    <col min="7690" max="7932" width="9.140625" style="12"/>
    <col min="7933" max="7945" width="10.7109375" style="12" customWidth="1"/>
    <col min="7946" max="8188" width="9.140625" style="12"/>
    <col min="8189" max="8201" width="10.7109375" style="12" customWidth="1"/>
    <col min="8202" max="8444" width="9.140625" style="12"/>
    <col min="8445" max="8457" width="10.7109375" style="12" customWidth="1"/>
    <col min="8458" max="8700" width="9.140625" style="12"/>
    <col min="8701" max="8713" width="10.7109375" style="12" customWidth="1"/>
    <col min="8714" max="8956" width="9.140625" style="12"/>
    <col min="8957" max="8969" width="10.7109375" style="12" customWidth="1"/>
    <col min="8970" max="9212" width="9.140625" style="12"/>
    <col min="9213" max="9225" width="10.7109375" style="12" customWidth="1"/>
    <col min="9226" max="9468" width="9.140625" style="12"/>
    <col min="9469" max="9481" width="10.7109375" style="12" customWidth="1"/>
    <col min="9482" max="9724" width="9.140625" style="12"/>
    <col min="9725" max="9737" width="10.7109375" style="12" customWidth="1"/>
    <col min="9738" max="9980" width="9.140625" style="12"/>
    <col min="9981" max="9993" width="10.7109375" style="12" customWidth="1"/>
    <col min="9994" max="10236" width="9.140625" style="12"/>
    <col min="10237" max="10249" width="10.7109375" style="12" customWidth="1"/>
    <col min="10250" max="10492" width="9.140625" style="12"/>
    <col min="10493" max="10505" width="10.7109375" style="12" customWidth="1"/>
    <col min="10506" max="10748" width="9.140625" style="12"/>
    <col min="10749" max="10761" width="10.7109375" style="12" customWidth="1"/>
    <col min="10762" max="11004" width="9.140625" style="12"/>
    <col min="11005" max="11017" width="10.7109375" style="12" customWidth="1"/>
    <col min="11018" max="11260" width="9.140625" style="12"/>
    <col min="11261" max="11273" width="10.7109375" style="12" customWidth="1"/>
    <col min="11274" max="11516" width="9.140625" style="12"/>
    <col min="11517" max="11529" width="10.7109375" style="12" customWidth="1"/>
    <col min="11530" max="11772" width="9.140625" style="12"/>
    <col min="11773" max="11785" width="10.7109375" style="12" customWidth="1"/>
    <col min="11786" max="12028" width="9.140625" style="12"/>
    <col min="12029" max="12041" width="10.7109375" style="12" customWidth="1"/>
    <col min="12042" max="12284" width="9.140625" style="12"/>
    <col min="12285" max="12297" width="10.7109375" style="12" customWidth="1"/>
    <col min="12298" max="12540" width="9.140625" style="12"/>
    <col min="12541" max="12553" width="10.7109375" style="12" customWidth="1"/>
    <col min="12554" max="12796" width="9.140625" style="12"/>
    <col min="12797" max="12809" width="10.7109375" style="12" customWidth="1"/>
    <col min="12810" max="13052" width="9.140625" style="12"/>
    <col min="13053" max="13065" width="10.7109375" style="12" customWidth="1"/>
    <col min="13066" max="13308" width="9.140625" style="12"/>
    <col min="13309" max="13321" width="10.7109375" style="12" customWidth="1"/>
    <col min="13322" max="13564" width="9.140625" style="12"/>
    <col min="13565" max="13577" width="10.7109375" style="12" customWidth="1"/>
    <col min="13578" max="13820" width="9.140625" style="12"/>
    <col min="13821" max="13833" width="10.7109375" style="12" customWidth="1"/>
    <col min="13834" max="14076" width="9.140625" style="12"/>
    <col min="14077" max="14089" width="10.7109375" style="12" customWidth="1"/>
    <col min="14090" max="14332" width="9.140625" style="12"/>
    <col min="14333" max="14345" width="10.7109375" style="12" customWidth="1"/>
    <col min="14346" max="14588" width="9.140625" style="12"/>
    <col min="14589" max="14601" width="10.7109375" style="12" customWidth="1"/>
    <col min="14602" max="14844" width="9.140625" style="12"/>
    <col min="14845" max="14857" width="10.7109375" style="12" customWidth="1"/>
    <col min="14858" max="15100" width="9.140625" style="12"/>
    <col min="15101" max="15113" width="10.7109375" style="12" customWidth="1"/>
    <col min="15114" max="15356" width="9.140625" style="12"/>
    <col min="15357" max="15369" width="10.7109375" style="12" customWidth="1"/>
    <col min="15370" max="15612" width="9.140625" style="12"/>
    <col min="15613" max="15625" width="10.7109375" style="12" customWidth="1"/>
    <col min="15626" max="15868" width="9.140625" style="12"/>
    <col min="15869" max="15881" width="10.7109375" style="12" customWidth="1"/>
    <col min="15882" max="16124" width="9.140625" style="12"/>
    <col min="16125" max="16137" width="10.7109375" style="12" customWidth="1"/>
    <col min="16138" max="16384" width="9.140625" style="12"/>
  </cols>
  <sheetData>
    <row r="1" spans="1:15" ht="18">
      <c r="A1" s="448" t="s">
        <v>309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</row>
    <row r="2" spans="1:15" ht="6" customHeight="1">
      <c r="A2" s="522"/>
      <c r="B2" s="523"/>
      <c r="C2" s="523"/>
      <c r="D2" s="523"/>
      <c r="E2" s="523"/>
      <c r="F2" s="523"/>
      <c r="G2" s="523"/>
      <c r="H2" s="523"/>
      <c r="I2" s="523"/>
      <c r="J2" s="209"/>
      <c r="K2" s="208"/>
    </row>
    <row r="3" spans="1:15" ht="20.100000000000001" customHeight="1">
      <c r="A3" s="357">
        <f>'3.1'!A4</f>
        <v>2022</v>
      </c>
      <c r="B3" s="454" t="s">
        <v>282</v>
      </c>
      <c r="C3" s="457"/>
      <c r="D3" s="457"/>
      <c r="E3" s="457"/>
      <c r="F3" s="456"/>
      <c r="G3" s="454" t="s">
        <v>283</v>
      </c>
      <c r="H3" s="457"/>
      <c r="I3" s="457"/>
      <c r="J3" s="457"/>
      <c r="K3" s="457"/>
    </row>
    <row r="4" spans="1:15" ht="67.5" customHeight="1">
      <c r="A4" s="358"/>
      <c r="B4" s="359" t="s">
        <v>83</v>
      </c>
      <c r="C4" s="252" t="s">
        <v>89</v>
      </c>
      <c r="D4" s="252" t="s">
        <v>216</v>
      </c>
      <c r="E4" s="252" t="s">
        <v>84</v>
      </c>
      <c r="F4" s="360" t="s">
        <v>82</v>
      </c>
      <c r="G4" s="359" t="s">
        <v>83</v>
      </c>
      <c r="H4" s="252" t="s">
        <v>89</v>
      </c>
      <c r="I4" s="252" t="s">
        <v>216</v>
      </c>
      <c r="J4" s="252" t="s">
        <v>84</v>
      </c>
      <c r="K4" s="252" t="s">
        <v>82</v>
      </c>
    </row>
    <row r="5" spans="1:15" ht="18" customHeight="1">
      <c r="A5" s="177" t="s">
        <v>161</v>
      </c>
      <c r="B5" s="260">
        <v>130387.01038711204</v>
      </c>
      <c r="C5" s="253">
        <v>910406.18678079627</v>
      </c>
      <c r="D5" s="256">
        <v>44984.639000000003</v>
      </c>
      <c r="E5" s="256">
        <v>48484.997029999999</v>
      </c>
      <c r="F5" s="262">
        <v>1134262.8331979082</v>
      </c>
      <c r="G5" s="355">
        <v>1394340.13053</v>
      </c>
      <c r="H5" s="256">
        <v>9725046.5487500001</v>
      </c>
      <c r="I5" s="256">
        <v>480281.85199000005</v>
      </c>
      <c r="J5" s="256">
        <v>519121.07809600001</v>
      </c>
      <c r="K5" s="256">
        <v>12118789.609366</v>
      </c>
      <c r="L5" s="56"/>
      <c r="M5" s="57"/>
      <c r="N5" s="57"/>
      <c r="O5" s="57"/>
    </row>
    <row r="6" spans="1:15" ht="18" customHeight="1">
      <c r="A6" s="177" t="s">
        <v>162</v>
      </c>
      <c r="B6" s="260">
        <v>102886.42307283396</v>
      </c>
      <c r="C6" s="256">
        <v>731826.70801090379</v>
      </c>
      <c r="D6" s="256">
        <v>36665.690999999999</v>
      </c>
      <c r="E6" s="256">
        <v>19121.578009999997</v>
      </c>
      <c r="F6" s="262">
        <v>890500.40009373776</v>
      </c>
      <c r="G6" s="355">
        <v>1103405.49288</v>
      </c>
      <c r="H6" s="256">
        <v>7826733.2474999987</v>
      </c>
      <c r="I6" s="256">
        <v>392157.58717999997</v>
      </c>
      <c r="J6" s="256">
        <v>204672.46465800004</v>
      </c>
      <c r="K6" s="256">
        <v>9526968.7922179978</v>
      </c>
      <c r="L6" s="58"/>
      <c r="M6" s="57"/>
      <c r="N6" s="57"/>
      <c r="O6" s="57"/>
    </row>
    <row r="7" spans="1:15" ht="18" customHeight="1">
      <c r="A7" s="180" t="s">
        <v>163</v>
      </c>
      <c r="B7" s="261">
        <v>100232.52548318211</v>
      </c>
      <c r="C7" s="259">
        <v>737192.34386151319</v>
      </c>
      <c r="D7" s="259">
        <v>36894.07</v>
      </c>
      <c r="E7" s="259">
        <v>48300.553089999994</v>
      </c>
      <c r="F7" s="263">
        <v>922619.49243469513</v>
      </c>
      <c r="G7" s="356">
        <v>1081827.962102833</v>
      </c>
      <c r="H7" s="259">
        <v>7911417.8751699999</v>
      </c>
      <c r="I7" s="259">
        <v>394441.46036000003</v>
      </c>
      <c r="J7" s="259">
        <v>521766.69561699999</v>
      </c>
      <c r="K7" s="259">
        <v>9909453.9932498317</v>
      </c>
      <c r="L7" s="59"/>
      <c r="M7" s="57"/>
      <c r="N7" s="57"/>
      <c r="O7" s="57"/>
    </row>
    <row r="8" spans="1:15" ht="18" customHeight="1">
      <c r="A8" s="177" t="s">
        <v>164</v>
      </c>
      <c r="B8" s="260"/>
      <c r="C8" s="256"/>
      <c r="D8" s="256"/>
      <c r="E8" s="256"/>
      <c r="F8" s="262"/>
      <c r="G8" s="355"/>
      <c r="H8" s="256"/>
      <c r="I8" s="256"/>
      <c r="J8" s="256"/>
      <c r="K8" s="256"/>
      <c r="L8" s="58"/>
      <c r="M8" s="57"/>
      <c r="N8" s="57"/>
      <c r="O8" s="57"/>
    </row>
    <row r="9" spans="1:15" ht="18" customHeight="1">
      <c r="A9" s="177" t="s">
        <v>165</v>
      </c>
      <c r="B9" s="260"/>
      <c r="C9" s="256"/>
      <c r="D9" s="256"/>
      <c r="E9" s="256"/>
      <c r="F9" s="262"/>
      <c r="G9" s="355"/>
      <c r="H9" s="256"/>
      <c r="I9" s="256"/>
      <c r="J9" s="256"/>
      <c r="K9" s="256"/>
      <c r="L9" s="58"/>
      <c r="M9" s="57"/>
      <c r="N9" s="57"/>
      <c r="O9" s="57"/>
    </row>
    <row r="10" spans="1:15" ht="18" customHeight="1">
      <c r="A10" s="180" t="s">
        <v>166</v>
      </c>
      <c r="B10" s="261"/>
      <c r="C10" s="259"/>
      <c r="D10" s="259"/>
      <c r="E10" s="259"/>
      <c r="F10" s="263"/>
      <c r="G10" s="356"/>
      <c r="H10" s="259"/>
      <c r="I10" s="259"/>
      <c r="J10" s="259"/>
      <c r="K10" s="259"/>
      <c r="L10" s="58"/>
      <c r="M10" s="57"/>
      <c r="N10" s="57"/>
      <c r="O10" s="57"/>
    </row>
    <row r="11" spans="1:15" ht="18" customHeight="1">
      <c r="A11" s="177" t="s">
        <v>167</v>
      </c>
      <c r="B11" s="260"/>
      <c r="C11" s="256"/>
      <c r="D11" s="256"/>
      <c r="E11" s="256"/>
      <c r="F11" s="262"/>
      <c r="G11" s="355"/>
      <c r="H11" s="256"/>
      <c r="I11" s="256"/>
      <c r="J11" s="256"/>
      <c r="K11" s="256"/>
      <c r="L11" s="58"/>
      <c r="M11" s="57"/>
      <c r="N11" s="57"/>
      <c r="O11" s="57"/>
    </row>
    <row r="12" spans="1:15" ht="18" customHeight="1">
      <c r="A12" s="177" t="s">
        <v>168</v>
      </c>
      <c r="B12" s="260"/>
      <c r="C12" s="256"/>
      <c r="D12" s="256"/>
      <c r="E12" s="256"/>
      <c r="F12" s="262"/>
      <c r="G12" s="355"/>
      <c r="H12" s="256"/>
      <c r="I12" s="256"/>
      <c r="J12" s="256"/>
      <c r="K12" s="256"/>
      <c r="L12" s="58"/>
      <c r="M12" s="57"/>
      <c r="N12" s="57"/>
      <c r="O12" s="57"/>
    </row>
    <row r="13" spans="1:15" ht="18" customHeight="1">
      <c r="A13" s="180" t="s">
        <v>169</v>
      </c>
      <c r="B13" s="261"/>
      <c r="C13" s="259"/>
      <c r="D13" s="259"/>
      <c r="E13" s="259"/>
      <c r="F13" s="263"/>
      <c r="G13" s="356"/>
      <c r="H13" s="259"/>
      <c r="I13" s="259"/>
      <c r="J13" s="259"/>
      <c r="K13" s="259"/>
      <c r="L13" s="58"/>
      <c r="M13" s="57"/>
      <c r="N13" s="57"/>
      <c r="O13" s="57"/>
    </row>
    <row r="14" spans="1:15" ht="18" customHeight="1">
      <c r="A14" s="177" t="s">
        <v>170</v>
      </c>
      <c r="B14" s="260"/>
      <c r="C14" s="256"/>
      <c r="D14" s="256"/>
      <c r="E14" s="256"/>
      <c r="F14" s="262"/>
      <c r="G14" s="355"/>
      <c r="H14" s="256"/>
      <c r="I14" s="256"/>
      <c r="J14" s="256"/>
      <c r="K14" s="256"/>
      <c r="L14" s="58"/>
      <c r="M14" s="57"/>
      <c r="N14" s="57"/>
      <c r="O14" s="57"/>
    </row>
    <row r="15" spans="1:15" ht="18" customHeight="1">
      <c r="A15" s="177" t="s">
        <v>171</v>
      </c>
      <c r="B15" s="260"/>
      <c r="C15" s="256"/>
      <c r="D15" s="256"/>
      <c r="E15" s="256"/>
      <c r="F15" s="262"/>
      <c r="G15" s="355"/>
      <c r="H15" s="256"/>
      <c r="I15" s="256"/>
      <c r="J15" s="256"/>
      <c r="K15" s="256"/>
      <c r="L15" s="58"/>
      <c r="M15" s="57"/>
      <c r="N15" s="57"/>
      <c r="O15" s="57"/>
    </row>
    <row r="16" spans="1:15" ht="18" customHeight="1">
      <c r="A16" s="180" t="s">
        <v>172</v>
      </c>
      <c r="B16" s="261"/>
      <c r="C16" s="259"/>
      <c r="D16" s="259"/>
      <c r="E16" s="259"/>
      <c r="F16" s="263"/>
      <c r="G16" s="356"/>
      <c r="H16" s="259"/>
      <c r="I16" s="259"/>
      <c r="J16" s="259"/>
      <c r="K16" s="259"/>
      <c r="L16" s="58"/>
      <c r="M16" s="57"/>
      <c r="N16" s="57"/>
      <c r="O16" s="57"/>
    </row>
    <row r="17" spans="1:11" ht="18" customHeight="1">
      <c r="A17" s="177" t="s">
        <v>48</v>
      </c>
      <c r="B17" s="260">
        <f>SUM(B5:B7)</f>
        <v>333505.95894312812</v>
      </c>
      <c r="C17" s="253">
        <f>SUM(C5:C7)</f>
        <v>2379425.2386532133</v>
      </c>
      <c r="D17" s="253">
        <f t="shared" ref="D17:J17" si="0">SUM(D5:D7)</f>
        <v>118544.4</v>
      </c>
      <c r="E17" s="253">
        <f t="shared" si="0"/>
        <v>115907.12813</v>
      </c>
      <c r="F17" s="264">
        <f t="shared" si="0"/>
        <v>2947382.7257263409</v>
      </c>
      <c r="G17" s="260">
        <f t="shared" si="0"/>
        <v>3579573.5855128327</v>
      </c>
      <c r="H17" s="253">
        <f t="shared" si="0"/>
        <v>25463197.67142</v>
      </c>
      <c r="I17" s="253">
        <f t="shared" si="0"/>
        <v>1266880.8995300001</v>
      </c>
      <c r="J17" s="253">
        <f t="shared" si="0"/>
        <v>1245560.2383710002</v>
      </c>
      <c r="K17" s="253">
        <f>SUM(K5:K7)</f>
        <v>31555212.394833833</v>
      </c>
    </row>
    <row r="18" spans="1:11" ht="18" customHeight="1">
      <c r="A18" s="177" t="s">
        <v>56</v>
      </c>
      <c r="B18" s="361">
        <f>SUM(B8:B10)</f>
        <v>0</v>
      </c>
      <c r="C18" s="254">
        <f>SUM(C8:C10)</f>
        <v>0</v>
      </c>
      <c r="D18" s="254">
        <f t="shared" ref="D18:J18" si="1">SUM(D8:D10)</f>
        <v>0</v>
      </c>
      <c r="E18" s="254">
        <f t="shared" si="1"/>
        <v>0</v>
      </c>
      <c r="F18" s="362">
        <f t="shared" si="1"/>
        <v>0</v>
      </c>
      <c r="G18" s="361">
        <f t="shared" si="1"/>
        <v>0</v>
      </c>
      <c r="H18" s="254">
        <f t="shared" si="1"/>
        <v>0</v>
      </c>
      <c r="I18" s="254">
        <f t="shared" si="1"/>
        <v>0</v>
      </c>
      <c r="J18" s="254">
        <f t="shared" si="1"/>
        <v>0</v>
      </c>
      <c r="K18" s="254">
        <f>SUM(K8:K10)</f>
        <v>0</v>
      </c>
    </row>
    <row r="19" spans="1:11" ht="18" customHeight="1">
      <c r="A19" s="177" t="s">
        <v>63</v>
      </c>
      <c r="B19" s="361">
        <f>SUM(B11:B13)</f>
        <v>0</v>
      </c>
      <c r="C19" s="254">
        <f>SUM(C11:C13)</f>
        <v>0</v>
      </c>
      <c r="D19" s="254">
        <f t="shared" ref="D19:J19" si="2">SUM(D11:D13)</f>
        <v>0</v>
      </c>
      <c r="E19" s="254">
        <f t="shared" si="2"/>
        <v>0</v>
      </c>
      <c r="F19" s="362">
        <f t="shared" si="2"/>
        <v>0</v>
      </c>
      <c r="G19" s="361">
        <f t="shared" si="2"/>
        <v>0</v>
      </c>
      <c r="H19" s="254">
        <f t="shared" si="2"/>
        <v>0</v>
      </c>
      <c r="I19" s="254">
        <f t="shared" si="2"/>
        <v>0</v>
      </c>
      <c r="J19" s="254">
        <f t="shared" si="2"/>
        <v>0</v>
      </c>
      <c r="K19" s="254">
        <f>SUM(K11:K13)</f>
        <v>0</v>
      </c>
    </row>
    <row r="20" spans="1:11" ht="18" customHeight="1">
      <c r="A20" s="180" t="s">
        <v>57</v>
      </c>
      <c r="B20" s="363">
        <f>SUM(B14:B16)</f>
        <v>0</v>
      </c>
      <c r="C20" s="364">
        <f>SUM(C14:C16)</f>
        <v>0</v>
      </c>
      <c r="D20" s="364">
        <f t="shared" ref="D20:J20" si="3">SUM(D14:D16)</f>
        <v>0</v>
      </c>
      <c r="E20" s="364">
        <f t="shared" si="3"/>
        <v>0</v>
      </c>
      <c r="F20" s="365">
        <f t="shared" si="3"/>
        <v>0</v>
      </c>
      <c r="G20" s="363">
        <f t="shared" si="3"/>
        <v>0</v>
      </c>
      <c r="H20" s="364">
        <f t="shared" si="3"/>
        <v>0</v>
      </c>
      <c r="I20" s="364">
        <f t="shared" si="3"/>
        <v>0</v>
      </c>
      <c r="J20" s="364">
        <f t="shared" si="3"/>
        <v>0</v>
      </c>
      <c r="K20" s="364">
        <f>SUM(K14:K16)</f>
        <v>0</v>
      </c>
    </row>
    <row r="21" spans="1:11" ht="18" customHeight="1">
      <c r="A21" s="177" t="s">
        <v>58</v>
      </c>
      <c r="B21" s="361">
        <f>SUM(B5:B10)</f>
        <v>333505.95894312812</v>
      </c>
      <c r="C21" s="254">
        <f>SUM(C5:C10)</f>
        <v>2379425.2386532133</v>
      </c>
      <c r="D21" s="254">
        <f t="shared" ref="D21:J21" si="4">SUM(D5:D10)</f>
        <v>118544.4</v>
      </c>
      <c r="E21" s="254">
        <f t="shared" si="4"/>
        <v>115907.12813</v>
      </c>
      <c r="F21" s="362">
        <f t="shared" si="4"/>
        <v>2947382.7257263409</v>
      </c>
      <c r="G21" s="361">
        <f t="shared" si="4"/>
        <v>3579573.5855128327</v>
      </c>
      <c r="H21" s="254">
        <f t="shared" si="4"/>
        <v>25463197.67142</v>
      </c>
      <c r="I21" s="254">
        <f t="shared" si="4"/>
        <v>1266880.8995300001</v>
      </c>
      <c r="J21" s="254">
        <f t="shared" si="4"/>
        <v>1245560.2383710002</v>
      </c>
      <c r="K21" s="254">
        <f>SUM(K5:K10)</f>
        <v>31555212.394833833</v>
      </c>
    </row>
    <row r="22" spans="1:11" ht="18" customHeight="1">
      <c r="A22" s="180" t="s">
        <v>59</v>
      </c>
      <c r="B22" s="363">
        <f>SUM(B11:B16)</f>
        <v>0</v>
      </c>
      <c r="C22" s="364">
        <f>SUM(C11:C16)</f>
        <v>0</v>
      </c>
      <c r="D22" s="364">
        <f t="shared" ref="D22:J22" si="5">SUM(D11:D16)</f>
        <v>0</v>
      </c>
      <c r="E22" s="364">
        <f t="shared" si="5"/>
        <v>0</v>
      </c>
      <c r="F22" s="365">
        <f t="shared" si="5"/>
        <v>0</v>
      </c>
      <c r="G22" s="363">
        <f t="shared" si="5"/>
        <v>0</v>
      </c>
      <c r="H22" s="364">
        <f t="shared" si="5"/>
        <v>0</v>
      </c>
      <c r="I22" s="364">
        <f t="shared" si="5"/>
        <v>0</v>
      </c>
      <c r="J22" s="364">
        <f t="shared" si="5"/>
        <v>0</v>
      </c>
      <c r="K22" s="364">
        <f>SUM(K11:K16)</f>
        <v>0</v>
      </c>
    </row>
    <row r="23" spans="1:11" ht="18" customHeight="1">
      <c r="A23" s="218" t="s">
        <v>173</v>
      </c>
      <c r="B23" s="366">
        <f>SUM(B5:B16)</f>
        <v>333505.95894312812</v>
      </c>
      <c r="C23" s="367">
        <f>SUM(C5:C16)</f>
        <v>2379425.2386532133</v>
      </c>
      <c r="D23" s="367">
        <f t="shared" ref="D23:J23" si="6">SUM(D5:D16)</f>
        <v>118544.4</v>
      </c>
      <c r="E23" s="367">
        <f t="shared" si="6"/>
        <v>115907.12813</v>
      </c>
      <c r="F23" s="368">
        <f t="shared" si="6"/>
        <v>2947382.7257263409</v>
      </c>
      <c r="G23" s="366">
        <f t="shared" si="6"/>
        <v>3579573.5855128327</v>
      </c>
      <c r="H23" s="367">
        <f t="shared" si="6"/>
        <v>25463197.67142</v>
      </c>
      <c r="I23" s="367">
        <f t="shared" si="6"/>
        <v>1266880.8995300001</v>
      </c>
      <c r="J23" s="367">
        <f t="shared" si="6"/>
        <v>1245560.2383710002</v>
      </c>
      <c r="K23" s="367">
        <f>SUM(K5:K16)</f>
        <v>31555212.394833833</v>
      </c>
    </row>
    <row r="25" spans="1:11" ht="12" customHeight="1">
      <c r="A25" s="521" t="s">
        <v>284</v>
      </c>
      <c r="B25" s="521"/>
      <c r="C25" s="521"/>
      <c r="D25" s="521"/>
      <c r="E25" s="521"/>
      <c r="F25" s="521"/>
      <c r="G25" s="521"/>
      <c r="H25" s="521"/>
      <c r="I25" s="521"/>
      <c r="J25" s="521"/>
      <c r="K25" s="521"/>
    </row>
    <row r="26" spans="1:11" ht="12" customHeight="1">
      <c r="E26" s="63"/>
      <c r="F26" s="63"/>
      <c r="G26" s="63"/>
      <c r="H26" s="63"/>
    </row>
    <row r="27" spans="1:11" ht="12" customHeight="1">
      <c r="E27" s="63"/>
      <c r="F27" s="63"/>
      <c r="G27" s="63"/>
    </row>
    <row r="28" spans="1:11" ht="12" customHeight="1">
      <c r="E28" s="63"/>
      <c r="F28" s="63"/>
      <c r="G28" s="63"/>
    </row>
    <row r="29" spans="1:11" ht="12" customHeight="1">
      <c r="E29" s="63"/>
      <c r="F29" s="63"/>
      <c r="G29" s="63"/>
    </row>
    <row r="30" spans="1:11" ht="12" customHeight="1">
      <c r="E30" s="63" t="str">
        <f>B4</f>
        <v xml:space="preserve"> PP Distribuce</v>
      </c>
      <c r="F30" s="63" t="str">
        <f t="shared" ref="F30:H30" si="7">C4</f>
        <v xml:space="preserve"> GasNet</v>
      </c>
      <c r="G30" s="63" t="str">
        <f t="shared" si="7"/>
        <v xml:space="preserve"> EG.D</v>
      </c>
      <c r="H30" s="63" t="str">
        <f t="shared" si="7"/>
        <v xml:space="preserve"> Ostatní společnosti</v>
      </c>
    </row>
    <row r="31" spans="1:11" ht="12" customHeight="1">
      <c r="D31" s="12" t="str">
        <f>A17</f>
        <v>I. čtvrtletí</v>
      </c>
      <c r="E31" s="12">
        <f t="shared" ref="E31:H34" si="8">B17</f>
        <v>333505.95894312812</v>
      </c>
      <c r="F31" s="12">
        <f t="shared" si="8"/>
        <v>2379425.2386532133</v>
      </c>
      <c r="G31" s="12">
        <f t="shared" si="8"/>
        <v>118544.4</v>
      </c>
      <c r="H31" s="12">
        <f t="shared" si="8"/>
        <v>115907.12813</v>
      </c>
    </row>
    <row r="32" spans="1:11" ht="12" customHeight="1">
      <c r="D32" s="12" t="str">
        <f t="shared" ref="D32:D34" si="9">A18</f>
        <v>II. čtvrtletí</v>
      </c>
      <c r="E32" s="12">
        <f t="shared" si="8"/>
        <v>0</v>
      </c>
      <c r="F32" s="12">
        <f t="shared" si="8"/>
        <v>0</v>
      </c>
      <c r="G32" s="12">
        <f t="shared" si="8"/>
        <v>0</v>
      </c>
      <c r="H32" s="12">
        <f t="shared" si="8"/>
        <v>0</v>
      </c>
    </row>
    <row r="33" spans="4:8" ht="12" customHeight="1">
      <c r="D33" s="12" t="str">
        <f t="shared" si="9"/>
        <v>III. čtvrtletí</v>
      </c>
      <c r="E33" s="12">
        <f t="shared" si="8"/>
        <v>0</v>
      </c>
      <c r="F33" s="12">
        <f t="shared" si="8"/>
        <v>0</v>
      </c>
      <c r="G33" s="12">
        <f t="shared" si="8"/>
        <v>0</v>
      </c>
      <c r="H33" s="12">
        <f t="shared" si="8"/>
        <v>0</v>
      </c>
    </row>
    <row r="34" spans="4:8" ht="12" customHeight="1">
      <c r="D34" s="12" t="str">
        <f t="shared" si="9"/>
        <v>IV. čtvrtletí</v>
      </c>
      <c r="E34" s="12">
        <f t="shared" si="8"/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</row>
    <row r="35" spans="4:8" ht="12" customHeight="1">
      <c r="E35" s="63"/>
      <c r="F35" s="63"/>
      <c r="G35" s="63"/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8:K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31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39" ht="20.25">
      <c r="A1" s="55" t="s">
        <v>296</v>
      </c>
    </row>
    <row r="2" spans="1:39" s="103" customFormat="1" ht="18">
      <c r="A2" s="504" t="s">
        <v>310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</row>
    <row r="3" spans="1:39" ht="6" customHeight="1">
      <c r="A3" s="524"/>
      <c r="B3" s="524"/>
      <c r="C3" s="524"/>
      <c r="D3" s="320"/>
      <c r="E3" s="320"/>
      <c r="F3" s="321"/>
      <c r="G3" s="322"/>
      <c r="H3" s="322"/>
      <c r="I3" s="322"/>
      <c r="J3" s="76"/>
      <c r="K3" s="76"/>
    </row>
    <row r="4" spans="1:39" ht="12.95" customHeight="1">
      <c r="A4" s="494" t="s">
        <v>35</v>
      </c>
      <c r="B4" s="494"/>
      <c r="C4" s="494"/>
      <c r="D4" s="496">
        <f>'3.1'!A4</f>
        <v>2022</v>
      </c>
      <c r="E4" s="382"/>
      <c r="F4" s="371"/>
      <c r="G4" s="371"/>
      <c r="H4" s="371"/>
      <c r="I4" s="496">
        <f>D4-1</f>
        <v>2021</v>
      </c>
      <c r="J4" s="497"/>
      <c r="K4" s="497"/>
    </row>
    <row r="5" spans="1:39" ht="24.95" customHeight="1">
      <c r="A5" s="383"/>
      <c r="B5" s="383"/>
      <c r="C5" s="383"/>
      <c r="D5" s="490"/>
      <c r="E5" s="384"/>
      <c r="F5" s="385"/>
      <c r="G5" s="385"/>
      <c r="H5" s="386"/>
      <c r="I5" s="490"/>
      <c r="J5" s="491"/>
      <c r="K5" s="491"/>
    </row>
    <row r="6" spans="1:39" ht="24.95" customHeight="1">
      <c r="A6" s="324"/>
      <c r="B6" s="292"/>
      <c r="C6" s="325"/>
      <c r="D6" s="393" t="s">
        <v>160</v>
      </c>
      <c r="E6" s="486" t="s">
        <v>60</v>
      </c>
      <c r="F6" s="486"/>
      <c r="G6" s="487" t="s">
        <v>33</v>
      </c>
      <c r="H6" s="487" t="s">
        <v>276</v>
      </c>
      <c r="I6" s="485" t="s">
        <v>60</v>
      </c>
      <c r="J6" s="486"/>
      <c r="K6" s="487" t="s">
        <v>33</v>
      </c>
    </row>
    <row r="7" spans="1:39" ht="24.95" customHeight="1">
      <c r="A7" s="324"/>
      <c r="B7" s="326"/>
      <c r="D7" s="394"/>
      <c r="E7" s="486"/>
      <c r="F7" s="486"/>
      <c r="G7" s="487"/>
      <c r="H7" s="487"/>
      <c r="I7" s="485"/>
      <c r="J7" s="486"/>
      <c r="K7" s="487"/>
    </row>
    <row r="8" spans="1:39" ht="15" customHeight="1">
      <c r="A8" s="495" t="s">
        <v>159</v>
      </c>
      <c r="B8" s="495"/>
      <c r="C8" s="344" t="s">
        <v>185</v>
      </c>
      <c r="D8" s="372"/>
      <c r="E8" s="222" t="s">
        <v>267</v>
      </c>
      <c r="F8" s="222" t="s">
        <v>268</v>
      </c>
      <c r="G8" s="474"/>
      <c r="H8" s="474"/>
      <c r="I8" s="224" t="s">
        <v>267</v>
      </c>
      <c r="J8" s="222" t="s">
        <v>268</v>
      </c>
      <c r="K8" s="474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9" ht="11.1" customHeight="1">
      <c r="A9" s="429" t="str">
        <f>'3.1'!D5</f>
        <v>Leden</v>
      </c>
      <c r="B9" s="429"/>
      <c r="C9" s="165" t="s">
        <v>4</v>
      </c>
      <c r="D9" s="332">
        <v>81</v>
      </c>
      <c r="E9" s="328">
        <v>9904.4590900000003</v>
      </c>
      <c r="F9" s="328">
        <v>105745.94792000001</v>
      </c>
      <c r="G9" s="329">
        <f>E9/$E$14</f>
        <v>0.25434279664472714</v>
      </c>
      <c r="H9" s="329">
        <f>(E9-I9)/I9</f>
        <v>-0.1091117075848265</v>
      </c>
      <c r="I9" s="332">
        <v>11117.509539999999</v>
      </c>
      <c r="J9" s="328">
        <v>118648.28532</v>
      </c>
      <c r="K9" s="329">
        <f>I9/$I$14</f>
        <v>0.25965240571187687</v>
      </c>
      <c r="N9" s="77"/>
      <c r="O9" s="77"/>
      <c r="P9" s="77"/>
      <c r="Q9" s="77"/>
      <c r="R9" s="77"/>
      <c r="S9" s="77"/>
      <c r="T9" s="77"/>
      <c r="U9" s="104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7"/>
      <c r="AG9" s="77"/>
      <c r="AH9" s="77"/>
      <c r="AI9" s="77"/>
      <c r="AJ9" s="77"/>
      <c r="AK9" s="77"/>
      <c r="AL9" s="77"/>
      <c r="AM9" s="94"/>
    </row>
    <row r="10" spans="1:39" ht="11.1" customHeight="1">
      <c r="A10" s="430"/>
      <c r="B10" s="430"/>
      <c r="C10" s="155" t="s">
        <v>5</v>
      </c>
      <c r="D10" s="333">
        <v>303</v>
      </c>
      <c r="E10" s="130">
        <v>5126.0902400000004</v>
      </c>
      <c r="F10" s="130">
        <v>54729.965389999998</v>
      </c>
      <c r="G10" s="327">
        <f>E10/$E$14</f>
        <v>0.131636075796527</v>
      </c>
      <c r="H10" s="327">
        <f>(E10-I10)/I10</f>
        <v>-5.0381292894150366E-2</v>
      </c>
      <c r="I10" s="333">
        <v>5398.0510300000005</v>
      </c>
      <c r="J10" s="130">
        <v>57609.358070000002</v>
      </c>
      <c r="K10" s="327">
        <f>I10/$I$14</f>
        <v>0.12607292407099432</v>
      </c>
      <c r="L10" s="94"/>
      <c r="N10" s="77"/>
      <c r="O10" s="77"/>
      <c r="P10" s="77"/>
      <c r="Q10" s="77"/>
      <c r="R10" s="77"/>
      <c r="S10" s="77"/>
      <c r="T10" s="77"/>
      <c r="U10" s="104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  <c r="AG10" s="77"/>
      <c r="AH10" s="77"/>
      <c r="AI10" s="77"/>
      <c r="AJ10" s="77"/>
      <c r="AK10" s="77"/>
      <c r="AL10" s="77"/>
    </row>
    <row r="11" spans="1:39" ht="11.1" customHeight="1">
      <c r="A11" s="430"/>
      <c r="B11" s="430"/>
      <c r="C11" s="155" t="s">
        <v>6</v>
      </c>
      <c r="D11" s="333">
        <v>9668</v>
      </c>
      <c r="E11" s="130">
        <v>9085.5759600000001</v>
      </c>
      <c r="F11" s="130">
        <v>97003.628479999999</v>
      </c>
      <c r="G11" s="327">
        <f>E11/$E$14</f>
        <v>0.23331418483293487</v>
      </c>
      <c r="H11" s="327">
        <f t="shared" ref="H11:H13" si="0">(E11-I11)/I11</f>
        <v>-9.3345749614414247E-2</v>
      </c>
      <c r="I11" s="333">
        <v>10020.99307</v>
      </c>
      <c r="J11" s="130">
        <v>106947.66046</v>
      </c>
      <c r="K11" s="327">
        <f>I11/$I$14</f>
        <v>0.23404297058489834</v>
      </c>
      <c r="L11" s="94"/>
      <c r="N11" s="77"/>
      <c r="O11" s="77"/>
      <c r="P11" s="77"/>
      <c r="Q11" s="77"/>
      <c r="R11" s="77"/>
      <c r="S11" s="77"/>
      <c r="T11" s="77"/>
      <c r="U11" s="104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  <c r="AG11" s="77"/>
      <c r="AH11" s="77"/>
      <c r="AI11" s="77"/>
      <c r="AJ11" s="77"/>
      <c r="AK11" s="77"/>
      <c r="AL11" s="77"/>
    </row>
    <row r="12" spans="1:39" ht="11.1" customHeight="1">
      <c r="A12" s="430"/>
      <c r="B12" s="430"/>
      <c r="C12" s="155" t="s">
        <v>7</v>
      </c>
      <c r="D12" s="333">
        <v>95170</v>
      </c>
      <c r="E12" s="130">
        <v>14443.823120000001</v>
      </c>
      <c r="F12" s="130">
        <v>154210.52156999998</v>
      </c>
      <c r="G12" s="327">
        <f>E12/$E$14</f>
        <v>0.37091196330869686</v>
      </c>
      <c r="H12" s="327">
        <f t="shared" si="0"/>
        <v>-9.3573279983765176E-2</v>
      </c>
      <c r="I12" s="333">
        <v>15934.90439</v>
      </c>
      <c r="J12" s="130">
        <v>170063.97417999999</v>
      </c>
      <c r="K12" s="327">
        <f>I12/$I$14</f>
        <v>0.37216394955773952</v>
      </c>
      <c r="L12" s="94"/>
      <c r="N12" s="77"/>
      <c r="O12" s="77"/>
      <c r="P12" s="77"/>
      <c r="Q12" s="77"/>
      <c r="R12" s="77"/>
      <c r="S12" s="77"/>
      <c r="T12" s="77"/>
      <c r="U12" s="104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  <c r="AG12" s="77"/>
      <c r="AH12" s="77"/>
      <c r="AI12" s="77"/>
      <c r="AJ12" s="77"/>
      <c r="AK12" s="77"/>
      <c r="AL12" s="77"/>
    </row>
    <row r="13" spans="1:39" ht="11.1" customHeight="1">
      <c r="A13" s="430"/>
      <c r="B13" s="430"/>
      <c r="C13" s="155" t="s">
        <v>93</v>
      </c>
      <c r="D13" s="333">
        <v>15</v>
      </c>
      <c r="E13" s="130">
        <v>381.43</v>
      </c>
      <c r="F13" s="130">
        <v>4072.4740000000002</v>
      </c>
      <c r="G13" s="327">
        <f>E13/$E$14</f>
        <v>9.7949794171140626E-3</v>
      </c>
      <c r="H13" s="327">
        <f t="shared" si="0"/>
        <v>0.10419875172246097</v>
      </c>
      <c r="I13" s="333">
        <v>345.43599999999998</v>
      </c>
      <c r="J13" s="130">
        <v>3686.098</v>
      </c>
      <c r="K13" s="327">
        <f>I13/$I$14</f>
        <v>8.0677500744908651E-3</v>
      </c>
      <c r="L13" s="94"/>
      <c r="N13" s="77"/>
      <c r="O13" s="77"/>
      <c r="P13" s="77"/>
      <c r="Q13" s="77"/>
      <c r="R13" s="77"/>
      <c r="S13" s="77"/>
      <c r="T13" s="77"/>
      <c r="U13" s="104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7"/>
      <c r="AG13" s="77"/>
      <c r="AH13" s="77"/>
      <c r="AI13" s="77"/>
      <c r="AJ13" s="77"/>
      <c r="AK13" s="77"/>
      <c r="AL13" s="77"/>
    </row>
    <row r="14" spans="1:39" ht="11.1" customHeight="1">
      <c r="A14" s="431"/>
      <c r="B14" s="431"/>
      <c r="C14" s="339" t="s">
        <v>0</v>
      </c>
      <c r="D14" s="342">
        <v>105237</v>
      </c>
      <c r="E14" s="340">
        <v>38941.378410000005</v>
      </c>
      <c r="F14" s="340">
        <v>415762.53735999996</v>
      </c>
      <c r="G14" s="341">
        <f>SUM(G9:G13)</f>
        <v>0.99999999999999989</v>
      </c>
      <c r="H14" s="341">
        <f>(E14-I14)/I14</f>
        <v>-9.0513702775464916E-2</v>
      </c>
      <c r="I14" s="342">
        <v>42816.894030000003</v>
      </c>
      <c r="J14" s="340">
        <v>456955.37602999993</v>
      </c>
      <c r="K14" s="341">
        <f>SUM(K9:K13)</f>
        <v>0.99999999999999989</v>
      </c>
      <c r="L14" s="94"/>
      <c r="M14" s="94"/>
      <c r="N14" s="77"/>
      <c r="O14" s="77"/>
      <c r="P14" s="77"/>
      <c r="Q14" s="77"/>
      <c r="R14" s="77"/>
      <c r="S14" s="77"/>
      <c r="T14" s="77"/>
      <c r="U14" s="104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7"/>
      <c r="AG14" s="77"/>
      <c r="AH14" s="77"/>
      <c r="AI14" s="77"/>
      <c r="AJ14" s="77"/>
      <c r="AK14" s="77"/>
      <c r="AL14" s="77"/>
    </row>
    <row r="15" spans="1:39" ht="11.1" customHeight="1">
      <c r="A15" s="429" t="str">
        <f>'3.1'!E5</f>
        <v>Únor</v>
      </c>
      <c r="B15" s="429"/>
      <c r="C15" s="165" t="s">
        <v>4</v>
      </c>
      <c r="D15" s="332">
        <v>88</v>
      </c>
      <c r="E15" s="328">
        <v>9246.4235100000005</v>
      </c>
      <c r="F15" s="328">
        <v>98895.122659999994</v>
      </c>
      <c r="G15" s="329">
        <f>E15/$E$20</f>
        <v>0.29171292655755332</v>
      </c>
      <c r="H15" s="329">
        <f>(E15-I15)/I15</f>
        <v>-7.4345073224290167E-2</v>
      </c>
      <c r="I15" s="332">
        <v>9989.0609800000002</v>
      </c>
      <c r="J15" s="328">
        <v>106860.97657</v>
      </c>
      <c r="K15" s="329">
        <f>I15/$I$20</f>
        <v>0.27385623665678827</v>
      </c>
      <c r="L15" s="94"/>
      <c r="M15" s="94"/>
      <c r="N15" s="77"/>
      <c r="O15" s="77"/>
      <c r="P15" s="77"/>
      <c r="Q15" s="77"/>
      <c r="R15" s="77"/>
      <c r="S15" s="77"/>
      <c r="T15" s="77"/>
      <c r="U15" s="104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/>
      <c r="AG15" s="77"/>
      <c r="AH15" s="77"/>
      <c r="AI15" s="77"/>
      <c r="AJ15" s="77"/>
      <c r="AK15" s="77"/>
      <c r="AL15" s="77"/>
    </row>
    <row r="16" spans="1:39" ht="11.1" customHeight="1">
      <c r="A16" s="430"/>
      <c r="B16" s="430"/>
      <c r="C16" s="155" t="s">
        <v>5</v>
      </c>
      <c r="D16" s="333">
        <v>297</v>
      </c>
      <c r="E16" s="130">
        <v>3884.57753</v>
      </c>
      <c r="F16" s="130">
        <v>41547.710759999994</v>
      </c>
      <c r="G16" s="327">
        <f>E16/$E$20</f>
        <v>0.12255349092440734</v>
      </c>
      <c r="H16" s="327">
        <f>(E16-I16)/I16</f>
        <v>-0.17056763339234343</v>
      </c>
      <c r="I16" s="333">
        <v>4683.4168600000003</v>
      </c>
      <c r="J16" s="130">
        <v>50102.071049999999</v>
      </c>
      <c r="K16" s="327">
        <f>I16/$I$20</f>
        <v>0.12839874724386277</v>
      </c>
      <c r="L16" s="98"/>
      <c r="M16" s="94"/>
      <c r="N16" s="77"/>
      <c r="O16" s="77"/>
      <c r="P16" s="77"/>
      <c r="Q16" s="77"/>
      <c r="R16" s="77"/>
      <c r="S16" s="77"/>
      <c r="T16" s="77"/>
      <c r="U16" s="104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  <c r="AG16" s="77"/>
      <c r="AH16" s="77"/>
      <c r="AI16" s="77"/>
      <c r="AJ16" s="77"/>
      <c r="AK16" s="77"/>
      <c r="AL16" s="77"/>
    </row>
    <row r="17" spans="1:38" ht="11.1" customHeight="1">
      <c r="A17" s="430"/>
      <c r="B17" s="430"/>
      <c r="C17" s="155" t="s">
        <v>6</v>
      </c>
      <c r="D17" s="333">
        <v>9657</v>
      </c>
      <c r="E17" s="130">
        <v>7033.6328199999998</v>
      </c>
      <c r="F17" s="130">
        <v>75227.760479999997</v>
      </c>
      <c r="G17" s="327">
        <f>E17/$E$20</f>
        <v>0.22190218867159117</v>
      </c>
      <c r="H17" s="327">
        <f t="shared" ref="H17:H20" si="1">(E17-I17)/I17</f>
        <v>-0.15141259687351374</v>
      </c>
      <c r="I17" s="333">
        <v>8288.6368500000008</v>
      </c>
      <c r="J17" s="130">
        <v>88668.898759999996</v>
      </c>
      <c r="K17" s="327">
        <f>I17/$I$20</f>
        <v>0.22723806565006835</v>
      </c>
      <c r="L17" s="94"/>
      <c r="M17" s="94"/>
      <c r="N17" s="77"/>
      <c r="O17" s="77"/>
      <c r="P17" s="77"/>
      <c r="Q17" s="77"/>
      <c r="R17" s="77"/>
      <c r="S17" s="77"/>
      <c r="T17" s="77"/>
      <c r="U17" s="104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7"/>
      <c r="AG17" s="77"/>
      <c r="AH17" s="77"/>
      <c r="AI17" s="77"/>
      <c r="AJ17" s="77"/>
      <c r="AK17" s="77"/>
      <c r="AL17" s="77"/>
    </row>
    <row r="18" spans="1:38" ht="11.1" customHeight="1">
      <c r="A18" s="430"/>
      <c r="B18" s="430"/>
      <c r="C18" s="155" t="s">
        <v>7</v>
      </c>
      <c r="D18" s="333">
        <v>95121</v>
      </c>
      <c r="E18" s="130">
        <v>11181.774290000001</v>
      </c>
      <c r="F18" s="130">
        <v>119593.31555</v>
      </c>
      <c r="G18" s="327">
        <f>E18/$E$20</f>
        <v>0.35277078739841411</v>
      </c>
      <c r="H18" s="327">
        <f t="shared" si="1"/>
        <v>-0.15149375497800821</v>
      </c>
      <c r="I18" s="333">
        <v>13178.187380000001</v>
      </c>
      <c r="J18" s="130">
        <v>140977.01341999997</v>
      </c>
      <c r="K18" s="327">
        <f>I18/$I$20</f>
        <v>0.36128809395302947</v>
      </c>
      <c r="L18" s="94"/>
      <c r="M18" s="94"/>
      <c r="N18" s="77"/>
      <c r="O18" s="77"/>
      <c r="P18" s="77"/>
      <c r="Q18" s="77"/>
      <c r="R18" s="77"/>
      <c r="S18" s="77"/>
      <c r="T18" s="77"/>
      <c r="U18" s="104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7"/>
      <c r="AG18" s="77"/>
      <c r="AH18" s="77"/>
      <c r="AI18" s="77"/>
      <c r="AJ18" s="77"/>
      <c r="AK18" s="77"/>
      <c r="AL18" s="77"/>
    </row>
    <row r="19" spans="1:38" ht="11.1" customHeight="1">
      <c r="A19" s="430"/>
      <c r="B19" s="430"/>
      <c r="C19" s="155" t="s">
        <v>93</v>
      </c>
      <c r="D19" s="333">
        <v>15</v>
      </c>
      <c r="E19" s="130">
        <v>350.58800000000002</v>
      </c>
      <c r="F19" s="130">
        <v>3750.288</v>
      </c>
      <c r="G19" s="327">
        <f>E19/$E$20</f>
        <v>1.1060606448034036E-2</v>
      </c>
      <c r="H19" s="327">
        <f t="shared" si="1"/>
        <v>4.2600583471865912E-2</v>
      </c>
      <c r="I19" s="333">
        <v>336.26299999999998</v>
      </c>
      <c r="J19" s="130">
        <v>3596.9360000000001</v>
      </c>
      <c r="K19" s="327">
        <f>I19/$I$20</f>
        <v>9.2188564962511193E-3</v>
      </c>
      <c r="L19" s="94"/>
      <c r="M19" s="94"/>
      <c r="N19" s="77"/>
      <c r="O19" s="77"/>
      <c r="P19" s="77"/>
      <c r="Q19" s="77"/>
      <c r="R19" s="77"/>
      <c r="S19" s="77"/>
      <c r="T19" s="77"/>
      <c r="U19" s="104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7"/>
      <c r="AH19" s="77"/>
      <c r="AI19" s="77"/>
      <c r="AJ19" s="77"/>
      <c r="AK19" s="77"/>
      <c r="AL19" s="77"/>
    </row>
    <row r="20" spans="1:38" ht="11.1" customHeight="1">
      <c r="A20" s="431"/>
      <c r="B20" s="431"/>
      <c r="C20" s="339" t="s">
        <v>0</v>
      </c>
      <c r="D20" s="342">
        <v>105178</v>
      </c>
      <c r="E20" s="340">
        <v>31696.996150000003</v>
      </c>
      <c r="F20" s="340">
        <v>339014.19744999998</v>
      </c>
      <c r="G20" s="341">
        <f>SUM(G15:G19)</f>
        <v>1</v>
      </c>
      <c r="H20" s="341">
        <f t="shared" si="1"/>
        <v>-0.13100739935980382</v>
      </c>
      <c r="I20" s="342">
        <v>36475.565070000004</v>
      </c>
      <c r="J20" s="340">
        <v>390205.89579999994</v>
      </c>
      <c r="K20" s="341">
        <f>SUM(K15:K19)</f>
        <v>0.99999999999999989</v>
      </c>
      <c r="L20" s="94"/>
      <c r="M20" s="94"/>
      <c r="N20" s="77"/>
      <c r="O20" s="77"/>
      <c r="P20" s="77"/>
      <c r="Q20" s="77"/>
      <c r="R20" s="77"/>
      <c r="S20" s="77"/>
      <c r="T20" s="77"/>
      <c r="U20" s="104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77"/>
      <c r="AH20" s="77"/>
      <c r="AI20" s="77"/>
      <c r="AJ20" s="77"/>
      <c r="AK20" s="77"/>
      <c r="AL20" s="77"/>
    </row>
    <row r="21" spans="1:38" ht="11.1" customHeight="1">
      <c r="A21" s="429" t="str">
        <f>'3.1'!F5</f>
        <v>Březen</v>
      </c>
      <c r="B21" s="429"/>
      <c r="C21" s="165" t="s">
        <v>4</v>
      </c>
      <c r="D21" s="332">
        <v>87</v>
      </c>
      <c r="E21" s="328">
        <v>9848.3280599999998</v>
      </c>
      <c r="F21" s="328">
        <v>105290.44491999999</v>
      </c>
      <c r="G21" s="329">
        <f>E21/$E$26</f>
        <v>0.30876768053699527</v>
      </c>
      <c r="H21" s="329">
        <f>(E21-I21)/I21</f>
        <v>-8.2310029340845567E-2</v>
      </c>
      <c r="I21" s="332">
        <v>10731.650530000001</v>
      </c>
      <c r="J21" s="328">
        <v>114436.95548</v>
      </c>
      <c r="K21" s="329">
        <f>I21/$I$26</f>
        <v>0.30176291196777333</v>
      </c>
      <c r="L21" s="88"/>
      <c r="M21" s="88"/>
      <c r="N21" s="77"/>
      <c r="O21" s="77"/>
      <c r="P21" s="77"/>
      <c r="Q21" s="77"/>
      <c r="R21" s="77"/>
      <c r="S21" s="77"/>
      <c r="T21" s="77"/>
      <c r="U21" s="104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7"/>
      <c r="AG21" s="77"/>
      <c r="AH21" s="77"/>
      <c r="AI21" s="77"/>
      <c r="AJ21" s="77"/>
      <c r="AK21" s="77"/>
      <c r="AL21" s="77"/>
    </row>
    <row r="22" spans="1:38" ht="11.1" customHeight="1">
      <c r="A22" s="430"/>
      <c r="B22" s="430"/>
      <c r="C22" s="155" t="s">
        <v>5</v>
      </c>
      <c r="D22" s="333">
        <v>289</v>
      </c>
      <c r="E22" s="130">
        <v>3942.8748399999999</v>
      </c>
      <c r="F22" s="130">
        <v>42157.535359999994</v>
      </c>
      <c r="G22" s="327">
        <f>E22/$E$26</f>
        <v>0.12361817270681744</v>
      </c>
      <c r="H22" s="327">
        <f t="shared" ref="H22:H26" si="2">(E22-I22)/I22</f>
        <v>-0.13654142662035568</v>
      </c>
      <c r="I22" s="333">
        <v>4566.3740699999998</v>
      </c>
      <c r="J22" s="130">
        <v>48693.516680000001</v>
      </c>
      <c r="K22" s="327">
        <f>I22/$I$26</f>
        <v>0.12840171534148276</v>
      </c>
      <c r="L22" s="88"/>
      <c r="M22" s="88"/>
      <c r="N22" s="77"/>
      <c r="O22" s="77"/>
      <c r="P22" s="77"/>
      <c r="Q22" s="77"/>
      <c r="R22" s="77"/>
      <c r="S22" s="77"/>
      <c r="T22" s="77"/>
      <c r="U22" s="104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77"/>
      <c r="AH22" s="77"/>
      <c r="AI22" s="77"/>
      <c r="AJ22" s="77"/>
      <c r="AK22" s="77"/>
      <c r="AL22" s="77"/>
    </row>
    <row r="23" spans="1:38" ht="11.1" customHeight="1">
      <c r="A23" s="430"/>
      <c r="B23" s="430"/>
      <c r="C23" s="155" t="s">
        <v>6</v>
      </c>
      <c r="D23" s="333">
        <v>9661</v>
      </c>
      <c r="E23" s="130">
        <v>6838.1092900000003</v>
      </c>
      <c r="F23" s="130">
        <v>73110.121899999998</v>
      </c>
      <c r="G23" s="327">
        <f>E23/$E$26</f>
        <v>0.21439041549675791</v>
      </c>
      <c r="H23" s="327">
        <f t="shared" si="2"/>
        <v>-0.11071315055217323</v>
      </c>
      <c r="I23" s="333">
        <v>7689.4303500000005</v>
      </c>
      <c r="J23" s="130">
        <v>81996.670420000009</v>
      </c>
      <c r="K23" s="327">
        <f>I23/$I$26</f>
        <v>0.2162188274117583</v>
      </c>
      <c r="L23" s="88"/>
      <c r="M23" s="88"/>
      <c r="N23" s="77"/>
      <c r="O23" s="77"/>
      <c r="P23" s="77"/>
      <c r="Q23" s="77"/>
      <c r="R23" s="77"/>
      <c r="S23" s="77"/>
      <c r="T23" s="77"/>
      <c r="U23" s="104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7"/>
      <c r="AG23" s="77"/>
      <c r="AH23" s="77"/>
      <c r="AI23" s="77"/>
      <c r="AJ23" s="77"/>
      <c r="AK23" s="77"/>
      <c r="AL23" s="77"/>
    </row>
    <row r="24" spans="1:38" ht="11.1" customHeight="1">
      <c r="A24" s="430"/>
      <c r="B24" s="430"/>
      <c r="C24" s="155" t="s">
        <v>7</v>
      </c>
      <c r="D24" s="333">
        <v>95001</v>
      </c>
      <c r="E24" s="130">
        <v>10866.769130000001</v>
      </c>
      <c r="F24" s="130">
        <v>116181.36765</v>
      </c>
      <c r="G24" s="327">
        <f>E24/$E$26</f>
        <v>0.34069814477739102</v>
      </c>
      <c r="H24" s="327">
        <f t="shared" si="2"/>
        <v>-0.11134595044940805</v>
      </c>
      <c r="I24" s="333">
        <v>12228.345930000001</v>
      </c>
      <c r="J24" s="130">
        <v>130397.1504</v>
      </c>
      <c r="K24" s="327">
        <f>I24/$I$26</f>
        <v>0.34384843841780127</v>
      </c>
      <c r="L24" s="88"/>
      <c r="M24" s="88"/>
      <c r="N24" s="77"/>
      <c r="O24" s="77"/>
      <c r="P24" s="77"/>
      <c r="Q24" s="77"/>
      <c r="R24" s="77"/>
      <c r="S24" s="77"/>
      <c r="T24" s="77"/>
      <c r="U24" s="104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7"/>
      <c r="AG24" s="77"/>
      <c r="AH24" s="77"/>
      <c r="AI24" s="77"/>
      <c r="AJ24" s="77"/>
      <c r="AK24" s="77"/>
      <c r="AL24" s="77"/>
    </row>
    <row r="25" spans="1:38" ht="11.1" customHeight="1">
      <c r="A25" s="430"/>
      <c r="B25" s="430"/>
      <c r="C25" s="155" t="s">
        <v>93</v>
      </c>
      <c r="D25" s="333">
        <v>15</v>
      </c>
      <c r="E25" s="130">
        <v>399.51100000000002</v>
      </c>
      <c r="F25" s="130">
        <v>4271.0039999999999</v>
      </c>
      <c r="G25" s="327">
        <f>E25/$E$26</f>
        <v>1.2525586482038407E-2</v>
      </c>
      <c r="H25" s="327">
        <f t="shared" si="2"/>
        <v>0.15005253537141797</v>
      </c>
      <c r="I25" s="333">
        <v>347.38499999999999</v>
      </c>
      <c r="J25" s="130">
        <v>3704.326</v>
      </c>
      <c r="K25" s="327">
        <f>I25/$I$26</f>
        <v>9.7681068611842805E-3</v>
      </c>
      <c r="L25" s="88"/>
      <c r="M25" s="88"/>
      <c r="N25" s="77"/>
      <c r="O25" s="77"/>
      <c r="P25" s="77"/>
      <c r="Q25" s="77"/>
      <c r="R25" s="77"/>
      <c r="S25" s="77"/>
      <c r="T25" s="77"/>
      <c r="U25" s="104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77"/>
      <c r="AH25" s="77"/>
      <c r="AI25" s="77"/>
      <c r="AJ25" s="77"/>
      <c r="AK25" s="77"/>
      <c r="AL25" s="77"/>
    </row>
    <row r="26" spans="1:38" ht="11.1" customHeight="1">
      <c r="A26" s="431"/>
      <c r="B26" s="431"/>
      <c r="C26" s="339" t="s">
        <v>0</v>
      </c>
      <c r="D26" s="342">
        <v>105053</v>
      </c>
      <c r="E26" s="340">
        <v>31895.59232</v>
      </c>
      <c r="F26" s="340">
        <v>341010.47382999997</v>
      </c>
      <c r="G26" s="341">
        <f>SUM(G21:G25)</f>
        <v>1.0000000000000002</v>
      </c>
      <c r="H26" s="341">
        <f t="shared" si="2"/>
        <v>-0.10312893710860092</v>
      </c>
      <c r="I26" s="342">
        <v>35563.185880000005</v>
      </c>
      <c r="J26" s="340">
        <v>379228.61898000003</v>
      </c>
      <c r="K26" s="341">
        <f>SUM(K21:K25)</f>
        <v>0.99999999999999989</v>
      </c>
      <c r="N26" s="77"/>
      <c r="O26" s="77"/>
      <c r="P26" s="77"/>
      <c r="Q26" s="77"/>
      <c r="R26" s="77"/>
      <c r="S26" s="77"/>
      <c r="T26" s="77"/>
      <c r="U26" s="104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7"/>
      <c r="AG26" s="77"/>
      <c r="AH26" s="77"/>
      <c r="AI26" s="77"/>
      <c r="AJ26" s="77"/>
      <c r="AK26" s="77"/>
      <c r="AL26" s="77"/>
    </row>
    <row r="27" spans="1:38" ht="11.1" customHeight="1">
      <c r="A27" s="500" t="str">
        <f>'3.1'!G5</f>
        <v>I. čtvrtletí</v>
      </c>
      <c r="B27" s="429"/>
      <c r="C27" s="165" t="s">
        <v>4</v>
      </c>
      <c r="D27" s="332">
        <f>D21</f>
        <v>87</v>
      </c>
      <c r="E27" s="328">
        <f>E9+E15+E21</f>
        <v>28999.210660000001</v>
      </c>
      <c r="F27" s="328">
        <f>F9+F15+F21</f>
        <v>309931.51549999998</v>
      </c>
      <c r="G27" s="329">
        <f>E27/$E$32</f>
        <v>0.28282540452120658</v>
      </c>
      <c r="H27" s="329">
        <f>(E27-I27)/I27</f>
        <v>-8.9169881242469717E-2</v>
      </c>
      <c r="I27" s="332">
        <f>I9+I15+I21</f>
        <v>31838.22105</v>
      </c>
      <c r="J27" s="328">
        <f>J9+J15+J21</f>
        <v>339946.21736999997</v>
      </c>
      <c r="K27" s="329">
        <f>I27/$I$32</f>
        <v>0.27720205703031869</v>
      </c>
      <c r="N27" s="77"/>
      <c r="O27" s="77"/>
      <c r="P27" s="77"/>
      <c r="Q27" s="77"/>
      <c r="R27" s="77"/>
      <c r="S27" s="77"/>
      <c r="T27" s="77"/>
      <c r="U27" s="104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7"/>
      <c r="AG27" s="77"/>
      <c r="AH27" s="77"/>
      <c r="AI27" s="77"/>
      <c r="AJ27" s="77"/>
      <c r="AK27" s="77"/>
      <c r="AL27" s="77"/>
    </row>
    <row r="28" spans="1:38" ht="11.1" customHeight="1">
      <c r="A28" s="430"/>
      <c r="B28" s="430"/>
      <c r="C28" s="155" t="s">
        <v>5</v>
      </c>
      <c r="D28" s="333">
        <f>D22</f>
        <v>289</v>
      </c>
      <c r="E28" s="130">
        <f t="shared" ref="E28:F28" si="3">E10+E16+E22</f>
        <v>12953.54261</v>
      </c>
      <c r="F28" s="130">
        <f t="shared" si="3"/>
        <v>138435.21150999999</v>
      </c>
      <c r="G28" s="327">
        <f>E28/$E$32</f>
        <v>0.12633416031938077</v>
      </c>
      <c r="H28" s="327">
        <f t="shared" ref="H28:H31" si="4">(E28-I28)/I28</f>
        <v>-0.115668871539354</v>
      </c>
      <c r="I28" s="333">
        <f t="shared" ref="I28:J28" si="5">I10+I16+I22</f>
        <v>14647.84196</v>
      </c>
      <c r="J28" s="130">
        <f t="shared" si="5"/>
        <v>156404.94579999999</v>
      </c>
      <c r="K28" s="327">
        <f>I28/$I$32</f>
        <v>0.12753262551919542</v>
      </c>
      <c r="N28" s="77"/>
      <c r="O28" s="77"/>
      <c r="P28" s="77"/>
      <c r="Q28" s="77"/>
      <c r="R28" s="77"/>
      <c r="S28" s="77"/>
      <c r="T28" s="77"/>
      <c r="U28" s="104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7"/>
      <c r="AG28" s="77"/>
      <c r="AH28" s="77"/>
      <c r="AI28" s="77"/>
      <c r="AJ28" s="77"/>
      <c r="AK28" s="77"/>
      <c r="AL28" s="77"/>
    </row>
    <row r="29" spans="1:38" ht="11.1" customHeight="1">
      <c r="A29" s="430"/>
      <c r="B29" s="430"/>
      <c r="C29" s="155" t="s">
        <v>6</v>
      </c>
      <c r="D29" s="333">
        <f>D23</f>
        <v>9661</v>
      </c>
      <c r="E29" s="130">
        <f t="shared" ref="E29:F29" si="6">E11+E17+E23</f>
        <v>22957.318070000001</v>
      </c>
      <c r="F29" s="130">
        <f t="shared" si="6"/>
        <v>245341.51086000001</v>
      </c>
      <c r="G29" s="327">
        <f>E29/$E$32</f>
        <v>0.22389963802793231</v>
      </c>
      <c r="H29" s="327">
        <f t="shared" si="4"/>
        <v>-0.11699431319484381</v>
      </c>
      <c r="I29" s="333">
        <f t="shared" ref="I29:J29" si="7">I11+I17+I23</f>
        <v>25999.060270000002</v>
      </c>
      <c r="J29" s="130">
        <f t="shared" si="7"/>
        <v>277613.22964000003</v>
      </c>
      <c r="K29" s="327">
        <f>I29/$I$32</f>
        <v>0.22636292952364037</v>
      </c>
      <c r="N29" s="77"/>
      <c r="O29" s="77"/>
      <c r="P29" s="77"/>
      <c r="Q29" s="77"/>
      <c r="R29" s="77"/>
      <c r="S29" s="77"/>
      <c r="T29" s="77"/>
      <c r="U29" s="104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7"/>
      <c r="AG29" s="77"/>
      <c r="AH29" s="77"/>
      <c r="AI29" s="77"/>
      <c r="AJ29" s="77"/>
      <c r="AK29" s="77"/>
      <c r="AL29" s="77"/>
    </row>
    <row r="30" spans="1:38" ht="11.1" customHeight="1">
      <c r="A30" s="430"/>
      <c r="B30" s="430"/>
      <c r="C30" s="155" t="s">
        <v>7</v>
      </c>
      <c r="D30" s="333">
        <f>D24</f>
        <v>95001</v>
      </c>
      <c r="E30" s="130">
        <f t="shared" ref="E30:F31" si="8">E12+E18+E24</f>
        <v>36492.366540000003</v>
      </c>
      <c r="F30" s="130">
        <f t="shared" si="8"/>
        <v>389985.20476999995</v>
      </c>
      <c r="G30" s="327">
        <f>E30/$E$32</f>
        <v>0.35590514685449182</v>
      </c>
      <c r="H30" s="327">
        <f t="shared" si="4"/>
        <v>-0.11729323965915195</v>
      </c>
      <c r="I30" s="333">
        <f t="shared" ref="I30:J30" si="9">I12+I18+I24</f>
        <v>41341.437700000002</v>
      </c>
      <c r="J30" s="130">
        <f t="shared" si="9"/>
        <v>441438.13799999998</v>
      </c>
      <c r="K30" s="327">
        <f>I30/$I$32</f>
        <v>0.3599425845129236</v>
      </c>
      <c r="N30" s="77"/>
      <c r="O30" s="77"/>
      <c r="P30" s="77"/>
      <c r="Q30" s="77"/>
      <c r="R30" s="77"/>
      <c r="S30" s="77"/>
      <c r="T30" s="77"/>
      <c r="U30" s="104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  <c r="AG30" s="77"/>
      <c r="AH30" s="77"/>
      <c r="AI30" s="77"/>
      <c r="AJ30" s="77"/>
      <c r="AK30" s="77"/>
      <c r="AL30" s="77"/>
    </row>
    <row r="31" spans="1:38" ht="11.1" customHeight="1">
      <c r="A31" s="430"/>
      <c r="B31" s="430"/>
      <c r="C31" s="155" t="s">
        <v>93</v>
      </c>
      <c r="D31" s="333">
        <f>D25</f>
        <v>15</v>
      </c>
      <c r="E31" s="130">
        <f>E13+E19+E25</f>
        <v>1131.529</v>
      </c>
      <c r="F31" s="130">
        <f t="shared" si="8"/>
        <v>12093.766</v>
      </c>
      <c r="G31" s="327">
        <f>E31/$E$32</f>
        <v>1.1035650276988484E-2</v>
      </c>
      <c r="H31" s="327">
        <f t="shared" si="4"/>
        <v>9.9549696623405071E-2</v>
      </c>
      <c r="I31" s="333">
        <f>I13+I19+I25</f>
        <v>1029.0839999999998</v>
      </c>
      <c r="J31" s="130">
        <f t="shared" ref="J31" si="10">J13+J19+J25</f>
        <v>10987.36</v>
      </c>
      <c r="K31" s="327">
        <f>I31/$I$32</f>
        <v>8.959803413921847E-3</v>
      </c>
      <c r="N31" s="77"/>
      <c r="O31" s="77"/>
      <c r="P31" s="77"/>
      <c r="Q31" s="77"/>
      <c r="R31" s="77"/>
      <c r="S31" s="77"/>
      <c r="T31" s="77"/>
      <c r="U31" s="104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7"/>
      <c r="AG31" s="77"/>
      <c r="AH31" s="77"/>
      <c r="AI31" s="77"/>
      <c r="AJ31" s="77"/>
      <c r="AK31" s="77"/>
      <c r="AL31" s="77"/>
    </row>
    <row r="32" spans="1:38" ht="11.1" customHeight="1">
      <c r="A32" s="431"/>
      <c r="B32" s="431"/>
      <c r="C32" s="339" t="s">
        <v>0</v>
      </c>
      <c r="D32" s="342">
        <f>SUM(D27:D31)</f>
        <v>105053</v>
      </c>
      <c r="E32" s="340">
        <f>SUM(E27:E31)</f>
        <v>102533.96688000001</v>
      </c>
      <c r="F32" s="340">
        <f>SUM(F27:F31)</f>
        <v>1095787.2086400001</v>
      </c>
      <c r="G32" s="341">
        <f>SUM(G27:G31)</f>
        <v>1</v>
      </c>
      <c r="H32" s="341">
        <f>(E32-I32)/I32</f>
        <v>-0.107279690973357</v>
      </c>
      <c r="I32" s="342">
        <f>SUM(I27:I31)</f>
        <v>114855.64498000001</v>
      </c>
      <c r="J32" s="340">
        <f>SUM(J27:J31)</f>
        <v>1226389.89081</v>
      </c>
      <c r="K32" s="341">
        <f>SUM(K27:K31)</f>
        <v>1</v>
      </c>
      <c r="N32" s="77"/>
      <c r="O32" s="77"/>
      <c r="P32" s="77"/>
      <c r="Q32" s="77"/>
      <c r="R32" s="77"/>
      <c r="S32" s="77"/>
      <c r="T32" s="77"/>
      <c r="U32" s="104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7"/>
      <c r="AG32" s="77"/>
      <c r="AH32" s="77"/>
      <c r="AI32" s="77"/>
      <c r="AJ32" s="77"/>
      <c r="AK32" s="77"/>
      <c r="AL32" s="77"/>
    </row>
    <row r="33" spans="1:11" ht="9.9499999999999993" customHeight="1">
      <c r="A33" s="387"/>
      <c r="B33" s="388"/>
      <c r="C33" s="389"/>
      <c r="D33" s="390"/>
      <c r="E33" s="390"/>
      <c r="F33" s="390"/>
      <c r="G33" s="391"/>
      <c r="H33" s="392"/>
      <c r="I33" s="390"/>
      <c r="J33" s="390"/>
      <c r="K33" s="391"/>
    </row>
    <row r="34" spans="1:11" ht="12.95" customHeight="1">
      <c r="A34" s="525" t="s">
        <v>36</v>
      </c>
      <c r="B34" s="525"/>
      <c r="C34" s="525"/>
      <c r="D34" s="496">
        <f>D4</f>
        <v>2022</v>
      </c>
      <c r="E34" s="382"/>
      <c r="F34" s="371"/>
      <c r="G34" s="371"/>
      <c r="H34" s="371"/>
      <c r="I34" s="496">
        <f>D34-1</f>
        <v>2021</v>
      </c>
      <c r="J34" s="497"/>
      <c r="K34" s="497"/>
    </row>
    <row r="35" spans="1:11" ht="24.95" customHeight="1">
      <c r="A35" s="324"/>
      <c r="B35" s="292"/>
      <c r="C35" s="151"/>
      <c r="D35" s="490"/>
      <c r="E35" s="384"/>
      <c r="F35" s="385"/>
      <c r="G35" s="385"/>
      <c r="H35" s="386"/>
      <c r="I35" s="490"/>
      <c r="J35" s="491"/>
      <c r="K35" s="491"/>
    </row>
    <row r="36" spans="1:11" ht="24.95" customHeight="1">
      <c r="A36" s="131"/>
      <c r="B36" s="132"/>
      <c r="C36" s="381"/>
      <c r="D36" s="393" t="s">
        <v>160</v>
      </c>
      <c r="E36" s="486" t="s">
        <v>60</v>
      </c>
      <c r="F36" s="486"/>
      <c r="G36" s="487" t="s">
        <v>33</v>
      </c>
      <c r="H36" s="487" t="s">
        <v>276</v>
      </c>
      <c r="I36" s="485" t="s">
        <v>60</v>
      </c>
      <c r="J36" s="486"/>
      <c r="K36" s="487" t="s">
        <v>33</v>
      </c>
    </row>
    <row r="37" spans="1:11" ht="24.95" customHeight="1">
      <c r="A37" s="131"/>
      <c r="B37" s="326"/>
      <c r="C37" s="326"/>
      <c r="D37" s="394"/>
      <c r="E37" s="486"/>
      <c r="F37" s="486"/>
      <c r="G37" s="487"/>
      <c r="H37" s="487"/>
      <c r="I37" s="485"/>
      <c r="J37" s="486"/>
      <c r="K37" s="487"/>
    </row>
    <row r="38" spans="1:11" ht="15" customHeight="1">
      <c r="A38" s="526" t="s">
        <v>159</v>
      </c>
      <c r="B38" s="526"/>
      <c r="C38" s="395" t="s">
        <v>185</v>
      </c>
      <c r="D38" s="372"/>
      <c r="E38" s="222" t="s">
        <v>267</v>
      </c>
      <c r="F38" s="222" t="s">
        <v>268</v>
      </c>
      <c r="G38" s="474"/>
      <c r="H38" s="474"/>
      <c r="I38" s="224" t="s">
        <v>267</v>
      </c>
      <c r="J38" s="222" t="s">
        <v>268</v>
      </c>
      <c r="K38" s="474"/>
    </row>
    <row r="39" spans="1:11" ht="11.1" customHeight="1">
      <c r="A39" s="429" t="str">
        <f>'3.1'!D5</f>
        <v>Leden</v>
      </c>
      <c r="B39" s="429"/>
      <c r="C39" s="165" t="s">
        <v>4</v>
      </c>
      <c r="D39" s="332">
        <v>195</v>
      </c>
      <c r="E39" s="328">
        <v>50310.82</v>
      </c>
      <c r="F39" s="328">
        <v>537424.49709000008</v>
      </c>
      <c r="G39" s="329">
        <f>E39/$E$44</f>
        <v>0.32450093717387579</v>
      </c>
      <c r="H39" s="329">
        <f>(E39-I39)/I39</f>
        <v>-2.2086167013259005E-2</v>
      </c>
      <c r="I39" s="332">
        <v>51447.089</v>
      </c>
      <c r="J39" s="328">
        <v>549696.16147000017</v>
      </c>
      <c r="K39" s="329">
        <f>I39/$I$44</f>
        <v>0.31222023908502461</v>
      </c>
    </row>
    <row r="40" spans="1:11" ht="11.1" customHeight="1">
      <c r="A40" s="430"/>
      <c r="B40" s="430"/>
      <c r="C40" s="155" t="s">
        <v>5</v>
      </c>
      <c r="D40" s="333">
        <v>824</v>
      </c>
      <c r="E40" s="130">
        <v>15970.571</v>
      </c>
      <c r="F40" s="130">
        <v>170599.11702000003</v>
      </c>
      <c r="G40" s="327">
        <f t="shared" ref="G40:G41" si="11">E40/$E$44</f>
        <v>0.10300896023364205</v>
      </c>
      <c r="H40" s="327">
        <f>(E40-I40)/I40</f>
        <v>-5.0195859620517806E-2</v>
      </c>
      <c r="I40" s="333">
        <v>16814.594000000001</v>
      </c>
      <c r="J40" s="130">
        <v>179658.78856000016</v>
      </c>
      <c r="K40" s="327">
        <f t="shared" ref="K40:K43" si="12">I40/$I$44</f>
        <v>0.10204380191068965</v>
      </c>
    </row>
    <row r="41" spans="1:11" ht="11.1" customHeight="1">
      <c r="A41" s="430"/>
      <c r="B41" s="430"/>
      <c r="C41" s="155" t="s">
        <v>6</v>
      </c>
      <c r="D41" s="333">
        <v>24268</v>
      </c>
      <c r="E41" s="130">
        <v>24171.657999999999</v>
      </c>
      <c r="F41" s="130">
        <v>258204.29368</v>
      </c>
      <c r="G41" s="327">
        <f t="shared" si="11"/>
        <v>0.15590534350357263</v>
      </c>
      <c r="H41" s="327">
        <f t="shared" ref="H41:H43" si="13">(E41-I41)/I41</f>
        <v>-6.4406383151830796E-2</v>
      </c>
      <c r="I41" s="333">
        <v>25835.637999999999</v>
      </c>
      <c r="J41" s="130">
        <v>276045.35443000001</v>
      </c>
      <c r="K41" s="327">
        <f t="shared" si="12"/>
        <v>0.15679038853440566</v>
      </c>
    </row>
    <row r="42" spans="1:11" ht="11.1" customHeight="1">
      <c r="A42" s="430"/>
      <c r="B42" s="430"/>
      <c r="C42" s="155" t="s">
        <v>7</v>
      </c>
      <c r="D42" s="333">
        <v>357051</v>
      </c>
      <c r="E42" s="130">
        <v>63392.3</v>
      </c>
      <c r="F42" s="130">
        <v>677162.7</v>
      </c>
      <c r="G42" s="327">
        <f>E42/$E$44</f>
        <v>0.40887548164803295</v>
      </c>
      <c r="H42" s="327">
        <f t="shared" si="13"/>
        <v>-8.8975116227266476E-2</v>
      </c>
      <c r="I42" s="333">
        <v>69583.5</v>
      </c>
      <c r="J42" s="130">
        <v>743477.4</v>
      </c>
      <c r="K42" s="327">
        <f t="shared" si="12"/>
        <v>0.42228583635456635</v>
      </c>
    </row>
    <row r="43" spans="1:11" ht="11.1" customHeight="1">
      <c r="A43" s="430"/>
      <c r="B43" s="430"/>
      <c r="C43" s="155" t="s">
        <v>93</v>
      </c>
      <c r="D43" s="333">
        <v>27</v>
      </c>
      <c r="E43" s="130">
        <v>1195.251</v>
      </c>
      <c r="F43" s="130">
        <v>12767.782740000002</v>
      </c>
      <c r="G43" s="327">
        <f>E43/$E$44</f>
        <v>7.7092774408767774E-3</v>
      </c>
      <c r="H43" s="327">
        <f t="shared" si="13"/>
        <v>8.9187053880200082E-2</v>
      </c>
      <c r="I43" s="333">
        <v>1097.3789999999999</v>
      </c>
      <c r="J43" s="130">
        <v>11725.135839999999</v>
      </c>
      <c r="K43" s="327">
        <f t="shared" si="12"/>
        <v>6.6597341153137981E-3</v>
      </c>
    </row>
    <row r="44" spans="1:11" ht="11.1" customHeight="1">
      <c r="A44" s="431"/>
      <c r="B44" s="431"/>
      <c r="C44" s="339" t="s">
        <v>0</v>
      </c>
      <c r="D44" s="342">
        <v>382365</v>
      </c>
      <c r="E44" s="340">
        <v>155040.59999999998</v>
      </c>
      <c r="F44" s="340">
        <v>1656158.39053</v>
      </c>
      <c r="G44" s="341">
        <f>SUM(G39:G43)</f>
        <v>1</v>
      </c>
      <c r="H44" s="341">
        <f>(E44-I44)/I44</f>
        <v>-5.9095195845081487E-2</v>
      </c>
      <c r="I44" s="342">
        <v>164778.19999999998</v>
      </c>
      <c r="J44" s="340">
        <v>1760602.8403</v>
      </c>
      <c r="K44" s="341">
        <f>SUM(K39:K43)</f>
        <v>1</v>
      </c>
    </row>
    <row r="45" spans="1:11" ht="11.1" customHeight="1">
      <c r="A45" s="429" t="str">
        <f>'3.1'!E5</f>
        <v>Únor</v>
      </c>
      <c r="B45" s="429"/>
      <c r="C45" s="165" t="s">
        <v>4</v>
      </c>
      <c r="D45" s="332">
        <v>195</v>
      </c>
      <c r="E45" s="328">
        <v>41272.108</v>
      </c>
      <c r="F45" s="328">
        <v>441396.13906000007</v>
      </c>
      <c r="G45" s="329">
        <f>E45/$E$50</f>
        <v>0.33901094685759392</v>
      </c>
      <c r="H45" s="329">
        <f>(E45-I45)/I45</f>
        <v>-0.13113575871405062</v>
      </c>
      <c r="I45" s="332">
        <v>47501.216</v>
      </c>
      <c r="J45" s="328">
        <v>507637.97060999967</v>
      </c>
      <c r="K45" s="329">
        <f>I45/$I$50</f>
        <v>0.31416210481899109</v>
      </c>
    </row>
    <row r="46" spans="1:11" ht="11.1" customHeight="1">
      <c r="A46" s="430"/>
      <c r="B46" s="430"/>
      <c r="C46" s="155" t="s">
        <v>5</v>
      </c>
      <c r="D46" s="333">
        <v>824</v>
      </c>
      <c r="E46" s="130">
        <v>12191.571</v>
      </c>
      <c r="F46" s="130">
        <v>130385.96002999986</v>
      </c>
      <c r="G46" s="327">
        <f t="shared" ref="G46:G48" si="14">E46/$E$50</f>
        <v>0.10014211119023973</v>
      </c>
      <c r="H46" s="327">
        <f>(E46-I46)/I46</f>
        <v>-0.20632267738029875</v>
      </c>
      <c r="I46" s="333">
        <v>15360.866</v>
      </c>
      <c r="J46" s="130">
        <v>164159.12420000002</v>
      </c>
      <c r="K46" s="327">
        <f t="shared" ref="K46:K49" si="15">I46/$I$50</f>
        <v>0.1015932306743995</v>
      </c>
    </row>
    <row r="47" spans="1:11" ht="11.1" customHeight="1">
      <c r="A47" s="430"/>
      <c r="B47" s="430"/>
      <c r="C47" s="155" t="s">
        <v>6</v>
      </c>
      <c r="D47" s="333">
        <v>24260</v>
      </c>
      <c r="E47" s="130">
        <v>18527.009000000002</v>
      </c>
      <c r="F47" s="130">
        <v>198142.13537999999</v>
      </c>
      <c r="G47" s="327">
        <f t="shared" si="14"/>
        <v>0.15218168317278982</v>
      </c>
      <c r="H47" s="327">
        <f t="shared" ref="H47:H49" si="16">(E47-I47)/I47</f>
        <v>-0.2243522138397151</v>
      </c>
      <c r="I47" s="333">
        <v>23885.853000000003</v>
      </c>
      <c r="J47" s="130">
        <v>255264.8958</v>
      </c>
      <c r="K47" s="327">
        <f t="shared" si="15"/>
        <v>0.15797553169748357</v>
      </c>
    </row>
    <row r="48" spans="1:11" ht="11.1" customHeight="1">
      <c r="A48" s="430"/>
      <c r="B48" s="430"/>
      <c r="C48" s="155" t="s">
        <v>7</v>
      </c>
      <c r="D48" s="333">
        <v>356823</v>
      </c>
      <c r="E48" s="130">
        <v>48607.5</v>
      </c>
      <c r="F48" s="130">
        <v>519847.3</v>
      </c>
      <c r="G48" s="327">
        <f t="shared" si="14"/>
        <v>0.39926418586083595</v>
      </c>
      <c r="H48" s="327">
        <f t="shared" si="16"/>
        <v>-0.23340966511795155</v>
      </c>
      <c r="I48" s="333">
        <v>63407.4</v>
      </c>
      <c r="J48" s="130">
        <v>677625.2</v>
      </c>
      <c r="K48" s="327">
        <f t="shared" si="15"/>
        <v>0.41936194317845876</v>
      </c>
    </row>
    <row r="49" spans="1:11" ht="11.1" customHeight="1">
      <c r="A49" s="430"/>
      <c r="B49" s="430"/>
      <c r="C49" s="155" t="s">
        <v>93</v>
      </c>
      <c r="D49" s="333">
        <v>27</v>
      </c>
      <c r="E49" s="130">
        <v>1144.5119999999999</v>
      </c>
      <c r="F49" s="130">
        <v>12240.322370000002</v>
      </c>
      <c r="G49" s="327">
        <f>E49/$E$50</f>
        <v>9.4010729185404936E-3</v>
      </c>
      <c r="H49" s="327">
        <f t="shared" si="16"/>
        <v>9.5892719499408668E-2</v>
      </c>
      <c r="I49" s="333">
        <v>1044.365</v>
      </c>
      <c r="J49" s="130">
        <v>11160.969529999998</v>
      </c>
      <c r="K49" s="327">
        <f t="shared" si="15"/>
        <v>6.9071896306672573E-3</v>
      </c>
    </row>
    <row r="50" spans="1:11" ht="11.1" customHeight="1">
      <c r="A50" s="431"/>
      <c r="B50" s="431"/>
      <c r="C50" s="339" t="s">
        <v>0</v>
      </c>
      <c r="D50" s="342">
        <v>382129</v>
      </c>
      <c r="E50" s="340">
        <v>121742.70000000001</v>
      </c>
      <c r="F50" s="340">
        <v>1302011.8568399998</v>
      </c>
      <c r="G50" s="341">
        <f>SUM(G45:G49)</f>
        <v>1</v>
      </c>
      <c r="H50" s="341">
        <f t="shared" ref="H50" si="17">(E50-I50)/I50</f>
        <v>-0.19482181512264887</v>
      </c>
      <c r="I50" s="342">
        <v>151199.69999999998</v>
      </c>
      <c r="J50" s="340">
        <v>1615848.1601399996</v>
      </c>
      <c r="K50" s="341">
        <f>SUM(K45:K49)</f>
        <v>1.0000000000000002</v>
      </c>
    </row>
    <row r="51" spans="1:11" ht="11.1" customHeight="1">
      <c r="A51" s="429" t="str">
        <f>'3.1'!F5</f>
        <v>Březen</v>
      </c>
      <c r="B51" s="429"/>
      <c r="C51" s="165" t="s">
        <v>4</v>
      </c>
      <c r="D51" s="332">
        <v>195</v>
      </c>
      <c r="E51" s="328">
        <v>44009.325999999994</v>
      </c>
      <c r="F51" s="328">
        <v>472300.70890000032</v>
      </c>
      <c r="G51" s="329">
        <f>E51/$E$56</f>
        <v>0.35823335585383909</v>
      </c>
      <c r="H51" s="329">
        <f>(E51-I51)/I51</f>
        <v>-2.754163156707003E-2</v>
      </c>
      <c r="I51" s="332">
        <v>45255.743000000002</v>
      </c>
      <c r="J51" s="328">
        <v>482974.82861000008</v>
      </c>
      <c r="K51" s="329">
        <f>I51/$I$56</f>
        <v>0.33532335517906958</v>
      </c>
    </row>
    <row r="52" spans="1:11" ht="11.1" customHeight="1">
      <c r="A52" s="430"/>
      <c r="B52" s="430"/>
      <c r="C52" s="155" t="s">
        <v>5</v>
      </c>
      <c r="D52" s="333">
        <v>818</v>
      </c>
      <c r="E52" s="130">
        <v>12449.912</v>
      </c>
      <c r="F52" s="130">
        <v>133610.21053999988</v>
      </c>
      <c r="G52" s="327">
        <f t="shared" ref="G52:G55" si="18">E52/$E$56</f>
        <v>0.10134156010126087</v>
      </c>
      <c r="H52" s="327">
        <f t="shared" ref="H52:H55" si="19">(E52-I52)/I52</f>
        <v>-9.4690778360556935E-2</v>
      </c>
      <c r="I52" s="333">
        <v>13752.109999999999</v>
      </c>
      <c r="J52" s="130">
        <v>146764.2729400002</v>
      </c>
      <c r="K52" s="327">
        <f t="shared" ref="K52:K55" si="20">I52/$I$56</f>
        <v>0.10189654086535789</v>
      </c>
    </row>
    <row r="53" spans="1:11" ht="11.1" customHeight="1">
      <c r="A53" s="430"/>
      <c r="B53" s="430"/>
      <c r="C53" s="155" t="s">
        <v>6</v>
      </c>
      <c r="D53" s="333">
        <v>24282</v>
      </c>
      <c r="E53" s="130">
        <v>18533.058000000001</v>
      </c>
      <c r="F53" s="130">
        <v>198893.59164999999</v>
      </c>
      <c r="G53" s="327">
        <f t="shared" si="18"/>
        <v>0.15085801499377294</v>
      </c>
      <c r="H53" s="327">
        <f t="shared" si="19"/>
        <v>-7.9832212524182558E-2</v>
      </c>
      <c r="I53" s="333">
        <v>20140.954999999998</v>
      </c>
      <c r="J53" s="130">
        <v>214946.82034999999</v>
      </c>
      <c r="K53" s="327">
        <f t="shared" si="20"/>
        <v>0.14923481881870013</v>
      </c>
    </row>
    <row r="54" spans="1:11" ht="11.1" customHeight="1">
      <c r="A54" s="430"/>
      <c r="B54" s="430"/>
      <c r="C54" s="155" t="s">
        <v>7</v>
      </c>
      <c r="D54" s="333">
        <v>356498</v>
      </c>
      <c r="E54" s="130">
        <v>46680.1</v>
      </c>
      <c r="F54" s="130">
        <v>500962.1</v>
      </c>
      <c r="G54" s="327">
        <f t="shared" si="18"/>
        <v>0.37997330099063087</v>
      </c>
      <c r="H54" s="327">
        <f t="shared" si="19"/>
        <v>-0.14659112515174125</v>
      </c>
      <c r="I54" s="333">
        <v>54698.400000000001</v>
      </c>
      <c r="J54" s="130">
        <v>583748.30000000005</v>
      </c>
      <c r="K54" s="327">
        <f t="shared" si="20"/>
        <v>0.40528891572781867</v>
      </c>
    </row>
    <row r="55" spans="1:11" ht="11.1" customHeight="1">
      <c r="A55" s="430"/>
      <c r="B55" s="430"/>
      <c r="C55" s="155" t="s">
        <v>93</v>
      </c>
      <c r="D55" s="333">
        <v>27</v>
      </c>
      <c r="E55" s="130">
        <v>1178.604</v>
      </c>
      <c r="F55" s="130">
        <v>12648.573299999998</v>
      </c>
      <c r="G55" s="327">
        <f t="shared" si="18"/>
        <v>9.5937680604960465E-3</v>
      </c>
      <c r="H55" s="327">
        <f t="shared" si="19"/>
        <v>5.7715571860876801E-2</v>
      </c>
      <c r="I55" s="333">
        <v>1114.2919999999999</v>
      </c>
      <c r="J55" s="130">
        <v>11891.866400000001</v>
      </c>
      <c r="K55" s="327">
        <f t="shared" si="20"/>
        <v>8.2563694090536932E-3</v>
      </c>
    </row>
    <row r="56" spans="1:11" ht="11.1" customHeight="1">
      <c r="A56" s="431"/>
      <c r="B56" s="431"/>
      <c r="C56" s="339" t="s">
        <v>0</v>
      </c>
      <c r="D56" s="342">
        <v>381820</v>
      </c>
      <c r="E56" s="340">
        <v>122851.00000000001</v>
      </c>
      <c r="F56" s="340">
        <v>1318415.1843900003</v>
      </c>
      <c r="G56" s="341">
        <f>SUM(G51:G55)</f>
        <v>0.99999999999999989</v>
      </c>
      <c r="H56" s="341">
        <f t="shared" ref="H56" si="21">(E56-I56)/I56</f>
        <v>-8.973299792903891E-2</v>
      </c>
      <c r="I56" s="342">
        <v>134961.5</v>
      </c>
      <c r="J56" s="340">
        <v>1440326.0883000002</v>
      </c>
      <c r="K56" s="341">
        <f>SUM(K51:K55)</f>
        <v>1</v>
      </c>
    </row>
    <row r="57" spans="1:11" ht="11.1" customHeight="1">
      <c r="A57" s="500" t="str">
        <f>'3.1'!G5</f>
        <v>I. čtvrtletí</v>
      </c>
      <c r="B57" s="429"/>
      <c r="C57" s="165" t="s">
        <v>4</v>
      </c>
      <c r="D57" s="332">
        <f>D51</f>
        <v>195</v>
      </c>
      <c r="E57" s="328">
        <f>E39+E45+E51</f>
        <v>135592.25399999999</v>
      </c>
      <c r="F57" s="328">
        <f>F39+F45+F51</f>
        <v>1451121.3450500006</v>
      </c>
      <c r="G57" s="329">
        <f>E57/$E$62</f>
        <v>0.33929083164282942</v>
      </c>
      <c r="H57" s="329">
        <f>(E57-I57)/I57</f>
        <v>-5.9719502465007242E-2</v>
      </c>
      <c r="I57" s="332">
        <f>I39+I45+I51</f>
        <v>144204.04800000001</v>
      </c>
      <c r="J57" s="328">
        <f>J39+J45+J51</f>
        <v>1540308.9606900001</v>
      </c>
      <c r="K57" s="329">
        <f>I57/$I$62</f>
        <v>0.3197858692320964</v>
      </c>
    </row>
    <row r="58" spans="1:11" ht="11.1" customHeight="1">
      <c r="A58" s="430"/>
      <c r="B58" s="430"/>
      <c r="C58" s="155" t="s">
        <v>5</v>
      </c>
      <c r="D58" s="333">
        <f>D52</f>
        <v>818</v>
      </c>
      <c r="E58" s="130">
        <f t="shared" ref="E58:F58" si="22">E40+E46+E52</f>
        <v>40612.054000000004</v>
      </c>
      <c r="F58" s="130">
        <f t="shared" si="22"/>
        <v>434595.28758999979</v>
      </c>
      <c r="G58" s="327">
        <f t="shared" ref="G58:G61" si="23">E58/$E$62</f>
        <v>0.1016230438678562</v>
      </c>
      <c r="H58" s="327">
        <f t="shared" ref="H58:H61" si="24">(E58-I58)/I58</f>
        <v>-0.11573693099809104</v>
      </c>
      <c r="I58" s="333">
        <f t="shared" ref="I58:J59" si="25">I40+I46+I52</f>
        <v>45927.57</v>
      </c>
      <c r="J58" s="130">
        <f t="shared" si="25"/>
        <v>490582.18570000038</v>
      </c>
      <c r="K58" s="327">
        <f t="shared" ref="K58:K61" si="26">I58/$I$62</f>
        <v>0.10184865194746788</v>
      </c>
    </row>
    <row r="59" spans="1:11" ht="11.1" customHeight="1">
      <c r="A59" s="430"/>
      <c r="B59" s="430"/>
      <c r="C59" s="155" t="s">
        <v>6</v>
      </c>
      <c r="D59" s="333">
        <f>D53</f>
        <v>24282</v>
      </c>
      <c r="E59" s="130">
        <f>E41+E47+E53</f>
        <v>61231.725000000006</v>
      </c>
      <c r="F59" s="130">
        <f t="shared" ref="F59" si="27">F41+F47+F53</f>
        <v>655240.02070999995</v>
      </c>
      <c r="G59" s="327">
        <f t="shared" si="23"/>
        <v>0.15321939333035228</v>
      </c>
      <c r="H59" s="327">
        <f t="shared" si="24"/>
        <v>-0.12353877503802245</v>
      </c>
      <c r="I59" s="333">
        <f>I41+I47+I53</f>
        <v>69862.445999999996</v>
      </c>
      <c r="J59" s="130">
        <f t="shared" si="25"/>
        <v>746257.07058000006</v>
      </c>
      <c r="K59" s="327">
        <f t="shared" si="26"/>
        <v>0.15492646240270863</v>
      </c>
    </row>
    <row r="60" spans="1:11" ht="11.1" customHeight="1">
      <c r="A60" s="430"/>
      <c r="B60" s="430"/>
      <c r="C60" s="155" t="s">
        <v>7</v>
      </c>
      <c r="D60" s="333">
        <f>D54</f>
        <v>356498</v>
      </c>
      <c r="E60" s="130">
        <f t="shared" ref="E60:F60" si="28">E42+E48+E54</f>
        <v>158679.9</v>
      </c>
      <c r="F60" s="130">
        <f t="shared" si="28"/>
        <v>1697972.1</v>
      </c>
      <c r="G60" s="327">
        <f t="shared" si="23"/>
        <v>0.39706276463256535</v>
      </c>
      <c r="H60" s="327">
        <f t="shared" si="24"/>
        <v>-0.15456075546128625</v>
      </c>
      <c r="I60" s="333">
        <f t="shared" ref="I60:J61" si="29">I42+I48+I54</f>
        <v>187689.3</v>
      </c>
      <c r="J60" s="130">
        <f t="shared" si="29"/>
        <v>2004850.9000000001</v>
      </c>
      <c r="K60" s="327">
        <f t="shared" si="26"/>
        <v>0.41621845418697051</v>
      </c>
    </row>
    <row r="61" spans="1:11" ht="11.1" customHeight="1">
      <c r="A61" s="430"/>
      <c r="B61" s="430"/>
      <c r="C61" s="155" t="s">
        <v>93</v>
      </c>
      <c r="D61" s="333">
        <f>D55</f>
        <v>27</v>
      </c>
      <c r="E61" s="130">
        <f>E43+E49+E55</f>
        <v>3518.3670000000002</v>
      </c>
      <c r="F61" s="130">
        <f t="shared" ref="F61" si="30">F43+F49+F55</f>
        <v>37656.67841</v>
      </c>
      <c r="G61" s="327">
        <f t="shared" si="23"/>
        <v>8.8039665263967594E-3</v>
      </c>
      <c r="H61" s="327">
        <f t="shared" si="24"/>
        <v>8.0567598146949429E-2</v>
      </c>
      <c r="I61" s="333">
        <f>I43+I49+I55</f>
        <v>3256.0359999999996</v>
      </c>
      <c r="J61" s="130">
        <f t="shared" si="29"/>
        <v>34777.971769999996</v>
      </c>
      <c r="K61" s="327">
        <f t="shared" si="26"/>
        <v>7.220562230756504E-3</v>
      </c>
    </row>
    <row r="62" spans="1:11" ht="11.1" customHeight="1">
      <c r="A62" s="431"/>
      <c r="B62" s="431"/>
      <c r="C62" s="339" t="s">
        <v>0</v>
      </c>
      <c r="D62" s="342">
        <f>SUM(D57:D61)</f>
        <v>381820</v>
      </c>
      <c r="E62" s="340">
        <f>SUM(E57:E61)</f>
        <v>399634.3</v>
      </c>
      <c r="F62" s="340">
        <f>SUM(F57:F61)</f>
        <v>4276585.431760001</v>
      </c>
      <c r="G62" s="341">
        <f>SUM(G57:G61)</f>
        <v>1</v>
      </c>
      <c r="H62" s="341">
        <f>(E62-I62)/I62</f>
        <v>-0.11377382415464259</v>
      </c>
      <c r="I62" s="342">
        <f>SUM(I57:I61)</f>
        <v>450939.4</v>
      </c>
      <c r="J62" s="340">
        <f>SUM(J57:J61)</f>
        <v>4816777.0887400005</v>
      </c>
      <c r="K62" s="341">
        <f>SUM(K57:K61)</f>
        <v>0.99999999999999989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D34:D35"/>
    <mergeCell ref="I34:K35"/>
    <mergeCell ref="H36:H38"/>
    <mergeCell ref="G36:G38"/>
    <mergeCell ref="K36:K38"/>
    <mergeCell ref="A45:B50"/>
    <mergeCell ref="E36:F37"/>
    <mergeCell ref="I36:J37"/>
    <mergeCell ref="A51:B56"/>
    <mergeCell ref="A57:B62"/>
    <mergeCell ref="A39:B44"/>
    <mergeCell ref="A38:B38"/>
    <mergeCell ref="A9:B14"/>
    <mergeCell ref="A15:B20"/>
    <mergeCell ref="A21:B26"/>
    <mergeCell ref="A27:B32"/>
    <mergeCell ref="A34:C34"/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zoomScaleNormal="100" zoomScaleSheetLayoutView="100" workbookViewId="0">
      <selection activeCell="M7" sqref="M7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4" t="s">
        <v>311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4"/>
      <c r="B3" s="524"/>
      <c r="C3" s="524"/>
      <c r="D3" s="320"/>
      <c r="E3" s="320"/>
      <c r="F3" s="321"/>
      <c r="G3" s="322"/>
      <c r="H3" s="322"/>
      <c r="I3" s="322"/>
      <c r="J3" s="76"/>
      <c r="K3" s="76"/>
    </row>
    <row r="4" spans="1:16" ht="12.95" customHeight="1">
      <c r="A4" s="494" t="s">
        <v>37</v>
      </c>
      <c r="B4" s="494"/>
      <c r="C4" s="494"/>
      <c r="D4" s="496">
        <f>'3.1'!A4</f>
        <v>2022</v>
      </c>
      <c r="E4" s="382"/>
      <c r="F4" s="371"/>
      <c r="G4" s="371"/>
      <c r="H4" s="371"/>
      <c r="I4" s="496">
        <f>D4-1</f>
        <v>2021</v>
      </c>
      <c r="J4" s="497"/>
      <c r="K4" s="497"/>
    </row>
    <row r="5" spans="1:16" ht="24.95" customHeight="1">
      <c r="A5" s="383"/>
      <c r="B5" s="383"/>
      <c r="C5" s="383"/>
      <c r="D5" s="490"/>
      <c r="E5" s="384"/>
      <c r="F5" s="385"/>
      <c r="G5" s="385"/>
      <c r="H5" s="386"/>
      <c r="I5" s="490"/>
      <c r="J5" s="491"/>
      <c r="K5" s="491"/>
    </row>
    <row r="6" spans="1:16" ht="24.95" customHeight="1">
      <c r="A6" s="324"/>
      <c r="B6" s="292"/>
      <c r="C6" s="325"/>
      <c r="D6" s="393" t="s">
        <v>160</v>
      </c>
      <c r="E6" s="486" t="s">
        <v>60</v>
      </c>
      <c r="F6" s="486"/>
      <c r="G6" s="487" t="s">
        <v>33</v>
      </c>
      <c r="H6" s="487" t="s">
        <v>276</v>
      </c>
      <c r="I6" s="485" t="s">
        <v>60</v>
      </c>
      <c r="J6" s="486"/>
      <c r="K6" s="487" t="s">
        <v>33</v>
      </c>
    </row>
    <row r="7" spans="1:16" ht="24.95" customHeight="1">
      <c r="A7" s="324"/>
      <c r="B7" s="326"/>
      <c r="D7" s="394"/>
      <c r="E7" s="486"/>
      <c r="F7" s="486"/>
      <c r="G7" s="487"/>
      <c r="H7" s="487"/>
      <c r="I7" s="485"/>
      <c r="J7" s="486"/>
      <c r="K7" s="487"/>
    </row>
    <row r="8" spans="1:16" ht="15" customHeight="1">
      <c r="A8" s="495" t="s">
        <v>159</v>
      </c>
      <c r="B8" s="495"/>
      <c r="C8" s="344" t="s">
        <v>185</v>
      </c>
      <c r="D8" s="372"/>
      <c r="E8" s="222" t="s">
        <v>267</v>
      </c>
      <c r="F8" s="222" t="s">
        <v>268</v>
      </c>
      <c r="G8" s="474"/>
      <c r="H8" s="474"/>
      <c r="I8" s="224" t="s">
        <v>267</v>
      </c>
      <c r="J8" s="222" t="s">
        <v>268</v>
      </c>
      <c r="K8" s="474"/>
    </row>
    <row r="9" spans="1:16" ht="11.1" customHeight="1">
      <c r="A9" s="429" t="str">
        <f>'3.1'!D5</f>
        <v>Leden</v>
      </c>
      <c r="B9" s="429"/>
      <c r="C9" s="165" t="s">
        <v>4</v>
      </c>
      <c r="D9" s="332">
        <v>56</v>
      </c>
      <c r="E9" s="328">
        <v>10343.203000000001</v>
      </c>
      <c r="F9" s="328">
        <v>110487.34769000001</v>
      </c>
      <c r="G9" s="329">
        <f>E9/$E$14</f>
        <v>0.37317584705249907</v>
      </c>
      <c r="H9" s="329">
        <f>(E9-I9)/I9</f>
        <v>-0.77660255900061592</v>
      </c>
      <c r="I9" s="332">
        <v>46299.559000000001</v>
      </c>
      <c r="J9" s="328">
        <v>494696.35577999993</v>
      </c>
      <c r="K9" s="329">
        <f>I9/$I$14</f>
        <v>0.71090207115537274</v>
      </c>
    </row>
    <row r="10" spans="1:16" ht="11.1" customHeight="1">
      <c r="A10" s="430"/>
      <c r="B10" s="430"/>
      <c r="C10" s="155" t="s">
        <v>5</v>
      </c>
      <c r="D10" s="333">
        <v>166</v>
      </c>
      <c r="E10" s="130">
        <v>2789.5610000000001</v>
      </c>
      <c r="F10" s="130">
        <v>29798.41086</v>
      </c>
      <c r="G10" s="327">
        <f>E10/$E$14</f>
        <v>0.10064549531509884</v>
      </c>
      <c r="H10" s="327">
        <f>(E10-I10)/I10</f>
        <v>-8.3718297904767772E-2</v>
      </c>
      <c r="I10" s="333">
        <v>3044.4359999999997</v>
      </c>
      <c r="J10" s="130">
        <v>32528.984060000013</v>
      </c>
      <c r="K10" s="327">
        <f>I10/$I$14</f>
        <v>4.6745496169844254E-2</v>
      </c>
      <c r="L10" s="94"/>
      <c r="N10" s="94"/>
      <c r="O10" s="94"/>
      <c r="P10" s="94"/>
    </row>
    <row r="11" spans="1:16" ht="11.1" customHeight="1">
      <c r="A11" s="430"/>
      <c r="B11" s="430"/>
      <c r="C11" s="155" t="s">
        <v>6</v>
      </c>
      <c r="D11" s="333">
        <v>5931</v>
      </c>
      <c r="E11" s="130">
        <v>6021.06</v>
      </c>
      <c r="F11" s="130">
        <v>64317.734915000001</v>
      </c>
      <c r="G11" s="327">
        <f>E11/$E$14</f>
        <v>0.2172358181168754</v>
      </c>
      <c r="H11" s="327">
        <f t="shared" ref="H11:H13" si="0">(E11-I11)/I11</f>
        <v>-6.2381455737557816E-2</v>
      </c>
      <c r="I11" s="333">
        <v>6421.652</v>
      </c>
      <c r="J11" s="130">
        <v>68613.448910000006</v>
      </c>
      <c r="K11" s="327">
        <f>I11/$I$14</f>
        <v>9.8600630451772586E-2</v>
      </c>
      <c r="L11" s="94"/>
      <c r="N11" s="94"/>
      <c r="O11" s="94"/>
      <c r="P11" s="94"/>
    </row>
    <row r="12" spans="1:16" ht="11.1" customHeight="1">
      <c r="A12" s="430"/>
      <c r="B12" s="430"/>
      <c r="C12" s="155" t="s">
        <v>7</v>
      </c>
      <c r="D12" s="333">
        <v>77924</v>
      </c>
      <c r="E12" s="130">
        <v>8387.4</v>
      </c>
      <c r="F12" s="130">
        <v>89595.5</v>
      </c>
      <c r="G12" s="327">
        <f>E12/$E$14</f>
        <v>0.30261178278799422</v>
      </c>
      <c r="H12" s="327">
        <f t="shared" si="0"/>
        <v>-8.8979645037255958E-2</v>
      </c>
      <c r="I12" s="333">
        <v>9206.6</v>
      </c>
      <c r="J12" s="130">
        <v>98369.600000000006</v>
      </c>
      <c r="K12" s="327">
        <f>I12/$I$14</f>
        <v>0.1413618433881639</v>
      </c>
      <c r="L12" s="94"/>
      <c r="N12" s="94"/>
      <c r="O12" s="94"/>
      <c r="P12" s="94"/>
    </row>
    <row r="13" spans="1:16" ht="11.1" customHeight="1">
      <c r="A13" s="430"/>
      <c r="B13" s="430"/>
      <c r="C13" s="155" t="s">
        <v>93</v>
      </c>
      <c r="D13" s="333">
        <v>9</v>
      </c>
      <c r="E13" s="130">
        <v>175.476</v>
      </c>
      <c r="F13" s="130">
        <v>1874.4598149999999</v>
      </c>
      <c r="G13" s="327">
        <f>E13/$E$14</f>
        <v>6.3310567275324985E-3</v>
      </c>
      <c r="H13" s="327">
        <f t="shared" si="0"/>
        <v>0.12735379337372238</v>
      </c>
      <c r="I13" s="333">
        <v>155.65299999999999</v>
      </c>
      <c r="J13" s="130">
        <v>1663.1034800000002</v>
      </c>
      <c r="K13" s="327">
        <f>I13/$I$14</f>
        <v>2.3899588348465094E-3</v>
      </c>
      <c r="L13" s="94"/>
      <c r="N13" s="94"/>
      <c r="O13" s="94"/>
      <c r="P13" s="94"/>
    </row>
    <row r="14" spans="1:16" ht="11.1" customHeight="1">
      <c r="A14" s="431"/>
      <c r="B14" s="431"/>
      <c r="C14" s="339" t="s">
        <v>0</v>
      </c>
      <c r="D14" s="342">
        <v>84086</v>
      </c>
      <c r="E14" s="340">
        <v>27716.7</v>
      </c>
      <c r="F14" s="340">
        <v>296073.45328000002</v>
      </c>
      <c r="G14" s="341">
        <f>SUM(G9:G13)</f>
        <v>1</v>
      </c>
      <c r="H14" s="341">
        <f>(E14-I14)/I14</f>
        <v>-0.5744266282192424</v>
      </c>
      <c r="I14" s="342">
        <v>65127.9</v>
      </c>
      <c r="J14" s="340">
        <v>695871.49222999997</v>
      </c>
      <c r="K14" s="341">
        <f>SUM(K9:K13)</f>
        <v>1</v>
      </c>
      <c r="L14" s="94"/>
    </row>
    <row r="15" spans="1:16" ht="11.1" customHeight="1">
      <c r="A15" s="429" t="str">
        <f>'3.1'!E5</f>
        <v>Únor</v>
      </c>
      <c r="B15" s="429"/>
      <c r="C15" s="165" t="s">
        <v>4</v>
      </c>
      <c r="D15" s="332">
        <v>56</v>
      </c>
      <c r="E15" s="328">
        <v>9366.8770000000004</v>
      </c>
      <c r="F15" s="328">
        <v>100176.84730000002</v>
      </c>
      <c r="G15" s="329">
        <f>E15/$E$20</f>
        <v>0.40831714631956129</v>
      </c>
      <c r="H15" s="329">
        <f>(E15-I15)/I15</f>
        <v>-0.80550799779181093</v>
      </c>
      <c r="I15" s="332">
        <v>48160.731</v>
      </c>
      <c r="J15" s="328">
        <v>514686.68234</v>
      </c>
      <c r="K15" s="329">
        <f>I15/$I$20</f>
        <v>0.73587490010986001</v>
      </c>
      <c r="L15" s="94"/>
      <c r="M15" s="94"/>
    </row>
    <row r="16" spans="1:16" ht="11.1" customHeight="1">
      <c r="A16" s="430"/>
      <c r="B16" s="430"/>
      <c r="C16" s="155" t="s">
        <v>5</v>
      </c>
      <c r="D16" s="333">
        <v>165</v>
      </c>
      <c r="E16" s="130">
        <v>2361.6990000000001</v>
      </c>
      <c r="F16" s="130">
        <v>25257.490750000001</v>
      </c>
      <c r="G16" s="327">
        <f>E16/$E$20</f>
        <v>0.10295023583055074</v>
      </c>
      <c r="H16" s="327">
        <f>(E16-I16)/I16</f>
        <v>-0.15911668226759798</v>
      </c>
      <c r="I16" s="333">
        <v>2808.5929999999998</v>
      </c>
      <c r="J16" s="130">
        <v>30014.833020000013</v>
      </c>
      <c r="K16" s="327">
        <f>I16/$I$20</f>
        <v>4.2914072324281211E-2</v>
      </c>
      <c r="L16" s="98"/>
      <c r="M16" s="94"/>
    </row>
    <row r="17" spans="1:20" ht="11.1" customHeight="1">
      <c r="A17" s="430"/>
      <c r="B17" s="430"/>
      <c r="C17" s="155" t="s">
        <v>6</v>
      </c>
      <c r="D17" s="333">
        <v>5930</v>
      </c>
      <c r="E17" s="130">
        <v>4614.8999999999996</v>
      </c>
      <c r="F17" s="130">
        <v>49355.6</v>
      </c>
      <c r="G17" s="327">
        <f>E17/$E$20</f>
        <v>0.20117087034986614</v>
      </c>
      <c r="H17" s="327">
        <f t="shared" ref="H17:H20" si="1">(E17-I17)/I17</f>
        <v>-0.22390707267212495</v>
      </c>
      <c r="I17" s="333">
        <v>5946.3240000000005</v>
      </c>
      <c r="J17" s="130">
        <v>63547.192739999999</v>
      </c>
      <c r="K17" s="327">
        <f>I17/$I$20</f>
        <v>9.0857229295810804E-2</v>
      </c>
      <c r="L17" s="94"/>
      <c r="M17" s="94"/>
      <c r="N17" s="94"/>
      <c r="O17" s="94"/>
    </row>
    <row r="18" spans="1:20" ht="11.1" customHeight="1">
      <c r="A18" s="430"/>
      <c r="B18" s="430"/>
      <c r="C18" s="155" t="s">
        <v>7</v>
      </c>
      <c r="D18" s="333">
        <v>77873</v>
      </c>
      <c r="E18" s="130">
        <v>6431.3</v>
      </c>
      <c r="F18" s="130">
        <v>68781.100000000006</v>
      </c>
      <c r="G18" s="327">
        <f>E18/$E$20</f>
        <v>0.28035065082257349</v>
      </c>
      <c r="H18" s="327">
        <f t="shared" si="1"/>
        <v>-0.23340167354041999</v>
      </c>
      <c r="I18" s="333">
        <v>8389.4</v>
      </c>
      <c r="J18" s="130">
        <v>89656.7</v>
      </c>
      <c r="K18" s="327">
        <f>I18/$I$20</f>
        <v>0.12818636176808984</v>
      </c>
      <c r="L18" s="94"/>
      <c r="M18" s="94"/>
      <c r="N18" s="94"/>
      <c r="O18" s="94"/>
    </row>
    <row r="19" spans="1:20" ht="11.1" customHeight="1">
      <c r="A19" s="430"/>
      <c r="B19" s="430"/>
      <c r="C19" s="155" t="s">
        <v>93</v>
      </c>
      <c r="D19" s="333">
        <v>7</v>
      </c>
      <c r="E19" s="130">
        <v>165.42400000000001</v>
      </c>
      <c r="F19" s="130">
        <v>1769.17661</v>
      </c>
      <c r="G19" s="327">
        <f>E19/$E$20</f>
        <v>7.2110966774483224E-3</v>
      </c>
      <c r="H19" s="327">
        <f t="shared" si="1"/>
        <v>0.16617319459718582</v>
      </c>
      <c r="I19" s="333">
        <v>141.852</v>
      </c>
      <c r="J19" s="130">
        <v>1515.94713</v>
      </c>
      <c r="K19" s="327">
        <f>I19/$I$20</f>
        <v>2.1674365019580758E-3</v>
      </c>
      <c r="L19" s="94"/>
      <c r="M19" s="94"/>
      <c r="N19" s="94"/>
      <c r="O19" s="94"/>
    </row>
    <row r="20" spans="1:20" ht="11.1" customHeight="1">
      <c r="A20" s="431"/>
      <c r="B20" s="431"/>
      <c r="C20" s="339" t="s">
        <v>0</v>
      </c>
      <c r="D20" s="342">
        <v>84031</v>
      </c>
      <c r="E20" s="340">
        <v>22940.2</v>
      </c>
      <c r="F20" s="340">
        <v>245340.21466000003</v>
      </c>
      <c r="G20" s="341">
        <f>SUM(G15:G19)</f>
        <v>1</v>
      </c>
      <c r="H20" s="341">
        <f t="shared" si="1"/>
        <v>-0.64948377998041151</v>
      </c>
      <c r="I20" s="342">
        <v>65446.9</v>
      </c>
      <c r="J20" s="340">
        <v>699421.35522999987</v>
      </c>
      <c r="K20" s="341">
        <f>SUM(K15:K19)</f>
        <v>0.99999999999999989</v>
      </c>
      <c r="L20" s="94"/>
      <c r="M20" s="94"/>
      <c r="N20" s="94"/>
      <c r="O20" s="94"/>
    </row>
    <row r="21" spans="1:20" ht="11.1" customHeight="1">
      <c r="A21" s="429" t="str">
        <f>'3.1'!F5</f>
        <v>Březen</v>
      </c>
      <c r="B21" s="429"/>
      <c r="C21" s="165" t="s">
        <v>4</v>
      </c>
      <c r="D21" s="332">
        <v>56</v>
      </c>
      <c r="E21" s="328">
        <v>9336.6810000000005</v>
      </c>
      <c r="F21" s="328">
        <v>100199.46284999997</v>
      </c>
      <c r="G21" s="329">
        <f>E21/$E$26</f>
        <v>0.41331035856573706</v>
      </c>
      <c r="H21" s="329">
        <f>(E21-I21)/I21</f>
        <v>-0.82570224588005181</v>
      </c>
      <c r="I21" s="332">
        <v>53567.42</v>
      </c>
      <c r="J21" s="328">
        <v>571678.0472599999</v>
      </c>
      <c r="K21" s="329">
        <f>I21/$I$26</f>
        <v>0.78365925199874187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0"/>
      <c r="B22" s="430"/>
      <c r="C22" s="155" t="s">
        <v>5</v>
      </c>
      <c r="D22" s="333">
        <v>164</v>
      </c>
      <c r="E22" s="130">
        <v>2287.8709999999996</v>
      </c>
      <c r="F22" s="130">
        <v>24552.722660000003</v>
      </c>
      <c r="G22" s="327">
        <f>E22/$E$26</f>
        <v>0.10127804338202744</v>
      </c>
      <c r="H22" s="327">
        <f t="shared" ref="H22:H26" si="2">(E22-I22)/I22</f>
        <v>-4.0384153198221827E-2</v>
      </c>
      <c r="I22" s="333">
        <v>2384.1529999999998</v>
      </c>
      <c r="J22" s="130">
        <v>25444.00878</v>
      </c>
      <c r="K22" s="327">
        <f>I22/$I$26</f>
        <v>3.4878729582842632E-2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0"/>
      <c r="B23" s="430"/>
      <c r="C23" s="155" t="s">
        <v>6</v>
      </c>
      <c r="D23" s="333">
        <v>5936</v>
      </c>
      <c r="E23" s="130">
        <v>4616.2</v>
      </c>
      <c r="F23" s="130">
        <v>49540.2</v>
      </c>
      <c r="G23" s="327">
        <f>E23/$E$26</f>
        <v>0.20434705621956617</v>
      </c>
      <c r="H23" s="327">
        <f t="shared" si="2"/>
        <v>-7.9453702575523602E-2</v>
      </c>
      <c r="I23" s="333">
        <v>5014.6310000000003</v>
      </c>
      <c r="J23" s="130">
        <v>53516.311293999999</v>
      </c>
      <c r="K23" s="327">
        <f>I23/$I$26</f>
        <v>7.3361046294738538E-2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0"/>
      <c r="B24" s="430"/>
      <c r="C24" s="155" t="s">
        <v>7</v>
      </c>
      <c r="D24" s="333">
        <v>77801</v>
      </c>
      <c r="E24" s="130">
        <v>6176.2</v>
      </c>
      <c r="F24" s="130">
        <v>66282.399999999994</v>
      </c>
      <c r="G24" s="327">
        <f>E24/$E$26</f>
        <v>0.27340416113324478</v>
      </c>
      <c r="H24" s="327">
        <f t="shared" si="2"/>
        <v>-0.14660365887359753</v>
      </c>
      <c r="I24" s="333">
        <v>7237.2</v>
      </c>
      <c r="J24" s="130">
        <v>77235.8</v>
      </c>
      <c r="K24" s="327">
        <f>I24/$I$26</f>
        <v>0.10587589879380591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0"/>
      <c r="B25" s="430"/>
      <c r="C25" s="155" t="s">
        <v>93</v>
      </c>
      <c r="D25" s="333">
        <v>7</v>
      </c>
      <c r="E25" s="130">
        <v>173.048</v>
      </c>
      <c r="F25" s="130">
        <v>1857.1258799999998</v>
      </c>
      <c r="G25" s="327">
        <f>E25/$E$26</f>
        <v>7.660380699424524E-3</v>
      </c>
      <c r="H25" s="327">
        <f t="shared" si="2"/>
        <v>0.13775510204081631</v>
      </c>
      <c r="I25" s="333">
        <v>152.096</v>
      </c>
      <c r="J25" s="130">
        <v>1623.1885359999999</v>
      </c>
      <c r="K25" s="327">
        <f>I25/$I$26</f>
        <v>2.2250733298710421E-3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1"/>
      <c r="B26" s="431"/>
      <c r="C26" s="339" t="s">
        <v>0</v>
      </c>
      <c r="D26" s="342">
        <v>83964</v>
      </c>
      <c r="E26" s="340">
        <v>22590</v>
      </c>
      <c r="F26" s="340">
        <v>242431.91138999996</v>
      </c>
      <c r="G26" s="341">
        <f>SUM(G21:G25)</f>
        <v>0.99999999999999989</v>
      </c>
      <c r="H26" s="341">
        <f t="shared" si="2"/>
        <v>-0.66952183803790477</v>
      </c>
      <c r="I26" s="342">
        <v>68355.5</v>
      </c>
      <c r="J26" s="340">
        <v>729497.35586999997</v>
      </c>
      <c r="K26" s="341">
        <f>SUM(K21:K25)</f>
        <v>1</v>
      </c>
    </row>
    <row r="27" spans="1:20" ht="11.1" customHeight="1">
      <c r="A27" s="500" t="str">
        <f>'3.1'!G5</f>
        <v>I. čtvrtletí</v>
      </c>
      <c r="B27" s="429"/>
      <c r="C27" s="165" t="s">
        <v>4</v>
      </c>
      <c r="D27" s="332">
        <f>D21</f>
        <v>56</v>
      </c>
      <c r="E27" s="328">
        <f>E9+E15+E21</f>
        <v>29046.761000000002</v>
      </c>
      <c r="F27" s="328">
        <f>F9+F15+F21</f>
        <v>310863.65784</v>
      </c>
      <c r="G27" s="329">
        <f>E27/$E$32</f>
        <v>0.3965595950135774</v>
      </c>
      <c r="H27" s="329">
        <f>(E27-I27)/I27</f>
        <v>-0.80377484053492421</v>
      </c>
      <c r="I27" s="332">
        <f>I9+I15+I21</f>
        <v>148027.71000000002</v>
      </c>
      <c r="J27" s="328">
        <f>J9+J15+J21</f>
        <v>1581061.0853799998</v>
      </c>
      <c r="K27" s="329">
        <f>I27/$I$32</f>
        <v>0.74411846762408751</v>
      </c>
    </row>
    <row r="28" spans="1:20" ht="11.1" customHeight="1">
      <c r="A28" s="430"/>
      <c r="B28" s="430"/>
      <c r="C28" s="155" t="s">
        <v>5</v>
      </c>
      <c r="D28" s="333">
        <f>D22</f>
        <v>164</v>
      </c>
      <c r="E28" s="130">
        <f t="shared" ref="E28:F31" si="3">E10+E16+E22</f>
        <v>7439.1309999999994</v>
      </c>
      <c r="F28" s="130">
        <f t="shared" si="3"/>
        <v>79608.62427</v>
      </c>
      <c r="G28" s="327">
        <f>E28/$E$32</f>
        <v>0.10156240059306264</v>
      </c>
      <c r="H28" s="327">
        <f t="shared" ref="H28:H31" si="4">(E28-I28)/I28</f>
        <v>-9.6883982896092333E-2</v>
      </c>
      <c r="I28" s="333">
        <f t="shared" ref="I28:J28" si="5">I10+I16+I22</f>
        <v>8237.1819999999989</v>
      </c>
      <c r="J28" s="130">
        <f t="shared" si="5"/>
        <v>87987.825860000026</v>
      </c>
      <c r="K28" s="327">
        <f>I28/$I$32</f>
        <v>4.1407377357798175E-2</v>
      </c>
    </row>
    <row r="29" spans="1:20" ht="11.1" customHeight="1">
      <c r="A29" s="430"/>
      <c r="B29" s="430"/>
      <c r="C29" s="155" t="s">
        <v>6</v>
      </c>
      <c r="D29" s="333">
        <f>D23</f>
        <v>5936</v>
      </c>
      <c r="E29" s="130">
        <f t="shared" si="3"/>
        <v>15252.16</v>
      </c>
      <c r="F29" s="130">
        <f t="shared" si="3"/>
        <v>163213.534915</v>
      </c>
      <c r="G29" s="327">
        <f>E29/$E$32</f>
        <v>0.20822942677437545</v>
      </c>
      <c r="H29" s="327">
        <f t="shared" si="4"/>
        <v>-0.12256199544751832</v>
      </c>
      <c r="I29" s="333">
        <f t="shared" ref="I29:J29" si="6">I11+I17+I23</f>
        <v>17382.607</v>
      </c>
      <c r="J29" s="130">
        <f t="shared" si="6"/>
        <v>185676.95294400002</v>
      </c>
      <c r="K29" s="327">
        <f>I29/$I$32</f>
        <v>8.7380389010623311E-2</v>
      </c>
    </row>
    <row r="30" spans="1:20" ht="11.1" customHeight="1">
      <c r="A30" s="430"/>
      <c r="B30" s="430"/>
      <c r="C30" s="155" t="s">
        <v>7</v>
      </c>
      <c r="D30" s="333">
        <f>D24</f>
        <v>77801</v>
      </c>
      <c r="E30" s="130">
        <f t="shared" si="3"/>
        <v>20994.9</v>
      </c>
      <c r="F30" s="130">
        <f t="shared" si="3"/>
        <v>224659</v>
      </c>
      <c r="G30" s="327">
        <f>E30/$E$32</f>
        <v>0.28663192571972335</v>
      </c>
      <c r="H30" s="327">
        <f t="shared" si="4"/>
        <v>-0.15456324597715956</v>
      </c>
      <c r="I30" s="333">
        <f t="shared" ref="I30:J30" si="7">I12+I18+I24</f>
        <v>24833.200000000001</v>
      </c>
      <c r="J30" s="130">
        <f t="shared" si="7"/>
        <v>265262.09999999998</v>
      </c>
      <c r="K30" s="327">
        <f>I30/$I$32</f>
        <v>0.12483367289950298</v>
      </c>
    </row>
    <row r="31" spans="1:20" ht="11.1" customHeight="1">
      <c r="A31" s="430"/>
      <c r="B31" s="430"/>
      <c r="C31" s="155" t="s">
        <v>93</v>
      </c>
      <c r="D31" s="333">
        <f>D25</f>
        <v>7</v>
      </c>
      <c r="E31" s="130">
        <f>E13+E19+E25</f>
        <v>513.94799999999998</v>
      </c>
      <c r="F31" s="130">
        <f t="shared" si="3"/>
        <v>5500.7623049999993</v>
      </c>
      <c r="G31" s="327">
        <f>E31/$E$32</f>
        <v>7.0166518992612658E-3</v>
      </c>
      <c r="H31" s="327">
        <f t="shared" si="4"/>
        <v>0.14312023327350246</v>
      </c>
      <c r="I31" s="333">
        <f>I13+I19+I25</f>
        <v>449.601</v>
      </c>
      <c r="J31" s="130">
        <f t="shared" ref="J31" si="8">J13+J19+J25</f>
        <v>4802.2391459999999</v>
      </c>
      <c r="K31" s="327">
        <f>I31/$I$32</f>
        <v>2.2600931079880741E-3</v>
      </c>
    </row>
    <row r="32" spans="1:20" ht="11.1" customHeight="1">
      <c r="A32" s="431"/>
      <c r="B32" s="431"/>
      <c r="C32" s="339" t="s">
        <v>0</v>
      </c>
      <c r="D32" s="342">
        <f>SUM(D27:D31)</f>
        <v>83964</v>
      </c>
      <c r="E32" s="340">
        <f>SUM(E27:E31)</f>
        <v>73246.899999999994</v>
      </c>
      <c r="F32" s="340">
        <f>SUM(F27:F31)</f>
        <v>783845.57932999998</v>
      </c>
      <c r="G32" s="341">
        <f>SUM(G27:G31)</f>
        <v>1.0000000000000002</v>
      </c>
      <c r="H32" s="341">
        <f>(E32-I32)/I32</f>
        <v>-0.63179616177123354</v>
      </c>
      <c r="I32" s="342">
        <f>SUM(I27:I31)</f>
        <v>198930.30000000002</v>
      </c>
      <c r="J32" s="340">
        <f>SUM(J27:J31)</f>
        <v>2124790.2033299995</v>
      </c>
      <c r="K32" s="341">
        <f>SUM(K27:K31)</f>
        <v>1</v>
      </c>
    </row>
    <row r="33" spans="1:11" ht="9.9499999999999993" customHeight="1">
      <c r="A33" s="387"/>
      <c r="B33" s="388"/>
      <c r="C33" s="389"/>
      <c r="D33" s="390"/>
      <c r="E33" s="390"/>
      <c r="F33" s="390"/>
      <c r="G33" s="391"/>
      <c r="H33" s="392"/>
      <c r="I33" s="390"/>
      <c r="J33" s="390"/>
      <c r="K33" s="391"/>
    </row>
    <row r="34" spans="1:11" ht="12.95" customHeight="1">
      <c r="A34" s="525" t="s">
        <v>38</v>
      </c>
      <c r="B34" s="525"/>
      <c r="C34" s="525"/>
      <c r="D34" s="496">
        <f>D4</f>
        <v>2022</v>
      </c>
      <c r="E34" s="382"/>
      <c r="F34" s="371"/>
      <c r="G34" s="371"/>
      <c r="H34" s="371"/>
      <c r="I34" s="496">
        <f>D34-1</f>
        <v>2021</v>
      </c>
      <c r="J34" s="497"/>
      <c r="K34" s="497"/>
    </row>
    <row r="35" spans="1:11" ht="24.95" customHeight="1">
      <c r="A35" s="324"/>
      <c r="B35" s="292"/>
      <c r="C35" s="151"/>
      <c r="D35" s="490"/>
      <c r="E35" s="384"/>
      <c r="F35" s="385"/>
      <c r="G35" s="385"/>
      <c r="H35" s="386"/>
      <c r="I35" s="490"/>
      <c r="J35" s="491"/>
      <c r="K35" s="491"/>
    </row>
    <row r="36" spans="1:11" ht="24.95" customHeight="1">
      <c r="A36" s="131"/>
      <c r="B36" s="132"/>
      <c r="C36" s="381"/>
      <c r="D36" s="393" t="s">
        <v>160</v>
      </c>
      <c r="E36" s="486" t="s">
        <v>60</v>
      </c>
      <c r="F36" s="486"/>
      <c r="G36" s="487" t="s">
        <v>33</v>
      </c>
      <c r="H36" s="487" t="s">
        <v>276</v>
      </c>
      <c r="I36" s="485" t="s">
        <v>60</v>
      </c>
      <c r="J36" s="486"/>
      <c r="K36" s="487" t="s">
        <v>33</v>
      </c>
    </row>
    <row r="37" spans="1:11" ht="24.95" customHeight="1">
      <c r="A37" s="131"/>
      <c r="B37" s="326"/>
      <c r="C37" s="326"/>
      <c r="D37" s="394"/>
      <c r="E37" s="486"/>
      <c r="F37" s="486"/>
      <c r="G37" s="487"/>
      <c r="H37" s="487"/>
      <c r="I37" s="485"/>
      <c r="J37" s="486"/>
      <c r="K37" s="487"/>
    </row>
    <row r="38" spans="1:11" ht="15" customHeight="1">
      <c r="A38" s="526" t="s">
        <v>159</v>
      </c>
      <c r="B38" s="526"/>
      <c r="C38" s="395" t="s">
        <v>185</v>
      </c>
      <c r="D38" s="372"/>
      <c r="E38" s="222" t="s">
        <v>267</v>
      </c>
      <c r="F38" s="222" t="s">
        <v>268</v>
      </c>
      <c r="G38" s="474"/>
      <c r="H38" s="474"/>
      <c r="I38" s="224" t="s">
        <v>267</v>
      </c>
      <c r="J38" s="222" t="s">
        <v>268</v>
      </c>
      <c r="K38" s="474"/>
    </row>
    <row r="39" spans="1:11" ht="11.1" customHeight="1">
      <c r="A39" s="429" t="str">
        <f>'3.1'!D5</f>
        <v>Leden</v>
      </c>
      <c r="B39" s="429"/>
      <c r="C39" s="165" t="s">
        <v>4</v>
      </c>
      <c r="D39" s="332">
        <v>78</v>
      </c>
      <c r="E39" s="328">
        <v>16220.177</v>
      </c>
      <c r="F39" s="328">
        <v>173265.61432000005</v>
      </c>
      <c r="G39" s="329">
        <f>E39/$E$44</f>
        <v>0.33603853835189607</v>
      </c>
      <c r="H39" s="329">
        <f>(E39-I39)/I39</f>
        <v>-4.6873732949391719E-2</v>
      </c>
      <c r="I39" s="332">
        <v>17017.867999999999</v>
      </c>
      <c r="J39" s="328">
        <v>181830.83878999989</v>
      </c>
      <c r="K39" s="329">
        <f>I39/$I$44</f>
        <v>0.33130607795039518</v>
      </c>
    </row>
    <row r="40" spans="1:11" ht="11.1" customHeight="1">
      <c r="A40" s="430"/>
      <c r="B40" s="430"/>
      <c r="C40" s="155" t="s">
        <v>5</v>
      </c>
      <c r="D40" s="333">
        <v>248</v>
      </c>
      <c r="E40" s="130">
        <v>4782.03</v>
      </c>
      <c r="F40" s="130">
        <v>51082.608810000034</v>
      </c>
      <c r="G40" s="327">
        <f t="shared" ref="G40" si="9">E40/$E$44</f>
        <v>9.9070828361177407E-2</v>
      </c>
      <c r="H40" s="327">
        <f>(E40-I40)/I40</f>
        <v>1.1030779795410258E-2</v>
      </c>
      <c r="I40" s="333">
        <v>4729.8559999999998</v>
      </c>
      <c r="J40" s="130">
        <v>50537.420679999937</v>
      </c>
      <c r="K40" s="327">
        <f t="shared" ref="K40:K43" si="10">I40/$I$44</f>
        <v>9.2081454658723666E-2</v>
      </c>
    </row>
    <row r="41" spans="1:11" ht="11.1" customHeight="1">
      <c r="A41" s="430"/>
      <c r="B41" s="430"/>
      <c r="C41" s="155" t="s">
        <v>6</v>
      </c>
      <c r="D41" s="333">
        <v>10005</v>
      </c>
      <c r="E41" s="130">
        <v>9548.5619999999999</v>
      </c>
      <c r="F41" s="130">
        <v>101998.45518</v>
      </c>
      <c r="G41" s="327">
        <f>E41/$E$44</f>
        <v>0.19782057975338108</v>
      </c>
      <c r="H41" s="327">
        <f t="shared" ref="H41:H43" si="11">(E41-I41)/I41</f>
        <v>-6.3643948326543576E-2</v>
      </c>
      <c r="I41" s="333">
        <v>10197.576000000001</v>
      </c>
      <c r="J41" s="130">
        <v>108958.16648</v>
      </c>
      <c r="K41" s="327">
        <f t="shared" si="10"/>
        <v>0.19852774208620491</v>
      </c>
    </row>
    <row r="42" spans="1:11" ht="11.1" customHeight="1">
      <c r="A42" s="430"/>
      <c r="B42" s="430"/>
      <c r="C42" s="155" t="s">
        <v>7</v>
      </c>
      <c r="D42" s="333">
        <v>107582</v>
      </c>
      <c r="E42" s="130">
        <v>17548.599999999999</v>
      </c>
      <c r="F42" s="130">
        <v>187455.8</v>
      </c>
      <c r="G42" s="327">
        <f>E42/$E$44</f>
        <v>0.36355989790506499</v>
      </c>
      <c r="H42" s="327">
        <f t="shared" si="11"/>
        <v>-8.8975989617131809E-2</v>
      </c>
      <c r="I42" s="333">
        <v>19262.5</v>
      </c>
      <c r="J42" s="130">
        <v>205813.5</v>
      </c>
      <c r="K42" s="327">
        <f t="shared" si="10"/>
        <v>0.3750048670326675</v>
      </c>
    </row>
    <row r="43" spans="1:11" ht="11.1" customHeight="1">
      <c r="A43" s="430"/>
      <c r="B43" s="430"/>
      <c r="C43" s="155" t="s">
        <v>93</v>
      </c>
      <c r="D43" s="333">
        <v>17</v>
      </c>
      <c r="E43" s="130">
        <v>169.43100000000001</v>
      </c>
      <c r="F43" s="130">
        <v>1809.884</v>
      </c>
      <c r="G43" s="327">
        <f>E43/$E$44</f>
        <v>3.5101556284805099E-3</v>
      </c>
      <c r="H43" s="327">
        <f t="shared" si="11"/>
        <v>7.0992414664981185E-2</v>
      </c>
      <c r="I43" s="333">
        <v>158.19999999999999</v>
      </c>
      <c r="J43" s="130">
        <v>1690.32177</v>
      </c>
      <c r="K43" s="327">
        <f t="shared" si="10"/>
        <v>3.0798582720087215E-3</v>
      </c>
    </row>
    <row r="44" spans="1:11" ht="11.1" customHeight="1">
      <c r="A44" s="431"/>
      <c r="B44" s="431"/>
      <c r="C44" s="339" t="s">
        <v>0</v>
      </c>
      <c r="D44" s="342">
        <v>117930</v>
      </c>
      <c r="E44" s="340">
        <v>48268.799999999996</v>
      </c>
      <c r="F44" s="340">
        <v>515612.36231000011</v>
      </c>
      <c r="G44" s="341">
        <f>SUM(G39:G43)</f>
        <v>1</v>
      </c>
      <c r="H44" s="341">
        <f>(E44-I44)/I44</f>
        <v>-6.0296694311412304E-2</v>
      </c>
      <c r="I44" s="342">
        <v>51366</v>
      </c>
      <c r="J44" s="340">
        <v>548830.24771999987</v>
      </c>
      <c r="K44" s="341">
        <f>SUM(K39:K43)</f>
        <v>1</v>
      </c>
    </row>
    <row r="45" spans="1:11" ht="11.1" customHeight="1">
      <c r="A45" s="429" t="str">
        <f>'3.1'!E5</f>
        <v>Únor</v>
      </c>
      <c r="B45" s="429"/>
      <c r="C45" s="165" t="s">
        <v>4</v>
      </c>
      <c r="D45" s="332">
        <v>78</v>
      </c>
      <c r="E45" s="328">
        <v>12847.715</v>
      </c>
      <c r="F45" s="328">
        <v>137403.84059000007</v>
      </c>
      <c r="G45" s="329">
        <f>E45/$E$50</f>
        <v>0.34002516898418933</v>
      </c>
      <c r="H45" s="329">
        <f>(E45-I45)/I45</f>
        <v>-0.16168498270317042</v>
      </c>
      <c r="I45" s="332">
        <v>15325.641</v>
      </c>
      <c r="J45" s="328">
        <v>163782.36629000001</v>
      </c>
      <c r="K45" s="329">
        <f>I45/$I$50</f>
        <v>0.32757035254286559</v>
      </c>
    </row>
    <row r="46" spans="1:11" ht="11.1" customHeight="1">
      <c r="A46" s="430"/>
      <c r="B46" s="430"/>
      <c r="C46" s="155" t="s">
        <v>5</v>
      </c>
      <c r="D46" s="333">
        <v>247</v>
      </c>
      <c r="E46" s="130">
        <v>3994.9059999999999</v>
      </c>
      <c r="F46" s="130">
        <v>42724.928229999998</v>
      </c>
      <c r="G46" s="327">
        <f t="shared" ref="G46:G49" si="12">E46/$E$50</f>
        <v>0.10572841845619645</v>
      </c>
      <c r="H46" s="327">
        <f>(E46-I46)/I46</f>
        <v>-7.8008331123501487E-2</v>
      </c>
      <c r="I46" s="333">
        <v>4332.9089999999997</v>
      </c>
      <c r="J46" s="130">
        <v>46305.629090000009</v>
      </c>
      <c r="K46" s="327">
        <f t="shared" ref="K46:K49" si="13">I46/$I$50</f>
        <v>9.2611625749693283E-2</v>
      </c>
    </row>
    <row r="47" spans="1:11" ht="11.1" customHeight="1">
      <c r="A47" s="430"/>
      <c r="B47" s="430"/>
      <c r="C47" s="155" t="s">
        <v>6</v>
      </c>
      <c r="D47" s="333">
        <v>10001</v>
      </c>
      <c r="E47" s="130">
        <v>7318.7029999999995</v>
      </c>
      <c r="F47" s="130">
        <v>78271.671279999995</v>
      </c>
      <c r="G47" s="327">
        <f t="shared" si="12"/>
        <v>0.19369539441994887</v>
      </c>
      <c r="H47" s="327">
        <f t="shared" ref="H47:H49" si="14">(E47-I47)/I47</f>
        <v>-0.22393768514937767</v>
      </c>
      <c r="I47" s="333">
        <v>9430.5609999999997</v>
      </c>
      <c r="J47" s="130">
        <v>100782.68326999999</v>
      </c>
      <c r="K47" s="327">
        <f t="shared" si="13"/>
        <v>0.20156887346160587</v>
      </c>
    </row>
    <row r="48" spans="1:11" ht="11.1" customHeight="1">
      <c r="A48" s="430"/>
      <c r="B48" s="430"/>
      <c r="C48" s="155" t="s">
        <v>7</v>
      </c>
      <c r="D48" s="333">
        <v>107512</v>
      </c>
      <c r="E48" s="130">
        <v>13455.8</v>
      </c>
      <c r="F48" s="130">
        <v>143907</v>
      </c>
      <c r="G48" s="327">
        <f t="shared" si="12"/>
        <v>0.35611863034146185</v>
      </c>
      <c r="H48" s="327">
        <f t="shared" si="14"/>
        <v>-0.23341005423636116</v>
      </c>
      <c r="I48" s="333">
        <v>17552.8</v>
      </c>
      <c r="J48" s="130">
        <v>187583.9</v>
      </c>
      <c r="K48" s="327">
        <f t="shared" si="13"/>
        <v>0.37517366380397471</v>
      </c>
    </row>
    <row r="49" spans="1:11" ht="11.1" customHeight="1">
      <c r="A49" s="430"/>
      <c r="B49" s="430"/>
      <c r="C49" s="155" t="s">
        <v>93</v>
      </c>
      <c r="D49" s="333">
        <v>17</v>
      </c>
      <c r="E49" s="130">
        <v>167.476</v>
      </c>
      <c r="F49" s="130">
        <v>1791.1220899999998</v>
      </c>
      <c r="G49" s="327">
        <f t="shared" si="12"/>
        <v>4.432387798203501E-3</v>
      </c>
      <c r="H49" s="327">
        <f t="shared" si="14"/>
        <v>0.16392496994210806</v>
      </c>
      <c r="I49" s="333">
        <v>143.88900000000001</v>
      </c>
      <c r="J49" s="130">
        <v>1537.7140400000001</v>
      </c>
      <c r="K49" s="327">
        <f t="shared" si="13"/>
        <v>3.0754844418605649E-3</v>
      </c>
    </row>
    <row r="50" spans="1:11" ht="11.1" customHeight="1">
      <c r="A50" s="431"/>
      <c r="B50" s="431"/>
      <c r="C50" s="339" t="s">
        <v>0</v>
      </c>
      <c r="D50" s="342">
        <v>117855</v>
      </c>
      <c r="E50" s="340">
        <v>37784.6</v>
      </c>
      <c r="F50" s="340">
        <v>404098.56219000008</v>
      </c>
      <c r="G50" s="341">
        <f>SUM(G45:G49)</f>
        <v>1</v>
      </c>
      <c r="H50" s="341">
        <f t="shared" ref="H50" si="15">(E50-I50)/I50</f>
        <v>-0.19239170859534299</v>
      </c>
      <c r="I50" s="342">
        <v>46785.799999999996</v>
      </c>
      <c r="J50" s="340">
        <v>499992.29269000003</v>
      </c>
      <c r="K50" s="341">
        <f>SUM(K45:K49)</f>
        <v>1</v>
      </c>
    </row>
    <row r="51" spans="1:11" ht="11.1" customHeight="1">
      <c r="A51" s="429" t="str">
        <f>'3.1'!F5</f>
        <v>Březen</v>
      </c>
      <c r="B51" s="429"/>
      <c r="C51" s="165" t="s">
        <v>4</v>
      </c>
      <c r="D51" s="332">
        <v>78</v>
      </c>
      <c r="E51" s="328">
        <v>13106.615</v>
      </c>
      <c r="F51" s="328">
        <v>140657.76654999994</v>
      </c>
      <c r="G51" s="329">
        <f>E51/$E$56</f>
        <v>0.3506186231655315</v>
      </c>
      <c r="H51" s="329">
        <f>(E51-I51)/I51</f>
        <v>-0.13626423406786756</v>
      </c>
      <c r="I51" s="332">
        <v>15174.334000000001</v>
      </c>
      <c r="J51" s="328">
        <v>161942.17965000001</v>
      </c>
      <c r="K51" s="329">
        <f>I51/$I$56</f>
        <v>0.35818005858595869</v>
      </c>
    </row>
    <row r="52" spans="1:11" ht="11.1" customHeight="1">
      <c r="A52" s="430"/>
      <c r="B52" s="430"/>
      <c r="C52" s="155" t="s">
        <v>5</v>
      </c>
      <c r="D52" s="333">
        <v>245</v>
      </c>
      <c r="E52" s="130">
        <v>3861.8559999999998</v>
      </c>
      <c r="F52" s="130">
        <v>41445.256929999974</v>
      </c>
      <c r="G52" s="327">
        <f t="shared" ref="G52:G55" si="16">E52/$E$56</f>
        <v>0.10330956036959556</v>
      </c>
      <c r="H52" s="327">
        <f t="shared" ref="H52:H55" si="17">(E52-I52)/I52</f>
        <v>-1.7967641056077704E-2</v>
      </c>
      <c r="I52" s="333">
        <v>3932.5140000000001</v>
      </c>
      <c r="J52" s="130">
        <v>41967.939539999985</v>
      </c>
      <c r="K52" s="327">
        <f t="shared" ref="K52:K55" si="18">I52/$I$56</f>
        <v>9.2824376668531397E-2</v>
      </c>
    </row>
    <row r="53" spans="1:11" ht="11.1" customHeight="1">
      <c r="A53" s="430"/>
      <c r="B53" s="430"/>
      <c r="C53" s="155" t="s">
        <v>6</v>
      </c>
      <c r="D53" s="333">
        <v>10011</v>
      </c>
      <c r="E53" s="130">
        <v>7303.6669999999995</v>
      </c>
      <c r="F53" s="130">
        <v>78381.655440000002</v>
      </c>
      <c r="G53" s="327">
        <f t="shared" si="16"/>
        <v>0.19538238268229652</v>
      </c>
      <c r="H53" s="327">
        <f t="shared" si="17"/>
        <v>-8.2369970519916957E-2</v>
      </c>
      <c r="I53" s="333">
        <v>7959.2719999999999</v>
      </c>
      <c r="J53" s="130">
        <v>84942.369839999999</v>
      </c>
      <c r="K53" s="327">
        <f t="shared" si="18"/>
        <v>0.18787332025653189</v>
      </c>
    </row>
    <row r="54" spans="1:11" ht="11.1" customHeight="1">
      <c r="A54" s="430"/>
      <c r="B54" s="430"/>
      <c r="C54" s="155" t="s">
        <v>7</v>
      </c>
      <c r="D54" s="333">
        <v>107412</v>
      </c>
      <c r="E54" s="130">
        <v>12922.2</v>
      </c>
      <c r="F54" s="130">
        <v>138679</v>
      </c>
      <c r="G54" s="327">
        <f t="shared" si="16"/>
        <v>0.34568528733541282</v>
      </c>
      <c r="H54" s="327">
        <f t="shared" si="17"/>
        <v>-0.14659322806252842</v>
      </c>
      <c r="I54" s="333">
        <v>15141.9</v>
      </c>
      <c r="J54" s="130">
        <v>161596.4</v>
      </c>
      <c r="K54" s="327">
        <f t="shared" si="18"/>
        <v>0.35741447559429806</v>
      </c>
    </row>
    <row r="55" spans="1:11" ht="11.1" customHeight="1">
      <c r="A55" s="430"/>
      <c r="B55" s="430"/>
      <c r="C55" s="155" t="s">
        <v>93</v>
      </c>
      <c r="D55" s="333">
        <v>17</v>
      </c>
      <c r="E55" s="130">
        <v>187.06200000000001</v>
      </c>
      <c r="F55" s="130">
        <v>2007.51992</v>
      </c>
      <c r="G55" s="327">
        <f t="shared" si="16"/>
        <v>5.0041464471635624E-3</v>
      </c>
      <c r="H55" s="327">
        <f t="shared" si="17"/>
        <v>0.19087089381207026</v>
      </c>
      <c r="I55" s="333">
        <v>157.08000000000001</v>
      </c>
      <c r="J55" s="130">
        <v>1676.3661199999999</v>
      </c>
      <c r="K55" s="327">
        <f t="shared" si="18"/>
        <v>3.7077688946798187E-3</v>
      </c>
    </row>
    <row r="56" spans="1:11" ht="11.1" customHeight="1">
      <c r="A56" s="431"/>
      <c r="B56" s="431"/>
      <c r="C56" s="339" t="s">
        <v>0</v>
      </c>
      <c r="D56" s="342">
        <v>117763</v>
      </c>
      <c r="E56" s="340">
        <v>37381.4</v>
      </c>
      <c r="F56" s="340">
        <v>401171.19883999991</v>
      </c>
      <c r="G56" s="341">
        <f>SUM(G51:G55)</f>
        <v>0.99999999999999989</v>
      </c>
      <c r="H56" s="341">
        <f t="shared" ref="H56" si="19">(E56-I56)/I56</f>
        <v>-0.11763692284451126</v>
      </c>
      <c r="I56" s="342">
        <v>42365.100000000006</v>
      </c>
      <c r="J56" s="340">
        <v>452125.25514999998</v>
      </c>
      <c r="K56" s="341">
        <f>SUM(K51:K55)</f>
        <v>0.99999999999999989</v>
      </c>
    </row>
    <row r="57" spans="1:11" ht="11.1" customHeight="1">
      <c r="A57" s="500" t="str">
        <f>'3.1'!G5</f>
        <v>I. čtvrtletí</v>
      </c>
      <c r="B57" s="429"/>
      <c r="C57" s="165" t="s">
        <v>4</v>
      </c>
      <c r="D57" s="332">
        <f>D51</f>
        <v>78</v>
      </c>
      <c r="E57" s="328">
        <f>E39+E45+E51</f>
        <v>42174.506999999998</v>
      </c>
      <c r="F57" s="328">
        <f>F39+F45+F51</f>
        <v>451327.22146000003</v>
      </c>
      <c r="G57" s="329">
        <f>E57/$E$62</f>
        <v>0.34167436573802523</v>
      </c>
      <c r="H57" s="329">
        <f>(E57-I57)/I57</f>
        <v>-0.112449043615048</v>
      </c>
      <c r="I57" s="332">
        <f>I39+I45+I51</f>
        <v>47517.843000000001</v>
      </c>
      <c r="J57" s="328">
        <f>J39+J45+J51</f>
        <v>507555.38472999987</v>
      </c>
      <c r="K57" s="329">
        <f>I57/$I$62</f>
        <v>0.33816461222813771</v>
      </c>
    </row>
    <row r="58" spans="1:11" ht="11.1" customHeight="1">
      <c r="A58" s="430"/>
      <c r="B58" s="430"/>
      <c r="C58" s="155" t="s">
        <v>5</v>
      </c>
      <c r="D58" s="333">
        <f>D52</f>
        <v>245</v>
      </c>
      <c r="E58" s="130">
        <f t="shared" ref="E58:F59" si="20">E40+E46+E52</f>
        <v>12638.791999999999</v>
      </c>
      <c r="F58" s="130">
        <f t="shared" si="20"/>
        <v>135252.79397</v>
      </c>
      <c r="G58" s="327">
        <f t="shared" ref="G58:G61" si="21">E58/$E$62</f>
        <v>0.10239245334378959</v>
      </c>
      <c r="H58" s="327">
        <f t="shared" ref="H58:H61" si="22">(E58-I58)/I58</f>
        <v>-2.7432038973537944E-2</v>
      </c>
      <c r="I58" s="333">
        <f t="shared" ref="I58:J58" si="23">I40+I46+I52</f>
        <v>12995.278999999999</v>
      </c>
      <c r="J58" s="130">
        <f t="shared" si="23"/>
        <v>138810.98930999995</v>
      </c>
      <c r="K58" s="327">
        <f t="shared" ref="K58:K61" si="24">I58/$I$62</f>
        <v>9.2481964802810193E-2</v>
      </c>
    </row>
    <row r="59" spans="1:11" ht="11.1" customHeight="1">
      <c r="A59" s="430"/>
      <c r="B59" s="430"/>
      <c r="C59" s="155" t="s">
        <v>6</v>
      </c>
      <c r="D59" s="333">
        <f>D53</f>
        <v>10011</v>
      </c>
      <c r="E59" s="130">
        <f>E41+E47+E53</f>
        <v>24170.932000000001</v>
      </c>
      <c r="F59" s="130">
        <f t="shared" si="20"/>
        <v>258651.7819</v>
      </c>
      <c r="G59" s="327">
        <f t="shared" si="21"/>
        <v>0.19581942855661449</v>
      </c>
      <c r="H59" s="327">
        <f t="shared" si="22"/>
        <v>-0.12384189468463683</v>
      </c>
      <c r="I59" s="333">
        <f>I41+I47+I53</f>
        <v>27587.409000000003</v>
      </c>
      <c r="J59" s="130">
        <f t="shared" ref="J59" si="25">J41+J47+J53</f>
        <v>294683.21958999999</v>
      </c>
      <c r="K59" s="327">
        <f t="shared" si="24"/>
        <v>0.19632805022029381</v>
      </c>
    </row>
    <row r="60" spans="1:11" ht="11.1" customHeight="1">
      <c r="A60" s="430"/>
      <c r="B60" s="430"/>
      <c r="C60" s="155" t="s">
        <v>7</v>
      </c>
      <c r="D60" s="333">
        <f>D54</f>
        <v>107412</v>
      </c>
      <c r="E60" s="130">
        <f t="shared" ref="E60:F61" si="26">E42+E48+E54</f>
        <v>43926.6</v>
      </c>
      <c r="F60" s="130">
        <f t="shared" si="26"/>
        <v>470041.8</v>
      </c>
      <c r="G60" s="327">
        <f t="shared" si="21"/>
        <v>0.35586884735909158</v>
      </c>
      <c r="H60" s="327">
        <f t="shared" si="22"/>
        <v>-0.15456183166144452</v>
      </c>
      <c r="I60" s="333">
        <f t="shared" ref="I60:J60" si="27">I42+I48+I54</f>
        <v>51957.200000000004</v>
      </c>
      <c r="J60" s="130">
        <f t="shared" si="27"/>
        <v>554993.80000000005</v>
      </c>
      <c r="K60" s="327">
        <f t="shared" si="24"/>
        <v>0.36975765904314717</v>
      </c>
    </row>
    <row r="61" spans="1:11" ht="11.1" customHeight="1">
      <c r="A61" s="430"/>
      <c r="B61" s="430"/>
      <c r="C61" s="155" t="s">
        <v>93</v>
      </c>
      <c r="D61" s="333">
        <f>D55</f>
        <v>17</v>
      </c>
      <c r="E61" s="130">
        <f>E43+E49+E55</f>
        <v>523.96900000000005</v>
      </c>
      <c r="F61" s="130">
        <f t="shared" si="26"/>
        <v>5608.5260099999996</v>
      </c>
      <c r="G61" s="327">
        <f t="shared" si="21"/>
        <v>4.2449050024790415E-3</v>
      </c>
      <c r="H61" s="327">
        <f t="shared" si="22"/>
        <v>0.14112450971211052</v>
      </c>
      <c r="I61" s="333">
        <f>I43+I49+I55</f>
        <v>459.16899999999998</v>
      </c>
      <c r="J61" s="130">
        <f t="shared" ref="J61" si="28">J43+J49+J55</f>
        <v>4904.40193</v>
      </c>
      <c r="K61" s="327">
        <f t="shared" si="24"/>
        <v>3.2677137056112112E-3</v>
      </c>
    </row>
    <row r="62" spans="1:11" ht="11.1" customHeight="1">
      <c r="A62" s="431"/>
      <c r="B62" s="431"/>
      <c r="C62" s="339" t="s">
        <v>0</v>
      </c>
      <c r="D62" s="342">
        <f>SUM(D57:D61)</f>
        <v>117763</v>
      </c>
      <c r="E62" s="340">
        <f>SUM(E57:E61)</f>
        <v>123434.8</v>
      </c>
      <c r="F62" s="340">
        <f>SUM(F57:F61)</f>
        <v>1320882.1233399999</v>
      </c>
      <c r="G62" s="341">
        <f>SUM(G57:G61)</f>
        <v>1</v>
      </c>
      <c r="H62" s="341">
        <f>(E62-I62)/I62</f>
        <v>-0.12156616036932207</v>
      </c>
      <c r="I62" s="342">
        <f>SUM(I57:I61)</f>
        <v>140516.9</v>
      </c>
      <c r="J62" s="340">
        <f>SUM(J57:J61)</f>
        <v>1500947.7955599998</v>
      </c>
      <c r="K62" s="341">
        <f>SUM(K57:K61)</f>
        <v>1.0000000000000002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4" t="s">
        <v>312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4"/>
      <c r="B3" s="524"/>
      <c r="C3" s="524"/>
      <c r="D3" s="320"/>
      <c r="E3" s="320"/>
      <c r="F3" s="321"/>
      <c r="G3" s="322"/>
      <c r="H3" s="322"/>
      <c r="I3" s="322"/>
      <c r="J3" s="76"/>
      <c r="K3" s="76"/>
    </row>
    <row r="4" spans="1:16" ht="12.95" customHeight="1">
      <c r="A4" s="494" t="s">
        <v>39</v>
      </c>
      <c r="B4" s="494"/>
      <c r="C4" s="494"/>
      <c r="D4" s="496">
        <f>'3.1'!A4</f>
        <v>2022</v>
      </c>
      <c r="E4" s="382"/>
      <c r="F4" s="371"/>
      <c r="G4" s="371"/>
      <c r="H4" s="371"/>
      <c r="I4" s="496">
        <f>D4-1</f>
        <v>2021</v>
      </c>
      <c r="J4" s="497"/>
      <c r="K4" s="497"/>
    </row>
    <row r="5" spans="1:16" ht="24.95" customHeight="1">
      <c r="A5" s="383"/>
      <c r="B5" s="383"/>
      <c r="C5" s="383"/>
      <c r="D5" s="490"/>
      <c r="E5" s="384"/>
      <c r="F5" s="385"/>
      <c r="G5" s="385"/>
      <c r="H5" s="386"/>
      <c r="I5" s="490"/>
      <c r="J5" s="491"/>
      <c r="K5" s="491"/>
    </row>
    <row r="6" spans="1:16" ht="24.95" customHeight="1">
      <c r="A6" s="324"/>
      <c r="B6" s="292"/>
      <c r="C6" s="325"/>
      <c r="D6" s="393" t="s">
        <v>160</v>
      </c>
      <c r="E6" s="486" t="s">
        <v>60</v>
      </c>
      <c r="F6" s="486"/>
      <c r="G6" s="487" t="s">
        <v>33</v>
      </c>
      <c r="H6" s="487" t="s">
        <v>276</v>
      </c>
      <c r="I6" s="485" t="s">
        <v>60</v>
      </c>
      <c r="J6" s="486"/>
      <c r="K6" s="487" t="s">
        <v>33</v>
      </c>
    </row>
    <row r="7" spans="1:16" ht="24.95" customHeight="1">
      <c r="A7" s="324"/>
      <c r="B7" s="326"/>
      <c r="D7" s="394"/>
      <c r="E7" s="486"/>
      <c r="F7" s="486"/>
      <c r="G7" s="487"/>
      <c r="H7" s="487"/>
      <c r="I7" s="485"/>
      <c r="J7" s="486"/>
      <c r="K7" s="487"/>
    </row>
    <row r="8" spans="1:16" ht="15" customHeight="1">
      <c r="A8" s="495" t="s">
        <v>159</v>
      </c>
      <c r="B8" s="495"/>
      <c r="C8" s="344" t="s">
        <v>185</v>
      </c>
      <c r="D8" s="372"/>
      <c r="E8" s="222" t="s">
        <v>267</v>
      </c>
      <c r="F8" s="222" t="s">
        <v>268</v>
      </c>
      <c r="G8" s="474"/>
      <c r="H8" s="474"/>
      <c r="I8" s="224" t="s">
        <v>267</v>
      </c>
      <c r="J8" s="222" t="s">
        <v>268</v>
      </c>
      <c r="K8" s="474"/>
    </row>
    <row r="9" spans="1:16" ht="11.1" customHeight="1">
      <c r="A9" s="429" t="str">
        <f>'3.1'!D5</f>
        <v>Leden</v>
      </c>
      <c r="B9" s="429"/>
      <c r="C9" s="165" t="s">
        <v>4</v>
      </c>
      <c r="D9" s="332">
        <v>92</v>
      </c>
      <c r="E9" s="328">
        <v>15721.577000000001</v>
      </c>
      <c r="F9" s="328">
        <v>167939.49213</v>
      </c>
      <c r="G9" s="329">
        <f>E9/$E$14</f>
        <v>0.34650776368425107</v>
      </c>
      <c r="H9" s="329">
        <f>(E9-I9)/I9</f>
        <v>-0.13478632824355843</v>
      </c>
      <c r="I9" s="332">
        <v>18170.744999999999</v>
      </c>
      <c r="J9" s="328">
        <v>194148.11199</v>
      </c>
      <c r="K9" s="329">
        <f>I9/$I$14</f>
        <v>0.35633523161820946</v>
      </c>
    </row>
    <row r="10" spans="1:16" ht="11.1" customHeight="1">
      <c r="A10" s="430"/>
      <c r="B10" s="430"/>
      <c r="C10" s="155" t="s">
        <v>5</v>
      </c>
      <c r="D10" s="333">
        <v>294</v>
      </c>
      <c r="E10" s="130">
        <v>5309.1170000000002</v>
      </c>
      <c r="F10" s="130">
        <v>56712.285829999957</v>
      </c>
      <c r="G10" s="327">
        <f>E10/$E$14</f>
        <v>0.11701435923432109</v>
      </c>
      <c r="H10" s="327">
        <f>(E10-I10)/I10</f>
        <v>-0.10400214805223915</v>
      </c>
      <c r="I10" s="333">
        <v>5925.3680000000004</v>
      </c>
      <c r="J10" s="130">
        <v>63310.380430000019</v>
      </c>
      <c r="K10" s="327">
        <f>I10/$I$14</f>
        <v>0.11619872375640772</v>
      </c>
      <c r="L10" s="94"/>
      <c r="N10" s="94"/>
      <c r="O10" s="94"/>
      <c r="P10" s="94"/>
    </row>
    <row r="11" spans="1:16" ht="11.1" customHeight="1">
      <c r="A11" s="430"/>
      <c r="B11" s="430"/>
      <c r="C11" s="155" t="s">
        <v>6</v>
      </c>
      <c r="D11" s="333">
        <v>8920</v>
      </c>
      <c r="E11" s="130">
        <v>10377.145999999999</v>
      </c>
      <c r="F11" s="130">
        <v>110849.21599</v>
      </c>
      <c r="G11" s="327">
        <f>E11/$E$14</f>
        <v>0.22871507444100364</v>
      </c>
      <c r="H11" s="327">
        <f t="shared" ref="H11:H13" si="0">(E11-I11)/I11</f>
        <v>-6.4752011358727726E-2</v>
      </c>
      <c r="I11" s="333">
        <v>11095.609</v>
      </c>
      <c r="J11" s="130">
        <v>118553.36398000001</v>
      </c>
      <c r="K11" s="327">
        <f>I11/$I$14</f>
        <v>0.21758911937623304</v>
      </c>
      <c r="L11" s="94"/>
      <c r="N11" s="94"/>
      <c r="O11" s="94"/>
      <c r="P11" s="94"/>
    </row>
    <row r="12" spans="1:16" ht="11.1" customHeight="1">
      <c r="A12" s="430"/>
      <c r="B12" s="430"/>
      <c r="C12" s="155" t="s">
        <v>7</v>
      </c>
      <c r="D12" s="333">
        <v>83820</v>
      </c>
      <c r="E12" s="130">
        <v>13717.5</v>
      </c>
      <c r="F12" s="130">
        <v>146532</v>
      </c>
      <c r="G12" s="327">
        <f>E12/$E$14</f>
        <v>0.30233737037567632</v>
      </c>
      <c r="H12" s="327">
        <f t="shared" si="0"/>
        <v>-8.8980096033153308E-2</v>
      </c>
      <c r="I12" s="333">
        <v>15057.3</v>
      </c>
      <c r="J12" s="130">
        <v>160881.9</v>
      </c>
      <c r="K12" s="327">
        <f>I12/$I$14</f>
        <v>0.29527938909741264</v>
      </c>
      <c r="L12" s="94"/>
      <c r="N12" s="94"/>
      <c r="O12" s="94"/>
      <c r="P12" s="94"/>
    </row>
    <row r="13" spans="1:16" ht="11.1" customHeight="1">
      <c r="A13" s="430"/>
      <c r="B13" s="430"/>
      <c r="C13" s="155" t="s">
        <v>93</v>
      </c>
      <c r="D13" s="333">
        <v>9</v>
      </c>
      <c r="E13" s="130">
        <v>246.16</v>
      </c>
      <c r="F13" s="130">
        <v>2629.4960700000001</v>
      </c>
      <c r="G13" s="327">
        <f>E13/$E$14</f>
        <v>5.4254322647476934E-3</v>
      </c>
      <c r="H13" s="327">
        <f t="shared" si="0"/>
        <v>-0.66930779791987416</v>
      </c>
      <c r="I13" s="333">
        <v>744.37800000000004</v>
      </c>
      <c r="J13" s="130">
        <v>7953.44985</v>
      </c>
      <c r="K13" s="327">
        <f>I13/$I$14</f>
        <v>1.4597536151737285E-2</v>
      </c>
      <c r="L13" s="94"/>
      <c r="N13" s="94"/>
      <c r="O13" s="94"/>
      <c r="P13" s="94"/>
    </row>
    <row r="14" spans="1:16" ht="11.1" customHeight="1">
      <c r="A14" s="431"/>
      <c r="B14" s="431"/>
      <c r="C14" s="339" t="s">
        <v>0</v>
      </c>
      <c r="D14" s="342">
        <v>93135</v>
      </c>
      <c r="E14" s="340">
        <v>45371.500000000007</v>
      </c>
      <c r="F14" s="340">
        <v>484662.49001999991</v>
      </c>
      <c r="G14" s="341">
        <f>SUM(G9:G13)</f>
        <v>0.99999999999999978</v>
      </c>
      <c r="H14" s="341">
        <f>(E14-I14)/I14</f>
        <v>-0.11024760066989037</v>
      </c>
      <c r="I14" s="342">
        <v>50993.399999999994</v>
      </c>
      <c r="J14" s="340">
        <v>544847.20625000005</v>
      </c>
      <c r="K14" s="341">
        <f>SUM(K9:K13)</f>
        <v>1</v>
      </c>
      <c r="L14" s="94"/>
    </row>
    <row r="15" spans="1:16" ht="11.1" customHeight="1">
      <c r="A15" s="429" t="str">
        <f>'3.1'!E5</f>
        <v>Únor</v>
      </c>
      <c r="B15" s="429"/>
      <c r="C15" s="165" t="s">
        <v>4</v>
      </c>
      <c r="D15" s="332">
        <v>93</v>
      </c>
      <c r="E15" s="328">
        <v>13715.705</v>
      </c>
      <c r="F15" s="328">
        <v>146687.01816000001</v>
      </c>
      <c r="G15" s="329">
        <f>E15/$E$20</f>
        <v>0.37153318976609373</v>
      </c>
      <c r="H15" s="329">
        <f>(E15-I15)/I15</f>
        <v>-0.14628999128594547</v>
      </c>
      <c r="I15" s="332">
        <v>16066</v>
      </c>
      <c r="J15" s="328">
        <v>171694.70074000006</v>
      </c>
      <c r="K15" s="329">
        <f>I15/$I$20</f>
        <v>0.35205743010785673</v>
      </c>
      <c r="L15" s="94"/>
      <c r="M15" s="94"/>
    </row>
    <row r="16" spans="1:16" ht="11.1" customHeight="1">
      <c r="A16" s="430"/>
      <c r="B16" s="430"/>
      <c r="C16" s="155" t="s">
        <v>5</v>
      </c>
      <c r="D16" s="333">
        <v>294</v>
      </c>
      <c r="E16" s="130">
        <v>4502.5770000000002</v>
      </c>
      <c r="F16" s="130">
        <v>48154.631529999977</v>
      </c>
      <c r="G16" s="327">
        <f>E16/$E$20</f>
        <v>0.12196651903620333</v>
      </c>
      <c r="H16" s="327">
        <f>(E16-I16)/I16</f>
        <v>-0.14641229145279944</v>
      </c>
      <c r="I16" s="333">
        <v>5274.8850000000002</v>
      </c>
      <c r="J16" s="130">
        <v>56372.404279999952</v>
      </c>
      <c r="K16" s="327">
        <f>I16/$I$20</f>
        <v>0.11558959649038229</v>
      </c>
      <c r="L16" s="98"/>
      <c r="M16" s="94"/>
    </row>
    <row r="17" spans="1:20" ht="11.1" customHeight="1">
      <c r="A17" s="430"/>
      <c r="B17" s="430"/>
      <c r="C17" s="155" t="s">
        <v>6</v>
      </c>
      <c r="D17" s="333">
        <v>8917</v>
      </c>
      <c r="E17" s="130">
        <v>7953.2889999999998</v>
      </c>
      <c r="F17" s="130">
        <v>85059.039569999994</v>
      </c>
      <c r="G17" s="327">
        <f>E17/$E$20</f>
        <v>0.2154399523248412</v>
      </c>
      <c r="H17" s="327">
        <f t="shared" ref="H17:H20" si="1">(E17-I17)/I17</f>
        <v>-0.22428051291404594</v>
      </c>
      <c r="I17" s="333">
        <v>10252.790000000001</v>
      </c>
      <c r="J17" s="130">
        <v>109570.00036999999</v>
      </c>
      <c r="K17" s="327">
        <f>I17/$I$20</f>
        <v>0.22467141160435283</v>
      </c>
      <c r="L17" s="94"/>
      <c r="M17" s="94"/>
      <c r="N17" s="94"/>
      <c r="O17" s="94"/>
    </row>
    <row r="18" spans="1:20" ht="11.1" customHeight="1">
      <c r="A18" s="430"/>
      <c r="B18" s="430"/>
      <c r="C18" s="155" t="s">
        <v>7</v>
      </c>
      <c r="D18" s="333">
        <v>83765</v>
      </c>
      <c r="E18" s="130">
        <v>10518.2</v>
      </c>
      <c r="F18" s="130">
        <v>112490.3</v>
      </c>
      <c r="G18" s="327">
        <f>E18/$E$20</f>
        <v>0.28491866780436936</v>
      </c>
      <c r="H18" s="327">
        <f t="shared" si="1"/>
        <v>-0.23341204594484277</v>
      </c>
      <c r="I18" s="333">
        <v>13720.8</v>
      </c>
      <c r="J18" s="130">
        <v>146632</v>
      </c>
      <c r="K18" s="327">
        <f>I18/$I$20</f>
        <v>0.30066659946619445</v>
      </c>
      <c r="L18" s="94"/>
      <c r="M18" s="94"/>
      <c r="N18" s="94"/>
      <c r="O18" s="94"/>
    </row>
    <row r="19" spans="1:20" ht="11.1" customHeight="1">
      <c r="A19" s="430"/>
      <c r="B19" s="430"/>
      <c r="C19" s="155" t="s">
        <v>93</v>
      </c>
      <c r="D19" s="333">
        <v>9</v>
      </c>
      <c r="E19" s="130">
        <v>226.72900000000001</v>
      </c>
      <c r="F19" s="130">
        <v>2424.8205899999998</v>
      </c>
      <c r="G19" s="327">
        <f>E19/$E$20</f>
        <v>6.1416710684924092E-3</v>
      </c>
      <c r="H19" s="327">
        <f t="shared" si="1"/>
        <v>-0.29174853572823112</v>
      </c>
      <c r="I19" s="333">
        <v>320.125</v>
      </c>
      <c r="J19" s="130">
        <v>3421.1233700000003</v>
      </c>
      <c r="K19" s="327">
        <f>I19/$I$20</f>
        <v>7.0149623312135961E-3</v>
      </c>
      <c r="L19" s="94"/>
      <c r="M19" s="94"/>
      <c r="N19" s="94"/>
      <c r="O19" s="94"/>
    </row>
    <row r="20" spans="1:20" ht="11.1" customHeight="1">
      <c r="A20" s="431"/>
      <c r="B20" s="431"/>
      <c r="C20" s="339" t="s">
        <v>0</v>
      </c>
      <c r="D20" s="342">
        <v>93078</v>
      </c>
      <c r="E20" s="340">
        <v>36916.5</v>
      </c>
      <c r="F20" s="340">
        <v>394815.80985000002</v>
      </c>
      <c r="G20" s="341">
        <f>SUM(G15:G19)</f>
        <v>1</v>
      </c>
      <c r="H20" s="341">
        <f t="shared" si="1"/>
        <v>-0.19104144662164246</v>
      </c>
      <c r="I20" s="342">
        <v>45634.600000000006</v>
      </c>
      <c r="J20" s="340">
        <v>487690.22876000003</v>
      </c>
      <c r="K20" s="341">
        <f>SUM(K15:K19)</f>
        <v>0.99999999999999989</v>
      </c>
      <c r="L20" s="94"/>
      <c r="M20" s="94"/>
      <c r="N20" s="94"/>
      <c r="O20" s="94"/>
    </row>
    <row r="21" spans="1:20" ht="11.1" customHeight="1">
      <c r="A21" s="429" t="str">
        <f>'3.1'!F5</f>
        <v>Březen</v>
      </c>
      <c r="B21" s="429"/>
      <c r="C21" s="165" t="s">
        <v>4</v>
      </c>
      <c r="D21" s="332">
        <v>93</v>
      </c>
      <c r="E21" s="328">
        <v>14054.705</v>
      </c>
      <c r="F21" s="328">
        <v>150832.86364999993</v>
      </c>
      <c r="G21" s="329">
        <f>E21/$E$26</f>
        <v>0.38364460470537498</v>
      </c>
      <c r="H21" s="329">
        <f>(E21-I21)/I21</f>
        <v>-0.10055299073207759</v>
      </c>
      <c r="I21" s="332">
        <v>15625.94</v>
      </c>
      <c r="J21" s="328">
        <v>166761.67129999999</v>
      </c>
      <c r="K21" s="329">
        <f>I21/$I$26</f>
        <v>0.37915719336217585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0"/>
      <c r="B22" s="430"/>
      <c r="C22" s="155" t="s">
        <v>5</v>
      </c>
      <c r="D22" s="333">
        <v>293</v>
      </c>
      <c r="E22" s="130">
        <v>4256.027</v>
      </c>
      <c r="F22" s="130">
        <v>45675.461259999982</v>
      </c>
      <c r="G22" s="327">
        <f>E22/$E$26</f>
        <v>0.11617474689297307</v>
      </c>
      <c r="H22" s="327">
        <f t="shared" ref="H22:H26" si="2">(E22-I22)/I22</f>
        <v>-0.11035908781448431</v>
      </c>
      <c r="I22" s="333">
        <v>4783.9830000000002</v>
      </c>
      <c r="J22" s="130">
        <v>51055.743010000035</v>
      </c>
      <c r="K22" s="327">
        <f>I22/$I$26</f>
        <v>0.11608143685259012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0"/>
      <c r="B23" s="430"/>
      <c r="C23" s="155" t="s">
        <v>6</v>
      </c>
      <c r="D23" s="333">
        <v>8925</v>
      </c>
      <c r="E23" s="130">
        <v>7955.5370000000003</v>
      </c>
      <c r="F23" s="130">
        <v>85377.735839999994</v>
      </c>
      <c r="G23" s="327">
        <f>E23/$E$26</f>
        <v>0.21715851364962729</v>
      </c>
      <c r="H23" s="327">
        <f t="shared" si="2"/>
        <v>-7.9929369251175442E-2</v>
      </c>
      <c r="I23" s="333">
        <v>8646.6589999999997</v>
      </c>
      <c r="J23" s="130">
        <v>92278.02472999999</v>
      </c>
      <c r="K23" s="327">
        <f>I23/$I$26</f>
        <v>0.20980772730471239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0"/>
      <c r="B24" s="430"/>
      <c r="C24" s="155" t="s">
        <v>7</v>
      </c>
      <c r="D24" s="333">
        <v>83687</v>
      </c>
      <c r="E24" s="130">
        <v>10101.1</v>
      </c>
      <c r="F24" s="130">
        <v>108403.7</v>
      </c>
      <c r="G24" s="327">
        <f>E24/$E$26</f>
        <v>0.27572492745948518</v>
      </c>
      <c r="H24" s="327">
        <f t="shared" si="2"/>
        <v>-0.14659265642689379</v>
      </c>
      <c r="I24" s="333">
        <v>11836.2</v>
      </c>
      <c r="J24" s="130">
        <v>126317.9</v>
      </c>
      <c r="K24" s="327">
        <f>I24/$I$26</f>
        <v>0.28720066582064091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0"/>
      <c r="B25" s="430"/>
      <c r="C25" s="155" t="s">
        <v>93</v>
      </c>
      <c r="D25" s="333">
        <v>9</v>
      </c>
      <c r="E25" s="130">
        <v>267.33100000000002</v>
      </c>
      <c r="F25" s="130">
        <v>2868.9406099999997</v>
      </c>
      <c r="G25" s="327">
        <f>E25/$E$26</f>
        <v>7.297207292539588E-3</v>
      </c>
      <c r="H25" s="327">
        <f t="shared" si="2"/>
        <v>-0.16333039140204922</v>
      </c>
      <c r="I25" s="333">
        <v>319.51799999999997</v>
      </c>
      <c r="J25" s="130">
        <v>3409.9276100000002</v>
      </c>
      <c r="K25" s="327">
        <f>I25/$I$26</f>
        <v>7.7529766598806657E-3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1"/>
      <c r="B26" s="431"/>
      <c r="C26" s="339" t="s">
        <v>0</v>
      </c>
      <c r="D26" s="342">
        <v>93007</v>
      </c>
      <c r="E26" s="340">
        <v>36634.699999999997</v>
      </c>
      <c r="F26" s="340">
        <v>393158.70135999989</v>
      </c>
      <c r="G26" s="341">
        <f>SUM(G21:G25)</f>
        <v>1.0000000000000002</v>
      </c>
      <c r="H26" s="341">
        <f t="shared" si="2"/>
        <v>-0.11107363578349196</v>
      </c>
      <c r="I26" s="342">
        <v>41212.300000000003</v>
      </c>
      <c r="J26" s="340">
        <v>439823.26665000001</v>
      </c>
      <c r="K26" s="341">
        <f>SUM(K21:K25)</f>
        <v>0.99999999999999989</v>
      </c>
    </row>
    <row r="27" spans="1:20" ht="11.1" customHeight="1">
      <c r="A27" s="500" t="str">
        <f>'3.1'!G5</f>
        <v>I. čtvrtletí</v>
      </c>
      <c r="B27" s="429"/>
      <c r="C27" s="165" t="s">
        <v>4</v>
      </c>
      <c r="D27" s="332">
        <f>D21</f>
        <v>93</v>
      </c>
      <c r="E27" s="328">
        <f>E9+E15+E21</f>
        <v>43491.987000000001</v>
      </c>
      <c r="F27" s="328">
        <f>F9+F15+F21</f>
        <v>465459.37393999996</v>
      </c>
      <c r="G27" s="329">
        <f>E27/$E$32</f>
        <v>0.36571644437941625</v>
      </c>
      <c r="H27" s="329">
        <f>(E27-I27)/I27</f>
        <v>-0.12776484058168944</v>
      </c>
      <c r="I27" s="332">
        <f>I9+I15+I21</f>
        <v>49862.684999999998</v>
      </c>
      <c r="J27" s="328">
        <f>J9+J15+J21</f>
        <v>532604.48403000005</v>
      </c>
      <c r="K27" s="329">
        <f>I27/$I$32</f>
        <v>0.36174242946366186</v>
      </c>
    </row>
    <row r="28" spans="1:20" ht="11.1" customHeight="1">
      <c r="A28" s="430"/>
      <c r="B28" s="430"/>
      <c r="C28" s="155" t="s">
        <v>5</v>
      </c>
      <c r="D28" s="333">
        <f>D22</f>
        <v>293</v>
      </c>
      <c r="E28" s="130">
        <f t="shared" ref="E28:F31" si="3">E10+E16+E22</f>
        <v>14067.721</v>
      </c>
      <c r="F28" s="130">
        <f t="shared" si="3"/>
        <v>150542.37861999992</v>
      </c>
      <c r="G28" s="327">
        <f>E28/$E$32</f>
        <v>0.11829298359354437</v>
      </c>
      <c r="H28" s="327">
        <f t="shared" ref="H28:H31" si="4">(E28-I28)/I28</f>
        <v>-0.11990031928958013</v>
      </c>
      <c r="I28" s="333">
        <f t="shared" ref="I28:J28" si="5">I10+I16+I22</f>
        <v>15984.236000000001</v>
      </c>
      <c r="J28" s="130">
        <f t="shared" si="5"/>
        <v>170738.52772000001</v>
      </c>
      <c r="K28" s="327">
        <f>I28/$I$32</f>
        <v>0.11596199369850471</v>
      </c>
    </row>
    <row r="29" spans="1:20" ht="11.1" customHeight="1">
      <c r="A29" s="430"/>
      <c r="B29" s="430"/>
      <c r="C29" s="155" t="s">
        <v>6</v>
      </c>
      <c r="D29" s="333">
        <f>D23</f>
        <v>8925</v>
      </c>
      <c r="E29" s="130">
        <f t="shared" si="3"/>
        <v>26285.971999999998</v>
      </c>
      <c r="F29" s="130">
        <f t="shared" si="3"/>
        <v>281285.9914</v>
      </c>
      <c r="G29" s="327">
        <f>E29/$E$32</f>
        <v>0.22103410030212903</v>
      </c>
      <c r="H29" s="327">
        <f t="shared" si="4"/>
        <v>-0.1236565703590239</v>
      </c>
      <c r="I29" s="333">
        <f t="shared" ref="I29:J29" si="6">I11+I17+I23</f>
        <v>29995.058000000001</v>
      </c>
      <c r="J29" s="130">
        <f t="shared" si="6"/>
        <v>320401.38907999999</v>
      </c>
      <c r="K29" s="327">
        <f>I29/$I$32</f>
        <v>0.2176073180339857</v>
      </c>
    </row>
    <row r="30" spans="1:20" ht="11.1" customHeight="1">
      <c r="A30" s="430"/>
      <c r="B30" s="430"/>
      <c r="C30" s="155" t="s">
        <v>7</v>
      </c>
      <c r="D30" s="333">
        <f>D24</f>
        <v>83687</v>
      </c>
      <c r="E30" s="130">
        <f t="shared" si="3"/>
        <v>34336.800000000003</v>
      </c>
      <c r="F30" s="130">
        <f t="shared" si="3"/>
        <v>367426</v>
      </c>
      <c r="G30" s="327">
        <f>E30/$E$32</f>
        <v>0.28873209235915431</v>
      </c>
      <c r="H30" s="327">
        <f t="shared" si="4"/>
        <v>-0.15456378664657522</v>
      </c>
      <c r="I30" s="333">
        <f t="shared" ref="I30:J30" si="7">I12+I18+I24</f>
        <v>40614.300000000003</v>
      </c>
      <c r="J30" s="130">
        <f t="shared" si="7"/>
        <v>433831.80000000005</v>
      </c>
      <c r="K30" s="327">
        <f>I30/$I$32</f>
        <v>0.29464750149266938</v>
      </c>
    </row>
    <row r="31" spans="1:20" ht="11.1" customHeight="1">
      <c r="A31" s="430"/>
      <c r="B31" s="430"/>
      <c r="C31" s="155" t="s">
        <v>93</v>
      </c>
      <c r="D31" s="333">
        <f>D25</f>
        <v>9</v>
      </c>
      <c r="E31" s="130">
        <f>E13+E19+E25</f>
        <v>740.22</v>
      </c>
      <c r="F31" s="130">
        <f t="shared" si="3"/>
        <v>7923.2572700000001</v>
      </c>
      <c r="G31" s="327">
        <f>E31/$E$32</f>
        <v>6.224379365756076E-3</v>
      </c>
      <c r="H31" s="327">
        <f t="shared" si="4"/>
        <v>-0.46516707477704461</v>
      </c>
      <c r="I31" s="333">
        <f>I13+I19+I25</f>
        <v>1384.0210000000002</v>
      </c>
      <c r="J31" s="130">
        <f t="shared" ref="J31" si="8">J13+J19+J25</f>
        <v>14784.500830000001</v>
      </c>
      <c r="K31" s="327">
        <f>I31/$I$32</f>
        <v>1.0040757311178226E-2</v>
      </c>
    </row>
    <row r="32" spans="1:20" ht="11.1" customHeight="1">
      <c r="A32" s="431"/>
      <c r="B32" s="431"/>
      <c r="C32" s="339" t="s">
        <v>0</v>
      </c>
      <c r="D32" s="342">
        <f>SUM(D27:D31)</f>
        <v>93007</v>
      </c>
      <c r="E32" s="340">
        <f>SUM(E27:E31)</f>
        <v>118922.7</v>
      </c>
      <c r="F32" s="340">
        <f>SUM(F27:F31)</f>
        <v>1272637.0012299998</v>
      </c>
      <c r="G32" s="341">
        <f>SUM(G27:G31)</f>
        <v>1</v>
      </c>
      <c r="H32" s="341">
        <f>(E32-I32)/I32</f>
        <v>-0.13724288179871938</v>
      </c>
      <c r="I32" s="342">
        <f>SUM(I27:I31)</f>
        <v>137840.30000000002</v>
      </c>
      <c r="J32" s="340">
        <f>SUM(J27:J31)</f>
        <v>1472360.70166</v>
      </c>
      <c r="K32" s="341">
        <f>SUM(K27:K31)</f>
        <v>0.99999999999999989</v>
      </c>
    </row>
    <row r="33" spans="1:11" ht="9.9499999999999993" customHeight="1">
      <c r="A33" s="387"/>
      <c r="B33" s="388"/>
      <c r="C33" s="389"/>
      <c r="D33" s="390"/>
      <c r="E33" s="390"/>
      <c r="F33" s="390"/>
      <c r="G33" s="391"/>
      <c r="H33" s="392"/>
      <c r="I33" s="390"/>
      <c r="J33" s="390"/>
      <c r="K33" s="391"/>
    </row>
    <row r="34" spans="1:11" ht="12.95" customHeight="1">
      <c r="A34" s="525" t="s">
        <v>40</v>
      </c>
      <c r="B34" s="525"/>
      <c r="C34" s="525"/>
      <c r="D34" s="496">
        <f>D4</f>
        <v>2022</v>
      </c>
      <c r="E34" s="382"/>
      <c r="F34" s="371"/>
      <c r="G34" s="371"/>
      <c r="H34" s="371"/>
      <c r="I34" s="496">
        <f>D34-1</f>
        <v>2021</v>
      </c>
      <c r="J34" s="497"/>
      <c r="K34" s="497"/>
    </row>
    <row r="35" spans="1:11" ht="24.95" customHeight="1">
      <c r="A35" s="324"/>
      <c r="B35" s="292"/>
      <c r="C35" s="151"/>
      <c r="D35" s="490"/>
      <c r="E35" s="384"/>
      <c r="F35" s="385"/>
      <c r="G35" s="385"/>
      <c r="H35" s="386"/>
      <c r="I35" s="490"/>
      <c r="J35" s="491"/>
      <c r="K35" s="491"/>
    </row>
    <row r="36" spans="1:11" ht="24.95" customHeight="1">
      <c r="A36" s="131"/>
      <c r="B36" s="132"/>
      <c r="C36" s="381"/>
      <c r="D36" s="393" t="s">
        <v>160</v>
      </c>
      <c r="E36" s="486" t="s">
        <v>60</v>
      </c>
      <c r="F36" s="486"/>
      <c r="G36" s="487" t="s">
        <v>33</v>
      </c>
      <c r="H36" s="487" t="s">
        <v>276</v>
      </c>
      <c r="I36" s="485" t="s">
        <v>60</v>
      </c>
      <c r="J36" s="486"/>
      <c r="K36" s="487" t="s">
        <v>33</v>
      </c>
    </row>
    <row r="37" spans="1:11" ht="24.95" customHeight="1">
      <c r="A37" s="131"/>
      <c r="B37" s="326"/>
      <c r="C37" s="326"/>
      <c r="D37" s="394"/>
      <c r="E37" s="486"/>
      <c r="F37" s="486"/>
      <c r="G37" s="487"/>
      <c r="H37" s="487"/>
      <c r="I37" s="485"/>
      <c r="J37" s="486"/>
      <c r="K37" s="487"/>
    </row>
    <row r="38" spans="1:11" ht="15" customHeight="1">
      <c r="A38" s="526" t="s">
        <v>159</v>
      </c>
      <c r="B38" s="526"/>
      <c r="C38" s="395" t="s">
        <v>185</v>
      </c>
      <c r="D38" s="372"/>
      <c r="E38" s="222" t="s">
        <v>267</v>
      </c>
      <c r="F38" s="222" t="s">
        <v>268</v>
      </c>
      <c r="G38" s="474"/>
      <c r="H38" s="474"/>
      <c r="I38" s="224" t="s">
        <v>267</v>
      </c>
      <c r="J38" s="222" t="s">
        <v>268</v>
      </c>
      <c r="K38" s="474"/>
    </row>
    <row r="39" spans="1:11" ht="11.1" customHeight="1">
      <c r="A39" s="429" t="str">
        <f>'3.1'!D5</f>
        <v>Leden</v>
      </c>
      <c r="B39" s="429"/>
      <c r="C39" s="165" t="s">
        <v>4</v>
      </c>
      <c r="D39" s="332">
        <v>172</v>
      </c>
      <c r="E39" s="328">
        <v>48766.985000000001</v>
      </c>
      <c r="F39" s="328">
        <v>520747.17816000001</v>
      </c>
      <c r="G39" s="329">
        <f>E39/$E$44</f>
        <v>0.43010988686114132</v>
      </c>
      <c r="H39" s="329">
        <f>(E39-I39)/I39</f>
        <v>-3.6108497212101937E-2</v>
      </c>
      <c r="I39" s="332">
        <v>50593.852999999996</v>
      </c>
      <c r="J39" s="328">
        <v>540379.93662999989</v>
      </c>
      <c r="K39" s="329">
        <f>I39/$I$44</f>
        <v>0.41885730817804506</v>
      </c>
    </row>
    <row r="40" spans="1:11" ht="11.1" customHeight="1">
      <c r="A40" s="430"/>
      <c r="B40" s="430"/>
      <c r="C40" s="155" t="s">
        <v>5</v>
      </c>
      <c r="D40" s="333">
        <v>467</v>
      </c>
      <c r="E40" s="130">
        <v>7672.4160000000002</v>
      </c>
      <c r="F40" s="130">
        <v>81940.870680000051</v>
      </c>
      <c r="G40" s="327">
        <f t="shared" ref="G40" si="9">E40/$E$44</f>
        <v>6.7668361653106301E-2</v>
      </c>
      <c r="H40" s="327">
        <f>(E40-I40)/I40</f>
        <v>-8.4328290609276393E-2</v>
      </c>
      <c r="I40" s="333">
        <v>8379.0029999999988</v>
      </c>
      <c r="J40" s="130">
        <v>89513.40058000003</v>
      </c>
      <c r="K40" s="327">
        <f t="shared" ref="K40:K43" si="10">I40/$I$44</f>
        <v>6.9368242062840396E-2</v>
      </c>
    </row>
    <row r="41" spans="1:11" ht="11.1" customHeight="1">
      <c r="A41" s="430"/>
      <c r="B41" s="430"/>
      <c r="C41" s="155" t="s">
        <v>6</v>
      </c>
      <c r="D41" s="333">
        <v>18464</v>
      </c>
      <c r="E41" s="130">
        <v>16705.026000000002</v>
      </c>
      <c r="F41" s="130">
        <v>178440.83564</v>
      </c>
      <c r="G41" s="327">
        <f>E41/$E$44</f>
        <v>0.14733321821868678</v>
      </c>
      <c r="H41" s="327">
        <f t="shared" ref="H41:H43" si="11">(E41-I41)/I41</f>
        <v>-6.4922071269676015E-2</v>
      </c>
      <c r="I41" s="333">
        <v>17864.849000000002</v>
      </c>
      <c r="J41" s="130">
        <v>190875.07329</v>
      </c>
      <c r="K41" s="327">
        <f t="shared" si="10"/>
        <v>0.14789983603635093</v>
      </c>
    </row>
    <row r="42" spans="1:11" ht="11.1" customHeight="1">
      <c r="A42" s="430"/>
      <c r="B42" s="430"/>
      <c r="C42" s="155" t="s">
        <v>7</v>
      </c>
      <c r="D42" s="333">
        <v>358429</v>
      </c>
      <c r="E42" s="130">
        <v>38168.256999999998</v>
      </c>
      <c r="F42" s="130">
        <v>407715.23599999998</v>
      </c>
      <c r="G42" s="327">
        <f>E42/$E$44</f>
        <v>0.33663234870798275</v>
      </c>
      <c r="H42" s="327">
        <f t="shared" si="11"/>
        <v>-8.8971758505625984E-2</v>
      </c>
      <c r="I42" s="333">
        <v>41895.800000000003</v>
      </c>
      <c r="J42" s="130">
        <v>447642.8</v>
      </c>
      <c r="K42" s="327">
        <f t="shared" si="10"/>
        <v>0.34684770918644486</v>
      </c>
    </row>
    <row r="43" spans="1:11" ht="11.1" customHeight="1">
      <c r="A43" s="430"/>
      <c r="B43" s="430"/>
      <c r="C43" s="155" t="s">
        <v>93</v>
      </c>
      <c r="D43" s="333">
        <v>32</v>
      </c>
      <c r="E43" s="130">
        <v>2069.9339999999997</v>
      </c>
      <c r="F43" s="130">
        <v>22096.610639999999</v>
      </c>
      <c r="G43" s="327">
        <f>E43/$E$44</f>
        <v>1.8256184559082945E-2</v>
      </c>
      <c r="H43" s="327">
        <f t="shared" si="11"/>
        <v>6.4428985896221001E-3</v>
      </c>
      <c r="I43" s="333">
        <v>2056.683</v>
      </c>
      <c r="J43" s="130">
        <v>21968.289850000001</v>
      </c>
      <c r="K43" s="327">
        <f t="shared" si="10"/>
        <v>1.7026904536318794E-2</v>
      </c>
    </row>
    <row r="44" spans="1:11" ht="11.1" customHeight="1">
      <c r="A44" s="431"/>
      <c r="B44" s="431"/>
      <c r="C44" s="339" t="s">
        <v>0</v>
      </c>
      <c r="D44" s="342">
        <v>377564</v>
      </c>
      <c r="E44" s="340">
        <v>113382.61799999999</v>
      </c>
      <c r="F44" s="340">
        <v>1210940.7311200001</v>
      </c>
      <c r="G44" s="341">
        <f>SUM(G39:G43)</f>
        <v>1</v>
      </c>
      <c r="H44" s="341">
        <f>(E44-I44)/I44</f>
        <v>-6.1325924917014017E-2</v>
      </c>
      <c r="I44" s="342">
        <v>120790.18799999999</v>
      </c>
      <c r="J44" s="340">
        <v>1290379.5003499999</v>
      </c>
      <c r="K44" s="341">
        <f>SUM(K39:K43)</f>
        <v>1</v>
      </c>
    </row>
    <row r="45" spans="1:11" ht="11.1" customHeight="1">
      <c r="A45" s="429" t="str">
        <f>'3.1'!E5</f>
        <v>Únor</v>
      </c>
      <c r="B45" s="429"/>
      <c r="C45" s="165" t="s">
        <v>4</v>
      </c>
      <c r="D45" s="332">
        <v>171</v>
      </c>
      <c r="E45" s="328">
        <v>42990.700000000004</v>
      </c>
      <c r="F45" s="328">
        <v>459607.74392000004</v>
      </c>
      <c r="G45" s="329">
        <f>E45/$E$50</f>
        <v>0.46215548409611701</v>
      </c>
      <c r="H45" s="329">
        <f>(E45-I45)/I45</f>
        <v>-9.3959124038179687E-2</v>
      </c>
      <c r="I45" s="332">
        <v>47448.963000000003</v>
      </c>
      <c r="J45" s="328">
        <v>506913.96479</v>
      </c>
      <c r="K45" s="329">
        <f>I45/$I$50</f>
        <v>0.42392096689685621</v>
      </c>
    </row>
    <row r="46" spans="1:11" ht="11.1" customHeight="1">
      <c r="A46" s="430"/>
      <c r="B46" s="430"/>
      <c r="C46" s="155" t="s">
        <v>5</v>
      </c>
      <c r="D46" s="333">
        <v>465</v>
      </c>
      <c r="E46" s="130">
        <v>6030.3289999999997</v>
      </c>
      <c r="F46" s="130">
        <v>64477.880449999961</v>
      </c>
      <c r="G46" s="327">
        <f t="shared" ref="G46:G49" si="12">E46/$E$50</f>
        <v>6.4826802500397823E-2</v>
      </c>
      <c r="H46" s="327">
        <f>(E46-I46)/I46</f>
        <v>-0.22883086779416614</v>
      </c>
      <c r="I46" s="333">
        <v>7819.723</v>
      </c>
      <c r="J46" s="130">
        <v>83557.984719999935</v>
      </c>
      <c r="K46" s="327">
        <f t="shared" ref="K46:K49" si="13">I46/$I$50</f>
        <v>6.9863371619430015E-2</v>
      </c>
    </row>
    <row r="47" spans="1:11" ht="11.1" customHeight="1">
      <c r="A47" s="430"/>
      <c r="B47" s="430"/>
      <c r="C47" s="155" t="s">
        <v>6</v>
      </c>
      <c r="D47" s="333">
        <v>18456</v>
      </c>
      <c r="E47" s="130">
        <v>12802.209000000001</v>
      </c>
      <c r="F47" s="130">
        <v>136915.07926999999</v>
      </c>
      <c r="G47" s="327">
        <f t="shared" si="12"/>
        <v>0.13762537241530531</v>
      </c>
      <c r="H47" s="327">
        <f t="shared" ref="H47:H49" si="14">(E47-I47)/I47</f>
        <v>-0.22457539806034338</v>
      </c>
      <c r="I47" s="333">
        <v>16509.933999999997</v>
      </c>
      <c r="J47" s="130">
        <v>176436.68468999999</v>
      </c>
      <c r="K47" s="327">
        <f t="shared" si="13"/>
        <v>0.14750390192264642</v>
      </c>
    </row>
    <row r="48" spans="1:11" ht="11.1" customHeight="1">
      <c r="A48" s="430"/>
      <c r="B48" s="430"/>
      <c r="C48" s="155" t="s">
        <v>7</v>
      </c>
      <c r="D48" s="333">
        <v>358196</v>
      </c>
      <c r="E48" s="130">
        <v>29266.457000000002</v>
      </c>
      <c r="F48" s="130">
        <v>312996.73599999998</v>
      </c>
      <c r="G48" s="327">
        <f t="shared" si="12"/>
        <v>0.31461812909799541</v>
      </c>
      <c r="H48" s="327">
        <f t="shared" si="14"/>
        <v>-0.2334048332512598</v>
      </c>
      <c r="I48" s="333">
        <v>38177.199999999997</v>
      </c>
      <c r="J48" s="130">
        <v>407993.59999999998</v>
      </c>
      <c r="K48" s="327">
        <f t="shared" si="13"/>
        <v>0.34108470478932607</v>
      </c>
    </row>
    <row r="49" spans="1:11" ht="11.1" customHeight="1">
      <c r="A49" s="430"/>
      <c r="B49" s="430"/>
      <c r="C49" s="155" t="s">
        <v>93</v>
      </c>
      <c r="D49" s="333">
        <v>32</v>
      </c>
      <c r="E49" s="130">
        <v>1932.462</v>
      </c>
      <c r="F49" s="130">
        <v>20649.746750000002</v>
      </c>
      <c r="G49" s="327">
        <f t="shared" si="12"/>
        <v>2.0774211890184399E-2</v>
      </c>
      <c r="H49" s="327">
        <f t="shared" si="14"/>
        <v>-2.0533965204830341E-2</v>
      </c>
      <c r="I49" s="333">
        <v>1972.9750000000001</v>
      </c>
      <c r="J49" s="130">
        <v>21078.473439999998</v>
      </c>
      <c r="K49" s="327">
        <f t="shared" si="13"/>
        <v>1.7627054771741268E-2</v>
      </c>
    </row>
    <row r="50" spans="1:11" ht="11.1" customHeight="1">
      <c r="A50" s="431"/>
      <c r="B50" s="431"/>
      <c r="C50" s="339" t="s">
        <v>0</v>
      </c>
      <c r="D50" s="342">
        <v>377320</v>
      </c>
      <c r="E50" s="340">
        <v>93022.157000000007</v>
      </c>
      <c r="F50" s="340">
        <v>994647.18639000005</v>
      </c>
      <c r="G50" s="341">
        <f>SUM(G45:G49)</f>
        <v>1</v>
      </c>
      <c r="H50" s="341">
        <f t="shared" ref="H50" si="15">(E50-I50)/I50</f>
        <v>-0.16891665813073384</v>
      </c>
      <c r="I50" s="342">
        <v>111928.795</v>
      </c>
      <c r="J50" s="340">
        <v>1195980.7076399999</v>
      </c>
      <c r="K50" s="341">
        <f>SUM(K45:K49)</f>
        <v>1</v>
      </c>
    </row>
    <row r="51" spans="1:11" ht="11.1" customHeight="1">
      <c r="A51" s="429" t="str">
        <f>'3.1'!F5</f>
        <v>Březen</v>
      </c>
      <c r="B51" s="429"/>
      <c r="C51" s="165" t="s">
        <v>4</v>
      </c>
      <c r="D51" s="332">
        <v>171</v>
      </c>
      <c r="E51" s="328">
        <v>44358.084000000003</v>
      </c>
      <c r="F51" s="328">
        <v>475848.43559999997</v>
      </c>
      <c r="G51" s="329">
        <f>E51/$E$56</f>
        <v>0.47442334859211466</v>
      </c>
      <c r="H51" s="329">
        <f>(E51-I51)/I51</f>
        <v>-7.7328130537167278E-2</v>
      </c>
      <c r="I51" s="332">
        <v>48075.686999999998</v>
      </c>
      <c r="J51" s="328">
        <v>512836.62586999993</v>
      </c>
      <c r="K51" s="329">
        <f>I51/$I$56</f>
        <v>0.4641564043868221</v>
      </c>
    </row>
    <row r="52" spans="1:11" ht="11.1" customHeight="1">
      <c r="A52" s="430"/>
      <c r="B52" s="430"/>
      <c r="C52" s="155" t="s">
        <v>5</v>
      </c>
      <c r="D52" s="333">
        <v>454</v>
      </c>
      <c r="E52" s="130">
        <v>6110.3710000000001</v>
      </c>
      <c r="F52" s="130">
        <v>65557.686500000011</v>
      </c>
      <c r="G52" s="327">
        <f t="shared" ref="G52:G55" si="16">E52/$E$56</f>
        <v>6.5352296798034559E-2</v>
      </c>
      <c r="H52" s="327">
        <f t="shared" ref="H52:H55" si="17">(E52-I52)/I52</f>
        <v>-7.11948967766491E-2</v>
      </c>
      <c r="I52" s="333">
        <v>6578.7439999999997</v>
      </c>
      <c r="J52" s="130">
        <v>70197.257689999984</v>
      </c>
      <c r="K52" s="327">
        <f t="shared" ref="K52:K55" si="18">I52/$I$56</f>
        <v>6.3515809153624356E-2</v>
      </c>
    </row>
    <row r="53" spans="1:11" ht="11.1" customHeight="1">
      <c r="A53" s="430"/>
      <c r="B53" s="430"/>
      <c r="C53" s="155" t="s">
        <v>6</v>
      </c>
      <c r="D53" s="333">
        <v>18477</v>
      </c>
      <c r="E53" s="130">
        <v>12805.395</v>
      </c>
      <c r="F53" s="130">
        <v>137420.48897000001</v>
      </c>
      <c r="G53" s="327">
        <f t="shared" si="16"/>
        <v>0.13695763721320159</v>
      </c>
      <c r="H53" s="327">
        <f t="shared" si="17"/>
        <v>-8.024934278103478E-2</v>
      </c>
      <c r="I53" s="333">
        <v>13922.681</v>
      </c>
      <c r="J53" s="130">
        <v>148579.20400999999</v>
      </c>
      <c r="K53" s="327">
        <f t="shared" si="18"/>
        <v>0.1344193282642997</v>
      </c>
    </row>
    <row r="54" spans="1:11" ht="11.1" customHeight="1">
      <c r="A54" s="430"/>
      <c r="B54" s="430"/>
      <c r="C54" s="155" t="s">
        <v>7</v>
      </c>
      <c r="D54" s="333">
        <v>357865</v>
      </c>
      <c r="E54" s="130">
        <v>28106.133000000002</v>
      </c>
      <c r="F54" s="130">
        <v>301627.91100000002</v>
      </c>
      <c r="G54" s="327">
        <f t="shared" si="16"/>
        <v>0.30060373513507338</v>
      </c>
      <c r="H54" s="327">
        <f t="shared" si="17"/>
        <v>-0.14658181917555316</v>
      </c>
      <c r="I54" s="333">
        <v>32933.599999999999</v>
      </c>
      <c r="J54" s="130">
        <v>351471</v>
      </c>
      <c r="K54" s="327">
        <f t="shared" si="18"/>
        <v>0.3179640752614486</v>
      </c>
    </row>
    <row r="55" spans="1:11" ht="11.1" customHeight="1">
      <c r="A55" s="430"/>
      <c r="B55" s="430"/>
      <c r="C55" s="155" t="s">
        <v>93</v>
      </c>
      <c r="D55" s="333">
        <v>32</v>
      </c>
      <c r="E55" s="130">
        <v>2118.9650000000001</v>
      </c>
      <c r="F55" s="130">
        <v>22714.428790000002</v>
      </c>
      <c r="G55" s="327">
        <f t="shared" si="16"/>
        <v>2.2662982261575822E-2</v>
      </c>
      <c r="H55" s="327">
        <f t="shared" si="17"/>
        <v>2.5751185151873406E-2</v>
      </c>
      <c r="I55" s="333">
        <v>2065.7689999999998</v>
      </c>
      <c r="J55" s="130">
        <v>22037.703819999999</v>
      </c>
      <c r="K55" s="327">
        <f t="shared" si="18"/>
        <v>1.994438293380521E-2</v>
      </c>
    </row>
    <row r="56" spans="1:11" ht="11.1" customHeight="1">
      <c r="A56" s="431"/>
      <c r="B56" s="431"/>
      <c r="C56" s="339" t="s">
        <v>0</v>
      </c>
      <c r="D56" s="342">
        <v>376999</v>
      </c>
      <c r="E56" s="340">
        <v>93498.948000000004</v>
      </c>
      <c r="F56" s="340">
        <v>1003168.9508600002</v>
      </c>
      <c r="G56" s="341">
        <f>SUM(G51:G55)</f>
        <v>1</v>
      </c>
      <c r="H56" s="341">
        <f t="shared" ref="H56" si="19">(E56-I56)/I56</f>
        <v>-9.7295572341369624E-2</v>
      </c>
      <c r="I56" s="342">
        <v>103576.481</v>
      </c>
      <c r="J56" s="340">
        <v>1105121.7913899999</v>
      </c>
      <c r="K56" s="341">
        <f>SUM(K51:K55)</f>
        <v>0.99999999999999989</v>
      </c>
    </row>
    <row r="57" spans="1:11" ht="11.1" customHeight="1">
      <c r="A57" s="500" t="str">
        <f>'3.1'!G5</f>
        <v>I. čtvrtletí</v>
      </c>
      <c r="B57" s="429"/>
      <c r="C57" s="165" t="s">
        <v>4</v>
      </c>
      <c r="D57" s="332">
        <f>D51</f>
        <v>171</v>
      </c>
      <c r="E57" s="328">
        <f>E39+E45+E51</f>
        <v>136115.769</v>
      </c>
      <c r="F57" s="328">
        <f>F39+F45+F51</f>
        <v>1456203.3576799999</v>
      </c>
      <c r="G57" s="329">
        <f>E57/$E$62</f>
        <v>0.45386488583204415</v>
      </c>
      <c r="H57" s="329">
        <f>(E57-I57)/I57</f>
        <v>-6.8456313161105939E-2</v>
      </c>
      <c r="I57" s="332">
        <f>I39+I45+I51</f>
        <v>146118.503</v>
      </c>
      <c r="J57" s="328">
        <f>J39+J45+J51</f>
        <v>1560130.5272899999</v>
      </c>
      <c r="K57" s="329">
        <f>I57/$I$62</f>
        <v>0.43449442125095089</v>
      </c>
    </row>
    <row r="58" spans="1:11" ht="11.1" customHeight="1">
      <c r="A58" s="430"/>
      <c r="B58" s="430"/>
      <c r="C58" s="155" t="s">
        <v>5</v>
      </c>
      <c r="D58" s="333">
        <f>D52</f>
        <v>454</v>
      </c>
      <c r="E58" s="130">
        <f t="shared" ref="E58:F59" si="20">E40+E46+E52</f>
        <v>19813.115999999998</v>
      </c>
      <c r="F58" s="130">
        <f t="shared" si="20"/>
        <v>211976.43763000003</v>
      </c>
      <c r="G58" s="327">
        <f t="shared" ref="G58:G61" si="21">E58/$E$62</f>
        <v>6.6064921774912411E-2</v>
      </c>
      <c r="H58" s="327">
        <f t="shared" ref="H58:H61" si="22">(E58-I58)/I58</f>
        <v>-0.13014412926457591</v>
      </c>
      <c r="I58" s="333">
        <f t="shared" ref="I58:J58" si="23">I40+I46+I52</f>
        <v>22777.469999999998</v>
      </c>
      <c r="J58" s="130">
        <f t="shared" si="23"/>
        <v>243268.64298999996</v>
      </c>
      <c r="K58" s="327">
        <f t="shared" ref="K58:K61" si="24">I58/$I$62</f>
        <v>6.7730529960404087E-2</v>
      </c>
    </row>
    <row r="59" spans="1:11" ht="11.1" customHeight="1">
      <c r="A59" s="430"/>
      <c r="B59" s="430"/>
      <c r="C59" s="155" t="s">
        <v>6</v>
      </c>
      <c r="D59" s="333">
        <f>D53</f>
        <v>18477</v>
      </c>
      <c r="E59" s="130">
        <f>E41+E47+E53</f>
        <v>42312.630000000005</v>
      </c>
      <c r="F59" s="130">
        <f t="shared" si="20"/>
        <v>452776.40388</v>
      </c>
      <c r="G59" s="327">
        <f t="shared" si="21"/>
        <v>0.14108737823171341</v>
      </c>
      <c r="H59" s="327">
        <f t="shared" si="22"/>
        <v>-0.12391611286257161</v>
      </c>
      <c r="I59" s="333">
        <f>I41+I47+I53</f>
        <v>48297.463999999993</v>
      </c>
      <c r="J59" s="130">
        <f t="shared" ref="J59" si="25">J41+J47+J53</f>
        <v>515890.96198999998</v>
      </c>
      <c r="K59" s="327">
        <f t="shared" si="24"/>
        <v>0.1436161624826435</v>
      </c>
    </row>
    <row r="60" spans="1:11" ht="11.1" customHeight="1">
      <c r="A60" s="430"/>
      <c r="B60" s="430"/>
      <c r="C60" s="155" t="s">
        <v>7</v>
      </c>
      <c r="D60" s="333">
        <f>D54</f>
        <v>357865</v>
      </c>
      <c r="E60" s="130">
        <f t="shared" ref="E60:F61" si="26">E42+E48+E54</f>
        <v>95540.847000000009</v>
      </c>
      <c r="F60" s="130">
        <f t="shared" si="26"/>
        <v>1022339.8829999999</v>
      </c>
      <c r="G60" s="327">
        <f t="shared" si="21"/>
        <v>0.31857172710056691</v>
      </c>
      <c r="H60" s="327">
        <f t="shared" si="22"/>
        <v>-0.15455515872524256</v>
      </c>
      <c r="I60" s="333">
        <f t="shared" ref="I60:J60" si="27">I42+I48+I54</f>
        <v>113006.6</v>
      </c>
      <c r="J60" s="130">
        <f t="shared" si="27"/>
        <v>1207107.3999999999</v>
      </c>
      <c r="K60" s="327">
        <f t="shared" si="24"/>
        <v>0.33603367305602433</v>
      </c>
    </row>
    <row r="61" spans="1:11" ht="11.1" customHeight="1">
      <c r="A61" s="430"/>
      <c r="B61" s="430"/>
      <c r="C61" s="155" t="s">
        <v>93</v>
      </c>
      <c r="D61" s="333">
        <f>D55</f>
        <v>32</v>
      </c>
      <c r="E61" s="130">
        <f>E43+E49+E55</f>
        <v>6121.3609999999999</v>
      </c>
      <c r="F61" s="130">
        <f t="shared" si="26"/>
        <v>65460.78618000001</v>
      </c>
      <c r="G61" s="327">
        <f t="shared" si="21"/>
        <v>2.0411087060763163E-2</v>
      </c>
      <c r="H61" s="327">
        <f t="shared" si="22"/>
        <v>4.2546650136241803E-3</v>
      </c>
      <c r="I61" s="333">
        <f>I43+I49+I55</f>
        <v>6095.4269999999997</v>
      </c>
      <c r="J61" s="130">
        <f t="shared" ref="J61" si="28">J43+J49+J55</f>
        <v>65084.467109999998</v>
      </c>
      <c r="K61" s="327">
        <f t="shared" si="24"/>
        <v>1.8125213249977106E-2</v>
      </c>
    </row>
    <row r="62" spans="1:11" ht="11.1" customHeight="1">
      <c r="A62" s="431"/>
      <c r="B62" s="431"/>
      <c r="C62" s="339" t="s">
        <v>0</v>
      </c>
      <c r="D62" s="342">
        <f>SUM(D57:D61)</f>
        <v>376999</v>
      </c>
      <c r="E62" s="340">
        <f>SUM(E57:E61)</f>
        <v>299903.723</v>
      </c>
      <c r="F62" s="340">
        <f>SUM(F57:F61)</f>
        <v>3208756.8683699998</v>
      </c>
      <c r="G62" s="341">
        <f>SUM(G57:G61)</f>
        <v>1</v>
      </c>
      <c r="H62" s="341">
        <f>(E62-I62)/I62</f>
        <v>-0.10821359457884343</v>
      </c>
      <c r="I62" s="342">
        <f>SUM(I57:I61)</f>
        <v>336295.46400000004</v>
      </c>
      <c r="J62" s="340">
        <f>SUM(J57:J61)</f>
        <v>3591481.9993799999</v>
      </c>
      <c r="K62" s="341">
        <f>SUM(K57:K61)</f>
        <v>0.99999999999999989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4" t="s">
        <v>313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4"/>
      <c r="B3" s="524"/>
      <c r="C3" s="524"/>
      <c r="D3" s="320"/>
      <c r="E3" s="320"/>
      <c r="F3" s="321"/>
      <c r="G3" s="322"/>
      <c r="H3" s="322"/>
      <c r="I3" s="322"/>
      <c r="J3" s="76"/>
      <c r="K3" s="76"/>
    </row>
    <row r="4" spans="1:16" ht="12.95" customHeight="1">
      <c r="A4" s="494" t="s">
        <v>41</v>
      </c>
      <c r="B4" s="494"/>
      <c r="C4" s="494"/>
      <c r="D4" s="496">
        <f>'3.1'!A4</f>
        <v>2022</v>
      </c>
      <c r="E4" s="382"/>
      <c r="F4" s="371"/>
      <c r="G4" s="371"/>
      <c r="H4" s="371"/>
      <c r="I4" s="496">
        <f>D4-1</f>
        <v>2021</v>
      </c>
      <c r="J4" s="497"/>
      <c r="K4" s="497"/>
    </row>
    <row r="5" spans="1:16" ht="24.95" customHeight="1">
      <c r="A5" s="383"/>
      <c r="B5" s="383"/>
      <c r="C5" s="383"/>
      <c r="D5" s="490"/>
      <c r="E5" s="384"/>
      <c r="F5" s="385"/>
      <c r="G5" s="385"/>
      <c r="H5" s="386"/>
      <c r="I5" s="490"/>
      <c r="J5" s="491"/>
      <c r="K5" s="491"/>
    </row>
    <row r="6" spans="1:16" ht="24.95" customHeight="1">
      <c r="A6" s="324"/>
      <c r="B6" s="292"/>
      <c r="C6" s="325"/>
      <c r="D6" s="393" t="s">
        <v>160</v>
      </c>
      <c r="E6" s="486" t="s">
        <v>60</v>
      </c>
      <c r="F6" s="486"/>
      <c r="G6" s="487" t="s">
        <v>33</v>
      </c>
      <c r="H6" s="487" t="s">
        <v>276</v>
      </c>
      <c r="I6" s="485" t="s">
        <v>60</v>
      </c>
      <c r="J6" s="486"/>
      <c r="K6" s="487" t="s">
        <v>33</v>
      </c>
    </row>
    <row r="7" spans="1:16" ht="24.95" customHeight="1">
      <c r="A7" s="324"/>
      <c r="B7" s="326"/>
      <c r="D7" s="394"/>
      <c r="E7" s="486"/>
      <c r="F7" s="486"/>
      <c r="G7" s="487"/>
      <c r="H7" s="487"/>
      <c r="I7" s="485"/>
      <c r="J7" s="486"/>
      <c r="K7" s="487"/>
    </row>
    <row r="8" spans="1:16" ht="15" customHeight="1">
      <c r="A8" s="495" t="s">
        <v>159</v>
      </c>
      <c r="B8" s="495"/>
      <c r="C8" s="344" t="s">
        <v>185</v>
      </c>
      <c r="D8" s="372"/>
      <c r="E8" s="222" t="s">
        <v>267</v>
      </c>
      <c r="F8" s="222" t="s">
        <v>268</v>
      </c>
      <c r="G8" s="474"/>
      <c r="H8" s="474"/>
      <c r="I8" s="224" t="s">
        <v>267</v>
      </c>
      <c r="J8" s="222" t="s">
        <v>268</v>
      </c>
      <c r="K8" s="474"/>
    </row>
    <row r="9" spans="1:16" ht="11.1" customHeight="1">
      <c r="A9" s="429" t="str">
        <f>'3.1'!D5</f>
        <v>Leden</v>
      </c>
      <c r="B9" s="429"/>
      <c r="C9" s="165" t="s">
        <v>4</v>
      </c>
      <c r="D9" s="332">
        <v>119</v>
      </c>
      <c r="E9" s="328">
        <v>23611.678</v>
      </c>
      <c r="F9" s="328">
        <v>252221.8174399999</v>
      </c>
      <c r="G9" s="329">
        <f>E9/$E$14</f>
        <v>0.34575145443975691</v>
      </c>
      <c r="H9" s="329">
        <f>(E9-I9)/I9</f>
        <v>-2.5110598317834517E-2</v>
      </c>
      <c r="I9" s="332">
        <v>24219.852999999999</v>
      </c>
      <c r="J9" s="328">
        <v>258781.72896000012</v>
      </c>
      <c r="K9" s="329">
        <f>I9/$I$14</f>
        <v>0.33147185619891711</v>
      </c>
    </row>
    <row r="10" spans="1:16" ht="11.1" customHeight="1">
      <c r="A10" s="430"/>
      <c r="B10" s="430"/>
      <c r="C10" s="155" t="s">
        <v>5</v>
      </c>
      <c r="D10" s="333">
        <v>358</v>
      </c>
      <c r="E10" s="130">
        <v>6570.165</v>
      </c>
      <c r="F10" s="130">
        <v>70183.601740000086</v>
      </c>
      <c r="G10" s="327">
        <f>E10/$E$14</f>
        <v>9.6208499229033434E-2</v>
      </c>
      <c r="H10" s="327">
        <f>(E10-I10)/I10</f>
        <v>-0.11600816534995102</v>
      </c>
      <c r="I10" s="333">
        <v>7432.3819999999996</v>
      </c>
      <c r="J10" s="130">
        <v>79412.643069999976</v>
      </c>
      <c r="K10" s="327">
        <f>I10/$I$14</f>
        <v>0.10171925723576522</v>
      </c>
      <c r="L10" s="94"/>
      <c r="N10" s="94"/>
      <c r="O10" s="94"/>
      <c r="P10" s="94"/>
    </row>
    <row r="11" spans="1:16" ht="11.1" customHeight="1">
      <c r="A11" s="430"/>
      <c r="B11" s="430"/>
      <c r="C11" s="155" t="s">
        <v>6</v>
      </c>
      <c r="D11" s="333">
        <v>13304</v>
      </c>
      <c r="E11" s="130">
        <v>12421.66</v>
      </c>
      <c r="F11" s="130">
        <v>132689.41123699999</v>
      </c>
      <c r="G11" s="327">
        <f>E11/$E$14</f>
        <v>0.18189334157259604</v>
      </c>
      <c r="H11" s="327">
        <f t="shared" ref="H11:H13" si="0">(E11-I11)/I11</f>
        <v>-6.4626992673137582E-2</v>
      </c>
      <c r="I11" s="333">
        <v>13279.9</v>
      </c>
      <c r="J11" s="130">
        <v>141891.20000000001</v>
      </c>
      <c r="K11" s="327">
        <f>I11/$I$14</f>
        <v>0.18174813460412001</v>
      </c>
      <c r="L11" s="94"/>
      <c r="N11" s="94"/>
      <c r="O11" s="94"/>
      <c r="P11" s="94"/>
    </row>
    <row r="12" spans="1:16" ht="11.1" customHeight="1">
      <c r="A12" s="430"/>
      <c r="B12" s="430"/>
      <c r="C12" s="155" t="s">
        <v>7</v>
      </c>
      <c r="D12" s="333">
        <v>173096</v>
      </c>
      <c r="E12" s="130">
        <v>25295.599999999999</v>
      </c>
      <c r="F12" s="130">
        <v>270209.59999999998</v>
      </c>
      <c r="G12" s="327">
        <f>E12/$E$14</f>
        <v>0.37040952747730654</v>
      </c>
      <c r="H12" s="327">
        <f t="shared" si="0"/>
        <v>-8.8975405260371468E-2</v>
      </c>
      <c r="I12" s="333">
        <v>27766.1</v>
      </c>
      <c r="J12" s="130">
        <v>296671.40000000002</v>
      </c>
      <c r="K12" s="327">
        <f>I12/$I$14</f>
        <v>0.38000563861410525</v>
      </c>
      <c r="L12" s="94"/>
      <c r="N12" s="94"/>
      <c r="O12" s="94"/>
      <c r="P12" s="94"/>
    </row>
    <row r="13" spans="1:16" ht="11.1" customHeight="1">
      <c r="A13" s="430"/>
      <c r="B13" s="430"/>
      <c r="C13" s="155" t="s">
        <v>93</v>
      </c>
      <c r="D13" s="333">
        <v>15</v>
      </c>
      <c r="E13" s="130">
        <v>391.79700000000003</v>
      </c>
      <c r="F13" s="130">
        <v>4185.2146629999997</v>
      </c>
      <c r="G13" s="327">
        <f>E13/$E$14</f>
        <v>5.7371772813068793E-3</v>
      </c>
      <c r="H13" s="327">
        <f t="shared" si="0"/>
        <v>6.0731254991674942E-2</v>
      </c>
      <c r="I13" s="333">
        <v>369.36500000000001</v>
      </c>
      <c r="J13" s="130">
        <v>3946.5381699999998</v>
      </c>
      <c r="K13" s="327">
        <f>I13/$I$14</f>
        <v>5.0551133470922811E-3</v>
      </c>
      <c r="L13" s="94"/>
      <c r="N13" s="94"/>
      <c r="O13" s="94"/>
      <c r="P13" s="94"/>
    </row>
    <row r="14" spans="1:16" ht="11.1" customHeight="1">
      <c r="A14" s="431"/>
      <c r="B14" s="431"/>
      <c r="C14" s="339" t="s">
        <v>0</v>
      </c>
      <c r="D14" s="342">
        <v>186892</v>
      </c>
      <c r="E14" s="340">
        <v>68290.900000000009</v>
      </c>
      <c r="F14" s="340">
        <v>729489.64507999993</v>
      </c>
      <c r="G14" s="341">
        <f>SUM(G9:G13)</f>
        <v>0.99999999999999978</v>
      </c>
      <c r="H14" s="341">
        <f>(E14-I14)/I14</f>
        <v>-6.5373708729997926E-2</v>
      </c>
      <c r="I14" s="342">
        <v>73067.600000000006</v>
      </c>
      <c r="J14" s="340">
        <v>780703.51020000002</v>
      </c>
      <c r="K14" s="341">
        <f>SUM(K9:K13)</f>
        <v>0.99999999999999989</v>
      </c>
      <c r="L14" s="94"/>
    </row>
    <row r="15" spans="1:16" ht="11.1" customHeight="1">
      <c r="A15" s="429" t="str">
        <f>'3.1'!E5</f>
        <v>Únor</v>
      </c>
      <c r="B15" s="429"/>
      <c r="C15" s="165" t="s">
        <v>4</v>
      </c>
      <c r="D15" s="332">
        <v>119</v>
      </c>
      <c r="E15" s="328">
        <v>18610.038</v>
      </c>
      <c r="F15" s="328">
        <v>199030.90677999996</v>
      </c>
      <c r="G15" s="329">
        <f>E15/$E$20</f>
        <v>0.3502433066212976</v>
      </c>
      <c r="H15" s="329">
        <f>(E15-I15)/I15</f>
        <v>-0.13529678333383438</v>
      </c>
      <c r="I15" s="332">
        <v>21521.879000000001</v>
      </c>
      <c r="J15" s="328">
        <v>230000.87965000005</v>
      </c>
      <c r="K15" s="329">
        <f>I15/$I$20</f>
        <v>0.32362657175251341</v>
      </c>
      <c r="L15" s="94"/>
      <c r="M15" s="94"/>
    </row>
    <row r="16" spans="1:16" ht="11.1" customHeight="1">
      <c r="A16" s="430"/>
      <c r="B16" s="430"/>
      <c r="C16" s="155" t="s">
        <v>5</v>
      </c>
      <c r="D16" s="333">
        <v>358</v>
      </c>
      <c r="E16" s="130">
        <v>5145.9690000000001</v>
      </c>
      <c r="F16" s="130">
        <v>55034.885839999966</v>
      </c>
      <c r="G16" s="327">
        <f>E16/$E$20</f>
        <v>9.684779785676377E-2</v>
      </c>
      <c r="H16" s="327">
        <f>(E16-I16)/I16</f>
        <v>-0.26935846134427205</v>
      </c>
      <c r="I16" s="333">
        <v>7043.0829999999996</v>
      </c>
      <c r="J16" s="130">
        <v>75267.866959999956</v>
      </c>
      <c r="K16" s="327">
        <f>I16/$I$20</f>
        <v>0.10590751884900046</v>
      </c>
      <c r="L16" s="98"/>
      <c r="M16" s="94"/>
    </row>
    <row r="17" spans="1:20" ht="11.1" customHeight="1">
      <c r="A17" s="430"/>
      <c r="B17" s="430"/>
      <c r="C17" s="155" t="s">
        <v>6</v>
      </c>
      <c r="D17" s="333">
        <v>13299</v>
      </c>
      <c r="E17" s="130">
        <v>9518.2999999999993</v>
      </c>
      <c r="F17" s="130">
        <v>101796.1</v>
      </c>
      <c r="G17" s="327">
        <f>E17/$E$20</f>
        <v>0.17913562913807574</v>
      </c>
      <c r="H17" s="327">
        <f t="shared" ref="H17:H20" si="1">(E17-I17)/I17</f>
        <v>-0.22432564583163561</v>
      </c>
      <c r="I17" s="333">
        <v>12271</v>
      </c>
      <c r="J17" s="130">
        <v>131138.6</v>
      </c>
      <c r="K17" s="327">
        <f>I17/$I$20</f>
        <v>0.1845202113614286</v>
      </c>
      <c r="L17" s="94"/>
      <c r="M17" s="94"/>
      <c r="N17" s="94"/>
      <c r="O17" s="94"/>
    </row>
    <row r="18" spans="1:20" ht="11.1" customHeight="1">
      <c r="A18" s="430"/>
      <c r="B18" s="430"/>
      <c r="C18" s="155" t="s">
        <v>7</v>
      </c>
      <c r="D18" s="333">
        <v>172986</v>
      </c>
      <c r="E18" s="130">
        <v>19396</v>
      </c>
      <c r="F18" s="130">
        <v>207435.8</v>
      </c>
      <c r="G18" s="327">
        <f>E18/$E$20</f>
        <v>0.36503521246043069</v>
      </c>
      <c r="H18" s="327">
        <f t="shared" si="1"/>
        <v>-0.23340816391058269</v>
      </c>
      <c r="I18" s="333">
        <v>25301.599999999999</v>
      </c>
      <c r="J18" s="130">
        <v>270394.2</v>
      </c>
      <c r="K18" s="327">
        <f>I18/$I$20</f>
        <v>0.38046260123725223</v>
      </c>
      <c r="L18" s="94"/>
      <c r="M18" s="94"/>
      <c r="N18" s="94"/>
      <c r="O18" s="94"/>
    </row>
    <row r="19" spans="1:20" ht="11.1" customHeight="1">
      <c r="A19" s="430"/>
      <c r="B19" s="430"/>
      <c r="C19" s="155" t="s">
        <v>93</v>
      </c>
      <c r="D19" s="333">
        <v>14</v>
      </c>
      <c r="E19" s="130">
        <v>464.29300000000001</v>
      </c>
      <c r="F19" s="130">
        <v>4965.5155999999997</v>
      </c>
      <c r="G19" s="327">
        <f>E19/$E$20</f>
        <v>8.7380539234321892E-3</v>
      </c>
      <c r="H19" s="327">
        <f t="shared" si="1"/>
        <v>0.27329844942106979</v>
      </c>
      <c r="I19" s="333">
        <v>364.63799999999998</v>
      </c>
      <c r="J19" s="130">
        <v>3896.8311200000003</v>
      </c>
      <c r="K19" s="327">
        <f>I19/$I$20</f>
        <v>5.4830967998051178E-3</v>
      </c>
      <c r="L19" s="94"/>
      <c r="M19" s="94"/>
      <c r="N19" s="94"/>
      <c r="O19" s="94"/>
    </row>
    <row r="20" spans="1:20" ht="11.1" customHeight="1">
      <c r="A20" s="431"/>
      <c r="B20" s="431"/>
      <c r="C20" s="339" t="s">
        <v>0</v>
      </c>
      <c r="D20" s="342">
        <v>186776</v>
      </c>
      <c r="E20" s="340">
        <v>53134.6</v>
      </c>
      <c r="F20" s="340">
        <v>568263.20821999991</v>
      </c>
      <c r="G20" s="341">
        <f>SUM(G15:G19)</f>
        <v>1</v>
      </c>
      <c r="H20" s="341">
        <f t="shared" si="1"/>
        <v>-0.20100989140208911</v>
      </c>
      <c r="I20" s="342">
        <v>66502.200000000012</v>
      </c>
      <c r="J20" s="340">
        <v>710698.37773000007</v>
      </c>
      <c r="K20" s="341">
        <f>SUM(K15:K19)</f>
        <v>0.99999999999999989</v>
      </c>
      <c r="L20" s="94"/>
      <c r="M20" s="94"/>
      <c r="N20" s="94"/>
      <c r="O20" s="94"/>
    </row>
    <row r="21" spans="1:20" ht="11.1" customHeight="1">
      <c r="A21" s="429" t="str">
        <f>'3.1'!F5</f>
        <v>Březen</v>
      </c>
      <c r="B21" s="429"/>
      <c r="C21" s="165" t="s">
        <v>4</v>
      </c>
      <c r="D21" s="332">
        <v>119</v>
      </c>
      <c r="E21" s="328">
        <v>21824.157999999999</v>
      </c>
      <c r="F21" s="328">
        <v>234212.94968999995</v>
      </c>
      <c r="G21" s="329">
        <f>E21/$E$26</f>
        <v>0.39299227670604842</v>
      </c>
      <c r="H21" s="329">
        <f>(E21-I21)/I21</f>
        <v>8.0837212900360472E-2</v>
      </c>
      <c r="I21" s="332">
        <v>20191.900999999998</v>
      </c>
      <c r="J21" s="328">
        <v>215490.01392</v>
      </c>
      <c r="K21" s="329">
        <f>I21/$I$26</f>
        <v>0.34306070022647689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0"/>
      <c r="B22" s="430"/>
      <c r="C22" s="155" t="s">
        <v>5</v>
      </c>
      <c r="D22" s="333">
        <v>351</v>
      </c>
      <c r="E22" s="130">
        <v>5098.8440000000001</v>
      </c>
      <c r="F22" s="130">
        <v>54719.857009999985</v>
      </c>
      <c r="G22" s="327">
        <f>E22/$E$26</f>
        <v>9.1815973478975674E-2</v>
      </c>
      <c r="H22" s="327">
        <f t="shared" ref="H22:H26" si="2">(E22-I22)/I22</f>
        <v>-0.16502721072728033</v>
      </c>
      <c r="I22" s="333">
        <v>6106.5989999999993</v>
      </c>
      <c r="J22" s="130">
        <v>65169.907189999984</v>
      </c>
      <c r="K22" s="327">
        <f>I22/$I$26</f>
        <v>0.1037512084148146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0"/>
      <c r="B23" s="430"/>
      <c r="C23" s="155" t="s">
        <v>6</v>
      </c>
      <c r="D23" s="333">
        <v>13312</v>
      </c>
      <c r="E23" s="130">
        <v>9520.9</v>
      </c>
      <c r="F23" s="130">
        <v>102176.9</v>
      </c>
      <c r="G23" s="327">
        <f>E23/$E$26</f>
        <v>0.17144488081925618</v>
      </c>
      <c r="H23" s="327">
        <f t="shared" si="2"/>
        <v>-7.9899235296522333E-2</v>
      </c>
      <c r="I23" s="333">
        <v>10347.671</v>
      </c>
      <c r="J23" s="130">
        <v>110432.11993700001</v>
      </c>
      <c r="K23" s="327">
        <f>I23/$I$26</f>
        <v>0.17580708517604204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0"/>
      <c r="B24" s="430"/>
      <c r="C24" s="155" t="s">
        <v>7</v>
      </c>
      <c r="D24" s="333">
        <v>172828</v>
      </c>
      <c r="E24" s="130">
        <v>18626.8</v>
      </c>
      <c r="F24" s="130">
        <v>199900</v>
      </c>
      <c r="G24" s="327">
        <f>E24/$E$26</f>
        <v>0.33541676795724362</v>
      </c>
      <c r="H24" s="327">
        <f t="shared" si="2"/>
        <v>-0.14659311659275015</v>
      </c>
      <c r="I24" s="333">
        <v>21826.400000000001</v>
      </c>
      <c r="J24" s="130">
        <v>232934.3</v>
      </c>
      <c r="K24" s="327">
        <f>I24/$I$26</f>
        <v>0.37083086270199006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0"/>
      <c r="B25" s="430"/>
      <c r="C25" s="155" t="s">
        <v>93</v>
      </c>
      <c r="D25" s="333">
        <v>14</v>
      </c>
      <c r="E25" s="130">
        <v>462.59800000000001</v>
      </c>
      <c r="F25" s="130">
        <v>4964.5111699999998</v>
      </c>
      <c r="G25" s="327">
        <f>E25/$E$26</f>
        <v>8.3301010384760135E-3</v>
      </c>
      <c r="H25" s="327">
        <f t="shared" si="2"/>
        <v>0.19990454673967462</v>
      </c>
      <c r="I25" s="333">
        <v>385.529</v>
      </c>
      <c r="J25" s="130">
        <v>4114.411043000001</v>
      </c>
      <c r="K25" s="327">
        <f>I25/$I$26</f>
        <v>6.5501434806764063E-3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1"/>
      <c r="B26" s="431"/>
      <c r="C26" s="339" t="s">
        <v>0</v>
      </c>
      <c r="D26" s="342">
        <v>186624</v>
      </c>
      <c r="E26" s="340">
        <v>55533.3</v>
      </c>
      <c r="F26" s="340">
        <v>595974.21786999993</v>
      </c>
      <c r="G26" s="341">
        <f>SUM(G21:G25)</f>
        <v>0.99999999999999989</v>
      </c>
      <c r="H26" s="341">
        <f t="shared" si="2"/>
        <v>-5.6488401766281886E-2</v>
      </c>
      <c r="I26" s="342">
        <v>58858.1</v>
      </c>
      <c r="J26" s="340">
        <v>628140.75208999997</v>
      </c>
      <c r="K26" s="341">
        <f>SUM(K21:K25)</f>
        <v>1</v>
      </c>
    </row>
    <row r="27" spans="1:20" ht="11.1" customHeight="1">
      <c r="A27" s="500" t="str">
        <f>'3.1'!G5</f>
        <v>I. čtvrtletí</v>
      </c>
      <c r="B27" s="429"/>
      <c r="C27" s="165" t="s">
        <v>4</v>
      </c>
      <c r="D27" s="332">
        <f>D21</f>
        <v>119</v>
      </c>
      <c r="E27" s="328">
        <f>E9+E15+E21</f>
        <v>64045.873999999996</v>
      </c>
      <c r="F27" s="328">
        <f>F9+F15+F21</f>
        <v>685465.67390999978</v>
      </c>
      <c r="G27" s="329">
        <f>E27/$E$32</f>
        <v>0.36192534081379396</v>
      </c>
      <c r="H27" s="329">
        <f>(E27-I27)/I27</f>
        <v>-2.8631199497227849E-2</v>
      </c>
      <c r="I27" s="332">
        <f>I9+I15+I21</f>
        <v>65933.633000000002</v>
      </c>
      <c r="J27" s="328">
        <f>J9+J15+J21</f>
        <v>704272.62253000017</v>
      </c>
      <c r="K27" s="329">
        <f>I27/$I$32</f>
        <v>0.33228005235150898</v>
      </c>
    </row>
    <row r="28" spans="1:20" ht="11.1" customHeight="1">
      <c r="A28" s="430"/>
      <c r="B28" s="430"/>
      <c r="C28" s="155" t="s">
        <v>5</v>
      </c>
      <c r="D28" s="333">
        <f>D22</f>
        <v>351</v>
      </c>
      <c r="E28" s="130">
        <f t="shared" ref="E28:F31" si="3">E10+E16+E22</f>
        <v>16814.977999999999</v>
      </c>
      <c r="F28" s="130">
        <f t="shared" si="3"/>
        <v>179938.34459000002</v>
      </c>
      <c r="G28" s="327">
        <f>E28/$E$32</f>
        <v>9.5021993820030431E-2</v>
      </c>
      <c r="H28" s="327">
        <f t="shared" ref="H28:H31" si="4">(E28-I28)/I28</f>
        <v>-0.18302761083630872</v>
      </c>
      <c r="I28" s="333">
        <f t="shared" ref="I28:J28" si="5">I10+I16+I22</f>
        <v>20582.063999999998</v>
      </c>
      <c r="J28" s="130">
        <f t="shared" si="5"/>
        <v>219850.41721999994</v>
      </c>
      <c r="K28" s="327">
        <f>I28/$I$32</f>
        <v>0.10372565551517703</v>
      </c>
    </row>
    <row r="29" spans="1:20" ht="11.1" customHeight="1">
      <c r="A29" s="430"/>
      <c r="B29" s="430"/>
      <c r="C29" s="155" t="s">
        <v>6</v>
      </c>
      <c r="D29" s="333">
        <f>D23</f>
        <v>13312</v>
      </c>
      <c r="E29" s="130">
        <f t="shared" si="3"/>
        <v>31460.86</v>
      </c>
      <c r="F29" s="130">
        <f t="shared" si="3"/>
        <v>336662.41123700002</v>
      </c>
      <c r="G29" s="327">
        <f>E29/$E$32</f>
        <v>0.17778635478992852</v>
      </c>
      <c r="H29" s="327">
        <f t="shared" si="4"/>
        <v>-0.12361804039497847</v>
      </c>
      <c r="I29" s="333">
        <f t="shared" ref="I29:J29" si="6">I11+I17+I23</f>
        <v>35898.571000000004</v>
      </c>
      <c r="J29" s="130">
        <f t="shared" si="6"/>
        <v>383461.91993700003</v>
      </c>
      <c r="K29" s="327">
        <f>I29/$I$32</f>
        <v>0.18091493686119745</v>
      </c>
    </row>
    <row r="30" spans="1:20" ht="11.1" customHeight="1">
      <c r="A30" s="430"/>
      <c r="B30" s="430"/>
      <c r="C30" s="155" t="s">
        <v>7</v>
      </c>
      <c r="D30" s="333">
        <f>D24</f>
        <v>172828</v>
      </c>
      <c r="E30" s="130">
        <f t="shared" si="3"/>
        <v>63318.399999999994</v>
      </c>
      <c r="F30" s="130">
        <f t="shared" si="3"/>
        <v>677545.39999999991</v>
      </c>
      <c r="G30" s="327">
        <f>E30/$E$32</f>
        <v>0.35781436130896005</v>
      </c>
      <c r="H30" s="327">
        <f t="shared" si="4"/>
        <v>-0.15456090666688044</v>
      </c>
      <c r="I30" s="333">
        <f t="shared" ref="I30:J30" si="7">I12+I18+I24</f>
        <v>74894.100000000006</v>
      </c>
      <c r="J30" s="130">
        <f t="shared" si="7"/>
        <v>799999.90000000014</v>
      </c>
      <c r="K30" s="327">
        <f>I30/$I$32</f>
        <v>0.37743734626027892</v>
      </c>
    </row>
    <row r="31" spans="1:20" ht="11.1" customHeight="1">
      <c r="A31" s="430"/>
      <c r="B31" s="430"/>
      <c r="C31" s="155" t="s">
        <v>93</v>
      </c>
      <c r="D31" s="333">
        <f>D25</f>
        <v>14</v>
      </c>
      <c r="E31" s="130">
        <f>E13+E19+E25</f>
        <v>1318.6880000000001</v>
      </c>
      <c r="F31" s="130">
        <f t="shared" si="3"/>
        <v>14115.241432999999</v>
      </c>
      <c r="G31" s="327">
        <f>E31/$E$32</f>
        <v>7.4519492672870755E-3</v>
      </c>
      <c r="H31" s="327">
        <f t="shared" si="4"/>
        <v>0.17789219066538534</v>
      </c>
      <c r="I31" s="333">
        <f>I13+I19+I25</f>
        <v>1119.5319999999999</v>
      </c>
      <c r="J31" s="130">
        <f t="shared" ref="J31" si="8">J13+J19+J25</f>
        <v>11957.780333000002</v>
      </c>
      <c r="K31" s="327">
        <f>I31/$I$32</f>
        <v>5.6420090118375482E-3</v>
      </c>
    </row>
    <row r="32" spans="1:20" ht="11.1" customHeight="1">
      <c r="A32" s="431"/>
      <c r="B32" s="431"/>
      <c r="C32" s="339" t="s">
        <v>0</v>
      </c>
      <c r="D32" s="342">
        <f>SUM(D27:D31)</f>
        <v>186624</v>
      </c>
      <c r="E32" s="340">
        <f>SUM(E27:E31)</f>
        <v>176958.8</v>
      </c>
      <c r="F32" s="340">
        <f>SUM(F27:F31)</f>
        <v>1893727.0711699997</v>
      </c>
      <c r="G32" s="341">
        <f>SUM(G27:G31)</f>
        <v>1</v>
      </c>
      <c r="H32" s="341">
        <f>(E32-I32)/I32</f>
        <v>-0.10819597445722115</v>
      </c>
      <c r="I32" s="342">
        <f>SUM(I27:I31)</f>
        <v>198427.90000000002</v>
      </c>
      <c r="J32" s="340">
        <f>SUM(J27:J31)</f>
        <v>2119542.6400200007</v>
      </c>
      <c r="K32" s="341">
        <f>SUM(K27:K31)</f>
        <v>0.99999999999999989</v>
      </c>
    </row>
    <row r="33" spans="1:11" ht="9.9499999999999993" customHeight="1">
      <c r="A33" s="387"/>
      <c r="B33" s="388"/>
      <c r="C33" s="389"/>
      <c r="D33" s="390"/>
      <c r="E33" s="390"/>
      <c r="F33" s="390"/>
      <c r="G33" s="391"/>
      <c r="H33" s="392"/>
      <c r="I33" s="390"/>
      <c r="J33" s="390"/>
      <c r="K33" s="391"/>
    </row>
    <row r="34" spans="1:11" ht="12.95" customHeight="1">
      <c r="A34" s="525" t="s">
        <v>42</v>
      </c>
      <c r="B34" s="525"/>
      <c r="C34" s="525"/>
      <c r="D34" s="496">
        <f>D4</f>
        <v>2022</v>
      </c>
      <c r="E34" s="382"/>
      <c r="F34" s="371"/>
      <c r="G34" s="371"/>
      <c r="H34" s="371"/>
      <c r="I34" s="496">
        <f>D34-1</f>
        <v>2021</v>
      </c>
      <c r="J34" s="497"/>
      <c r="K34" s="497"/>
    </row>
    <row r="35" spans="1:11" ht="24.95" customHeight="1">
      <c r="A35" s="324"/>
      <c r="B35" s="292"/>
      <c r="C35" s="151"/>
      <c r="D35" s="490"/>
      <c r="E35" s="384"/>
      <c r="F35" s="385"/>
      <c r="G35" s="385"/>
      <c r="H35" s="386"/>
      <c r="I35" s="490"/>
      <c r="J35" s="491"/>
      <c r="K35" s="491"/>
    </row>
    <row r="36" spans="1:11" ht="24.95" customHeight="1">
      <c r="A36" s="131"/>
      <c r="B36" s="132"/>
      <c r="C36" s="381"/>
      <c r="D36" s="393" t="s">
        <v>160</v>
      </c>
      <c r="E36" s="486" t="s">
        <v>60</v>
      </c>
      <c r="F36" s="486"/>
      <c r="G36" s="487" t="s">
        <v>33</v>
      </c>
      <c r="H36" s="487" t="s">
        <v>276</v>
      </c>
      <c r="I36" s="485" t="s">
        <v>60</v>
      </c>
      <c r="J36" s="486"/>
      <c r="K36" s="487" t="s">
        <v>33</v>
      </c>
    </row>
    <row r="37" spans="1:11" ht="24.95" customHeight="1">
      <c r="A37" s="131"/>
      <c r="B37" s="326"/>
      <c r="C37" s="326"/>
      <c r="D37" s="394"/>
      <c r="E37" s="486"/>
      <c r="F37" s="486"/>
      <c r="G37" s="487"/>
      <c r="H37" s="487"/>
      <c r="I37" s="485"/>
      <c r="J37" s="486"/>
      <c r="K37" s="487"/>
    </row>
    <row r="38" spans="1:11" ht="15" customHeight="1">
      <c r="A38" s="526" t="s">
        <v>159</v>
      </c>
      <c r="B38" s="526"/>
      <c r="C38" s="395" t="s">
        <v>185</v>
      </c>
      <c r="D38" s="372"/>
      <c r="E38" s="222" t="s">
        <v>267</v>
      </c>
      <c r="F38" s="222" t="s">
        <v>268</v>
      </c>
      <c r="G38" s="474"/>
      <c r="H38" s="474"/>
      <c r="I38" s="224" t="s">
        <v>267</v>
      </c>
      <c r="J38" s="222" t="s">
        <v>268</v>
      </c>
      <c r="K38" s="474"/>
    </row>
    <row r="39" spans="1:11" ht="11.1" customHeight="1">
      <c r="A39" s="429" t="str">
        <f>'3.1'!D5</f>
        <v>Leden</v>
      </c>
      <c r="B39" s="429"/>
      <c r="C39" s="165" t="s">
        <v>4</v>
      </c>
      <c r="D39" s="332">
        <v>80</v>
      </c>
      <c r="E39" s="328">
        <v>14290.923999999999</v>
      </c>
      <c r="F39" s="328">
        <v>152657.55012</v>
      </c>
      <c r="G39" s="329">
        <f>E39/$E$44</f>
        <v>0.28562482636772268</v>
      </c>
      <c r="H39" s="329">
        <f>(E39-I39)/I39</f>
        <v>-0.1557000533901001</v>
      </c>
      <c r="I39" s="332">
        <v>16926.359</v>
      </c>
      <c r="J39" s="328">
        <v>180853.22782</v>
      </c>
      <c r="K39" s="329">
        <f>I39/$I$44</f>
        <v>0.30185806587378444</v>
      </c>
    </row>
    <row r="40" spans="1:11" ht="11.1" customHeight="1">
      <c r="A40" s="430"/>
      <c r="B40" s="430"/>
      <c r="C40" s="155" t="s">
        <v>5</v>
      </c>
      <c r="D40" s="333">
        <v>277</v>
      </c>
      <c r="E40" s="130">
        <v>5104.1450000000004</v>
      </c>
      <c r="F40" s="130">
        <v>54523.309610000011</v>
      </c>
      <c r="G40" s="327">
        <f t="shared" ref="G40" si="9">E40/$E$44</f>
        <v>0.10201373468788164</v>
      </c>
      <c r="H40" s="327">
        <f>(E40-I40)/I40</f>
        <v>-0.13800234340511142</v>
      </c>
      <c r="I40" s="333">
        <v>5921.2979999999998</v>
      </c>
      <c r="J40" s="130">
        <v>63266.681680000031</v>
      </c>
      <c r="K40" s="327">
        <f t="shared" ref="K40:K43" si="10">I40/$I$44</f>
        <v>0.10559811249083799</v>
      </c>
    </row>
    <row r="41" spans="1:11" ht="11.1" customHeight="1">
      <c r="A41" s="430"/>
      <c r="B41" s="430"/>
      <c r="C41" s="155" t="s">
        <v>6</v>
      </c>
      <c r="D41" s="333">
        <v>11401</v>
      </c>
      <c r="E41" s="130">
        <v>10172.322</v>
      </c>
      <c r="F41" s="130">
        <v>108661.51370000001</v>
      </c>
      <c r="G41" s="327">
        <f>E41/$E$44</f>
        <v>0.20330859677138902</v>
      </c>
      <c r="H41" s="327">
        <f t="shared" ref="H41:H43" si="11">(E41-I41)/I41</f>
        <v>-6.4945357750490706E-2</v>
      </c>
      <c r="I41" s="333">
        <v>10878.852999999999</v>
      </c>
      <c r="J41" s="130">
        <v>116237.55914</v>
      </c>
      <c r="K41" s="327">
        <f t="shared" si="10"/>
        <v>0.19400920927561666</v>
      </c>
    </row>
    <row r="42" spans="1:11" ht="11.1" customHeight="1">
      <c r="A42" s="430"/>
      <c r="B42" s="430"/>
      <c r="C42" s="155" t="s">
        <v>7</v>
      </c>
      <c r="D42" s="333">
        <v>124888</v>
      </c>
      <c r="E42" s="130">
        <v>20165.599999999999</v>
      </c>
      <c r="F42" s="130">
        <v>215411.4</v>
      </c>
      <c r="G42" s="327">
        <f>E42/$E$44</f>
        <v>0.40303873973446003</v>
      </c>
      <c r="H42" s="327">
        <f t="shared" si="11"/>
        <v>-8.897633170846303E-2</v>
      </c>
      <c r="I42" s="333">
        <v>22135.1</v>
      </c>
      <c r="J42" s="130">
        <v>236506.7</v>
      </c>
      <c r="K42" s="327">
        <f t="shared" si="10"/>
        <v>0.39474871553432167</v>
      </c>
    </row>
    <row r="43" spans="1:11" ht="11.1" customHeight="1">
      <c r="A43" s="430"/>
      <c r="B43" s="430"/>
      <c r="C43" s="155" t="s">
        <v>93</v>
      </c>
      <c r="D43" s="333">
        <v>14</v>
      </c>
      <c r="E43" s="130">
        <v>300.90899999999999</v>
      </c>
      <c r="F43" s="130">
        <v>3214.3443600000001</v>
      </c>
      <c r="G43" s="327">
        <f>E43/$E$44</f>
        <v>6.0141024385466655E-3</v>
      </c>
      <c r="H43" s="327">
        <f t="shared" si="11"/>
        <v>0.41744312026002167</v>
      </c>
      <c r="I43" s="333">
        <v>212.29</v>
      </c>
      <c r="J43" s="130">
        <v>2268.2520999999997</v>
      </c>
      <c r="K43" s="327">
        <f t="shared" si="10"/>
        <v>3.7858968254392868E-3</v>
      </c>
    </row>
    <row r="44" spans="1:11" ht="11.1" customHeight="1">
      <c r="A44" s="431"/>
      <c r="B44" s="431"/>
      <c r="C44" s="339" t="s">
        <v>0</v>
      </c>
      <c r="D44" s="342">
        <v>136660</v>
      </c>
      <c r="E44" s="340">
        <v>50033.899999999994</v>
      </c>
      <c r="F44" s="340">
        <v>534468.11779000005</v>
      </c>
      <c r="G44" s="341">
        <f>SUM(G39:G43)</f>
        <v>1</v>
      </c>
      <c r="H44" s="341">
        <f>(E44-I44)/I44</f>
        <v>-0.10771499753004518</v>
      </c>
      <c r="I44" s="342">
        <v>56073.899999999994</v>
      </c>
      <c r="J44" s="340">
        <v>599132.42074000009</v>
      </c>
      <c r="K44" s="341">
        <f>SUM(K39:K43)</f>
        <v>1.0000000000000002</v>
      </c>
    </row>
    <row r="45" spans="1:11" ht="11.1" customHeight="1">
      <c r="A45" s="429" t="str">
        <f>'3.1'!E5</f>
        <v>Únor</v>
      </c>
      <c r="B45" s="429"/>
      <c r="C45" s="165" t="s">
        <v>4</v>
      </c>
      <c r="D45" s="332">
        <v>80</v>
      </c>
      <c r="E45" s="328">
        <v>13942.520999999999</v>
      </c>
      <c r="F45" s="328">
        <v>149112.17649999994</v>
      </c>
      <c r="G45" s="329">
        <f>E45/$E$50</f>
        <v>0.33460417531624459</v>
      </c>
      <c r="H45" s="329">
        <f>(E45-I45)/I45</f>
        <v>-1.2485689297762137E-2</v>
      </c>
      <c r="I45" s="332">
        <v>14118.804</v>
      </c>
      <c r="J45" s="328">
        <v>150885.04809</v>
      </c>
      <c r="K45" s="329">
        <f>I45/$I$50</f>
        <v>0.28189404118956585</v>
      </c>
    </row>
    <row r="46" spans="1:11" ht="11.1" customHeight="1">
      <c r="A46" s="430"/>
      <c r="B46" s="430"/>
      <c r="C46" s="155" t="s">
        <v>5</v>
      </c>
      <c r="D46" s="333">
        <v>277</v>
      </c>
      <c r="E46" s="130">
        <v>4181.1309999999994</v>
      </c>
      <c r="F46" s="130">
        <v>44716.027250000043</v>
      </c>
      <c r="G46" s="327">
        <f t="shared" ref="G46:G49" si="12">E46/$E$50</f>
        <v>0.10034224729833184</v>
      </c>
      <c r="H46" s="327">
        <f>(E46-I46)/I46</f>
        <v>-0.24712286962344901</v>
      </c>
      <c r="I46" s="333">
        <v>5553.5369999999994</v>
      </c>
      <c r="J46" s="130">
        <v>59350.024100000002</v>
      </c>
      <c r="K46" s="327">
        <f t="shared" ref="K46:K49" si="13">I46/$I$50</f>
        <v>0.11088113326212176</v>
      </c>
    </row>
    <row r="47" spans="1:11" ht="11.1" customHeight="1">
      <c r="A47" s="430"/>
      <c r="B47" s="430"/>
      <c r="C47" s="155" t="s">
        <v>6</v>
      </c>
      <c r="D47" s="333">
        <v>11397</v>
      </c>
      <c r="E47" s="130">
        <v>7799.2519999999995</v>
      </c>
      <c r="F47" s="130">
        <v>83411.761499999993</v>
      </c>
      <c r="G47" s="327">
        <f t="shared" si="12"/>
        <v>0.18717291396179866</v>
      </c>
      <c r="H47" s="327">
        <f t="shared" ref="H47:H49" si="14">(E47-I47)/I47</f>
        <v>-0.22394521801419781</v>
      </c>
      <c r="I47" s="333">
        <v>10049.873</v>
      </c>
      <c r="J47" s="130">
        <v>107401.81615</v>
      </c>
      <c r="K47" s="327">
        <f t="shared" si="13"/>
        <v>0.20065434107675872</v>
      </c>
    </row>
    <row r="48" spans="1:11" ht="11.1" customHeight="1">
      <c r="A48" s="430"/>
      <c r="B48" s="430"/>
      <c r="C48" s="155" t="s">
        <v>7</v>
      </c>
      <c r="D48" s="333">
        <v>124806</v>
      </c>
      <c r="E48" s="130">
        <v>15462.5</v>
      </c>
      <c r="F48" s="130">
        <v>165368</v>
      </c>
      <c r="G48" s="327">
        <f t="shared" si="12"/>
        <v>0.37108189120370927</v>
      </c>
      <c r="H48" s="327">
        <f t="shared" si="14"/>
        <v>-0.23341017823058427</v>
      </c>
      <c r="I48" s="333">
        <v>20170.5</v>
      </c>
      <c r="J48" s="130">
        <v>215558.6</v>
      </c>
      <c r="K48" s="327">
        <f t="shared" si="13"/>
        <v>0.40272134649748931</v>
      </c>
    </row>
    <row r="49" spans="1:11" ht="11.1" customHeight="1">
      <c r="A49" s="430"/>
      <c r="B49" s="430"/>
      <c r="C49" s="155" t="s">
        <v>93</v>
      </c>
      <c r="D49" s="333">
        <v>14</v>
      </c>
      <c r="E49" s="130">
        <v>283.29599999999999</v>
      </c>
      <c r="F49" s="130">
        <v>3029.79567</v>
      </c>
      <c r="G49" s="327">
        <f t="shared" si="12"/>
        <v>6.7987722199156688E-3</v>
      </c>
      <c r="H49" s="327">
        <f t="shared" si="14"/>
        <v>0.46948429865239172</v>
      </c>
      <c r="I49" s="333">
        <v>192.786</v>
      </c>
      <c r="J49" s="130">
        <v>2060.2779799999998</v>
      </c>
      <c r="K49" s="327">
        <f t="shared" si="13"/>
        <v>3.8491379740643499E-3</v>
      </c>
    </row>
    <row r="50" spans="1:11" ht="11.1" customHeight="1">
      <c r="A50" s="431"/>
      <c r="B50" s="431"/>
      <c r="C50" s="339" t="s">
        <v>0</v>
      </c>
      <c r="D50" s="342">
        <v>136574</v>
      </c>
      <c r="E50" s="340">
        <v>41668.699999999997</v>
      </c>
      <c r="F50" s="340">
        <v>445637.76092000003</v>
      </c>
      <c r="G50" s="341">
        <f>SUM(G45:G49)</f>
        <v>1</v>
      </c>
      <c r="H50" s="341">
        <f t="shared" ref="H50" si="15">(E50-I50)/I50</f>
        <v>-0.168048636831019</v>
      </c>
      <c r="I50" s="342">
        <v>50085.5</v>
      </c>
      <c r="J50" s="340">
        <v>535255.76632000005</v>
      </c>
      <c r="K50" s="341">
        <f>SUM(K45:K49)</f>
        <v>1</v>
      </c>
    </row>
    <row r="51" spans="1:11" ht="11.1" customHeight="1">
      <c r="A51" s="429" t="str">
        <f>'3.1'!F5</f>
        <v>Březen</v>
      </c>
      <c r="B51" s="429"/>
      <c r="C51" s="165" t="s">
        <v>4</v>
      </c>
      <c r="D51" s="332">
        <v>80</v>
      </c>
      <c r="E51" s="328">
        <v>13971.765000000001</v>
      </c>
      <c r="F51" s="328">
        <v>149942.94242999991</v>
      </c>
      <c r="G51" s="329">
        <f>E51/$E$56</f>
        <v>0.34023121598422029</v>
      </c>
      <c r="H51" s="329">
        <f>(E51-I51)/I51</f>
        <v>-3.0006839080551465E-2</v>
      </c>
      <c r="I51" s="332">
        <v>14403.983</v>
      </c>
      <c r="J51" s="328">
        <v>153721.05545000001</v>
      </c>
      <c r="K51" s="329">
        <f>I51/$I$56</f>
        <v>0.31666570667276372</v>
      </c>
    </row>
    <row r="52" spans="1:11" ht="11.1" customHeight="1">
      <c r="A52" s="430"/>
      <c r="B52" s="430"/>
      <c r="C52" s="155" t="s">
        <v>5</v>
      </c>
      <c r="D52" s="333">
        <v>275</v>
      </c>
      <c r="E52" s="130">
        <v>4163.4030000000002</v>
      </c>
      <c r="F52" s="130">
        <v>44680.64243</v>
      </c>
      <c r="G52" s="327">
        <f t="shared" ref="G52:G55" si="16">E52/$E$56</f>
        <v>0.10138444679840741</v>
      </c>
      <c r="H52" s="327">
        <f t="shared" ref="H52:H55" si="17">(E52-I52)/I52</f>
        <v>-0.166098234254242</v>
      </c>
      <c r="I52" s="333">
        <v>4992.6780000000008</v>
      </c>
      <c r="J52" s="130">
        <v>53282.179980000015</v>
      </c>
      <c r="K52" s="327">
        <f t="shared" ref="K52:K55" si="18">I52/$I$56</f>
        <v>0.10976199479404834</v>
      </c>
    </row>
    <row r="53" spans="1:11" ht="11.1" customHeight="1">
      <c r="A53" s="430"/>
      <c r="B53" s="430"/>
      <c r="C53" s="155" t="s">
        <v>6</v>
      </c>
      <c r="D53" s="333">
        <v>11415</v>
      </c>
      <c r="E53" s="130">
        <v>7782.723</v>
      </c>
      <c r="F53" s="130">
        <v>83522.879490000007</v>
      </c>
      <c r="G53" s="327">
        <f t="shared" si="16"/>
        <v>0.18951974284983741</v>
      </c>
      <c r="H53" s="327">
        <f t="shared" si="17"/>
        <v>-8.2017241893822299E-2</v>
      </c>
      <c r="I53" s="333">
        <v>8478.0709999999999</v>
      </c>
      <c r="J53" s="130">
        <v>90478.816990000007</v>
      </c>
      <c r="K53" s="327">
        <f t="shared" si="18"/>
        <v>0.18638694203102465</v>
      </c>
    </row>
    <row r="54" spans="1:11" ht="11.1" customHeight="1">
      <c r="A54" s="430"/>
      <c r="B54" s="430"/>
      <c r="C54" s="155" t="s">
        <v>7</v>
      </c>
      <c r="D54" s="333">
        <v>124691</v>
      </c>
      <c r="E54" s="130">
        <v>14849.3</v>
      </c>
      <c r="F54" s="130">
        <v>159360.5</v>
      </c>
      <c r="G54" s="327">
        <f t="shared" si="16"/>
        <v>0.36160037014038537</v>
      </c>
      <c r="H54" s="327">
        <f t="shared" si="17"/>
        <v>-0.14659195402298855</v>
      </c>
      <c r="I54" s="333">
        <v>17400</v>
      </c>
      <c r="J54" s="130">
        <v>185695.5</v>
      </c>
      <c r="K54" s="327">
        <f t="shared" si="18"/>
        <v>0.38253192162932215</v>
      </c>
    </row>
    <row r="55" spans="1:11" ht="11.1" customHeight="1">
      <c r="A55" s="430"/>
      <c r="B55" s="430"/>
      <c r="C55" s="155" t="s">
        <v>93</v>
      </c>
      <c r="D55" s="333">
        <v>14</v>
      </c>
      <c r="E55" s="130">
        <v>298.30900000000003</v>
      </c>
      <c r="F55" s="130">
        <v>3201.3971699999997</v>
      </c>
      <c r="G55" s="327">
        <f t="shared" si="16"/>
        <v>7.2642242271493095E-3</v>
      </c>
      <c r="H55" s="327">
        <f t="shared" si="17"/>
        <v>0.40932498063004336</v>
      </c>
      <c r="I55" s="333">
        <v>211.66800000000001</v>
      </c>
      <c r="J55" s="130">
        <v>2258.9498299999996</v>
      </c>
      <c r="K55" s="327">
        <f t="shared" si="18"/>
        <v>4.6534348728411133E-3</v>
      </c>
    </row>
    <row r="56" spans="1:11" ht="11.1" customHeight="1">
      <c r="A56" s="431"/>
      <c r="B56" s="431"/>
      <c r="C56" s="339" t="s">
        <v>0</v>
      </c>
      <c r="D56" s="342">
        <v>136475</v>
      </c>
      <c r="E56" s="340">
        <v>41065.500000000007</v>
      </c>
      <c r="F56" s="340">
        <v>440708.36151999992</v>
      </c>
      <c r="G56" s="341">
        <f>SUM(G51:G55)</f>
        <v>0.99999999999999989</v>
      </c>
      <c r="H56" s="341">
        <f t="shared" ref="H56" si="19">(E56-I56)/I56</f>
        <v>-9.7191688065003917E-2</v>
      </c>
      <c r="I56" s="342">
        <v>45486.400000000001</v>
      </c>
      <c r="J56" s="340">
        <v>485436.50225000002</v>
      </c>
      <c r="K56" s="341">
        <f>SUM(K51:K55)</f>
        <v>1</v>
      </c>
    </row>
    <row r="57" spans="1:11" ht="11.1" customHeight="1">
      <c r="A57" s="500" t="str">
        <f>'3.1'!G5</f>
        <v>I. čtvrtletí</v>
      </c>
      <c r="B57" s="429"/>
      <c r="C57" s="165" t="s">
        <v>4</v>
      </c>
      <c r="D57" s="332">
        <f>D51</f>
        <v>80</v>
      </c>
      <c r="E57" s="328">
        <f>E39+E45+E51</f>
        <v>42205.21</v>
      </c>
      <c r="F57" s="328">
        <f>F39+F45+F51</f>
        <v>451712.66904999991</v>
      </c>
      <c r="G57" s="329">
        <f>E57/$E$62</f>
        <v>0.31788667609162147</v>
      </c>
      <c r="H57" s="329">
        <f>(E57-I57)/I57</f>
        <v>-7.1375070501874804E-2</v>
      </c>
      <c r="I57" s="332">
        <f>I39+I45+I51</f>
        <v>45449.146000000001</v>
      </c>
      <c r="J57" s="328">
        <f>J39+J45+J51</f>
        <v>485459.33135999995</v>
      </c>
      <c r="K57" s="329">
        <f>I57/$I$62</f>
        <v>0.29970593316794791</v>
      </c>
    </row>
    <row r="58" spans="1:11" ht="11.1" customHeight="1">
      <c r="A58" s="430"/>
      <c r="B58" s="430"/>
      <c r="C58" s="155" t="s">
        <v>5</v>
      </c>
      <c r="D58" s="333">
        <f>D52</f>
        <v>275</v>
      </c>
      <c r="E58" s="130">
        <f t="shared" ref="E58:F59" si="20">E40+E46+E52</f>
        <v>13448.679</v>
      </c>
      <c r="F58" s="130">
        <f t="shared" si="20"/>
        <v>143919.97929000005</v>
      </c>
      <c r="G58" s="327">
        <f t="shared" ref="G58:G61" si="21">E58/$E$62</f>
        <v>0.10129450523130182</v>
      </c>
      <c r="H58" s="327">
        <f t="shared" ref="H58:H61" si="22">(E58-I58)/I58</f>
        <v>-0.18332057791604592</v>
      </c>
      <c r="I58" s="333">
        <f t="shared" ref="I58:J58" si="23">I40+I46+I52</f>
        <v>16467.512999999999</v>
      </c>
      <c r="J58" s="130">
        <f t="shared" si="23"/>
        <v>175898.88576000003</v>
      </c>
      <c r="K58" s="327">
        <f t="shared" ref="K58:K61" si="24">I58/$I$62</f>
        <v>0.10859194913410063</v>
      </c>
    </row>
    <row r="59" spans="1:11" ht="11.1" customHeight="1">
      <c r="A59" s="430"/>
      <c r="B59" s="430"/>
      <c r="C59" s="155" t="s">
        <v>6</v>
      </c>
      <c r="D59" s="333">
        <f>D53</f>
        <v>11415</v>
      </c>
      <c r="E59" s="130">
        <f>E41+E47+E53</f>
        <v>25754.296999999999</v>
      </c>
      <c r="F59" s="130">
        <f t="shared" si="20"/>
        <v>275596.15469</v>
      </c>
      <c r="G59" s="327">
        <f t="shared" si="21"/>
        <v>0.19397955532993244</v>
      </c>
      <c r="H59" s="327">
        <f t="shared" si="22"/>
        <v>-0.12420597863820396</v>
      </c>
      <c r="I59" s="333">
        <f>I41+I47+I53</f>
        <v>29406.796999999999</v>
      </c>
      <c r="J59" s="130">
        <f t="shared" ref="J59" si="25">J41+J47+J53</f>
        <v>314118.19228000002</v>
      </c>
      <c r="K59" s="327">
        <f t="shared" si="24"/>
        <v>0.19391764888971535</v>
      </c>
    </row>
    <row r="60" spans="1:11" ht="11.1" customHeight="1">
      <c r="A60" s="430"/>
      <c r="B60" s="430"/>
      <c r="C60" s="155" t="s">
        <v>7</v>
      </c>
      <c r="D60" s="333">
        <f>D54</f>
        <v>124691</v>
      </c>
      <c r="E60" s="130">
        <f t="shared" ref="E60:F61" si="26">E42+E48+E54</f>
        <v>50477.399999999994</v>
      </c>
      <c r="F60" s="130">
        <f t="shared" si="26"/>
        <v>540139.9</v>
      </c>
      <c r="G60" s="327">
        <f t="shared" si="21"/>
        <v>0.38019222991064872</v>
      </c>
      <c r="H60" s="327">
        <f t="shared" si="22"/>
        <v>-0.15456171615392869</v>
      </c>
      <c r="I60" s="333">
        <f t="shared" ref="I60:J60" si="27">I42+I48+I54</f>
        <v>59705.599999999999</v>
      </c>
      <c r="J60" s="130">
        <f t="shared" si="27"/>
        <v>637760.80000000005</v>
      </c>
      <c r="K60" s="327">
        <f t="shared" si="24"/>
        <v>0.39371746530401758</v>
      </c>
    </row>
    <row r="61" spans="1:11" ht="11.1" customHeight="1">
      <c r="A61" s="430"/>
      <c r="B61" s="430"/>
      <c r="C61" s="155" t="s">
        <v>93</v>
      </c>
      <c r="D61" s="333">
        <f>D55</f>
        <v>14</v>
      </c>
      <c r="E61" s="130">
        <f>E43+E49+E55</f>
        <v>882.5139999999999</v>
      </c>
      <c r="F61" s="130">
        <f t="shared" si="26"/>
        <v>9445.5372000000007</v>
      </c>
      <c r="G61" s="327">
        <f t="shared" si="21"/>
        <v>6.6470334364956644E-3</v>
      </c>
      <c r="H61" s="327">
        <f t="shared" si="22"/>
        <v>0.430924338137055</v>
      </c>
      <c r="I61" s="333">
        <f>I43+I49+I55</f>
        <v>616.74400000000003</v>
      </c>
      <c r="J61" s="130">
        <f t="shared" ref="J61" si="28">J43+J49+J55</f>
        <v>6587.4799099999991</v>
      </c>
      <c r="K61" s="327">
        <f t="shared" si="24"/>
        <v>4.0670035042183819E-3</v>
      </c>
    </row>
    <row r="62" spans="1:11" ht="11.1" customHeight="1">
      <c r="A62" s="431"/>
      <c r="B62" s="431"/>
      <c r="C62" s="339" t="s">
        <v>0</v>
      </c>
      <c r="D62" s="342">
        <f>SUM(D57:D61)</f>
        <v>136475</v>
      </c>
      <c r="E62" s="340">
        <f>SUM(E57:E61)</f>
        <v>132768.09999999998</v>
      </c>
      <c r="F62" s="340">
        <f>SUM(F57:F61)</f>
        <v>1420814.2402299999</v>
      </c>
      <c r="G62" s="341">
        <f>SUM(G57:G61)</f>
        <v>1.0000000000000002</v>
      </c>
      <c r="H62" s="341">
        <f>(E62-I62)/I62</f>
        <v>-0.12448547866146005</v>
      </c>
      <c r="I62" s="342">
        <f>SUM(I57:I61)</f>
        <v>151645.80000000002</v>
      </c>
      <c r="J62" s="340">
        <f>SUM(J57:J61)</f>
        <v>1619824.68931</v>
      </c>
      <c r="K62" s="341">
        <f>SUM(K57:K61)</f>
        <v>0.99999999999999989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4" t="s">
        <v>314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4"/>
      <c r="B3" s="524"/>
      <c r="C3" s="524"/>
      <c r="D3" s="320"/>
      <c r="E3" s="320"/>
      <c r="F3" s="321"/>
      <c r="G3" s="322"/>
      <c r="H3" s="322"/>
      <c r="I3" s="322"/>
      <c r="J3" s="76"/>
      <c r="K3" s="76"/>
    </row>
    <row r="4" spans="1:16" ht="12.95" customHeight="1">
      <c r="A4" s="494" t="s">
        <v>43</v>
      </c>
      <c r="B4" s="494"/>
      <c r="C4" s="494"/>
      <c r="D4" s="496">
        <f>'3.1'!A4</f>
        <v>2022</v>
      </c>
      <c r="E4" s="382"/>
      <c r="F4" s="371"/>
      <c r="G4" s="371"/>
      <c r="H4" s="371"/>
      <c r="I4" s="496">
        <f>D4-1</f>
        <v>2021</v>
      </c>
      <c r="J4" s="497"/>
      <c r="K4" s="497"/>
    </row>
    <row r="5" spans="1:16" ht="24.95" customHeight="1">
      <c r="A5" s="383"/>
      <c r="B5" s="383"/>
      <c r="C5" s="383"/>
      <c r="D5" s="490"/>
      <c r="E5" s="384"/>
      <c r="F5" s="385"/>
      <c r="G5" s="385"/>
      <c r="H5" s="386"/>
      <c r="I5" s="490"/>
      <c r="J5" s="491"/>
      <c r="K5" s="491"/>
    </row>
    <row r="6" spans="1:16" ht="24.95" customHeight="1">
      <c r="A6" s="324"/>
      <c r="B6" s="292"/>
      <c r="C6" s="325"/>
      <c r="D6" s="393" t="s">
        <v>160</v>
      </c>
      <c r="E6" s="486" t="s">
        <v>60</v>
      </c>
      <c r="F6" s="486"/>
      <c r="G6" s="487" t="s">
        <v>33</v>
      </c>
      <c r="H6" s="487" t="s">
        <v>276</v>
      </c>
      <c r="I6" s="485" t="s">
        <v>60</v>
      </c>
      <c r="J6" s="486"/>
      <c r="K6" s="487" t="s">
        <v>33</v>
      </c>
    </row>
    <row r="7" spans="1:16" ht="24.95" customHeight="1">
      <c r="A7" s="324"/>
      <c r="B7" s="326"/>
      <c r="D7" s="394"/>
      <c r="E7" s="486"/>
      <c r="F7" s="486"/>
      <c r="G7" s="487"/>
      <c r="H7" s="487"/>
      <c r="I7" s="485"/>
      <c r="J7" s="486"/>
      <c r="K7" s="487"/>
    </row>
    <row r="8" spans="1:16" ht="15" customHeight="1">
      <c r="A8" s="495" t="s">
        <v>159</v>
      </c>
      <c r="B8" s="495"/>
      <c r="C8" s="344" t="s">
        <v>185</v>
      </c>
      <c r="D8" s="372"/>
      <c r="E8" s="222" t="s">
        <v>267</v>
      </c>
      <c r="F8" s="222" t="s">
        <v>268</v>
      </c>
      <c r="G8" s="474"/>
      <c r="H8" s="474"/>
      <c r="I8" s="224" t="s">
        <v>267</v>
      </c>
      <c r="J8" s="222" t="s">
        <v>268</v>
      </c>
      <c r="K8" s="474"/>
    </row>
    <row r="9" spans="1:16" ht="11.1" customHeight="1">
      <c r="A9" s="429" t="str">
        <f>'3.1'!D5</f>
        <v>Leden</v>
      </c>
      <c r="B9" s="429"/>
      <c r="C9" s="165" t="s">
        <v>4</v>
      </c>
      <c r="D9" s="332">
        <v>86</v>
      </c>
      <c r="E9" s="328">
        <v>15919.931</v>
      </c>
      <c r="F9" s="328">
        <v>170058.49652000002</v>
      </c>
      <c r="G9" s="329">
        <f>E9/$E$14</f>
        <v>0.30590015160569456</v>
      </c>
      <c r="H9" s="329">
        <f>(E9-I9)/I9</f>
        <v>7.8879603589363367E-3</v>
      </c>
      <c r="I9" s="332">
        <v>15795.338</v>
      </c>
      <c r="J9" s="328">
        <v>168767.97991999993</v>
      </c>
      <c r="K9" s="329">
        <f>I9/$I$14</f>
        <v>0.28834764543947661</v>
      </c>
    </row>
    <row r="10" spans="1:16" ht="11.1" customHeight="1">
      <c r="A10" s="430"/>
      <c r="B10" s="430"/>
      <c r="C10" s="155" t="s">
        <v>5</v>
      </c>
      <c r="D10" s="333">
        <v>333</v>
      </c>
      <c r="E10" s="130">
        <v>6157.9769999999999</v>
      </c>
      <c r="F10" s="130">
        <v>65779.859249999936</v>
      </c>
      <c r="G10" s="327">
        <f>E10/$E$14</f>
        <v>0.11832501647679125</v>
      </c>
      <c r="H10" s="327">
        <f>(E10-I10)/I10</f>
        <v>-4.5865263834424332E-2</v>
      </c>
      <c r="I10" s="333">
        <v>6453.991</v>
      </c>
      <c r="J10" s="130">
        <v>68958.576599999986</v>
      </c>
      <c r="K10" s="327">
        <f>I10/$I$14</f>
        <v>0.11781913806070962</v>
      </c>
      <c r="L10" s="94"/>
      <c r="N10" s="94"/>
      <c r="O10" s="94"/>
      <c r="P10" s="94"/>
    </row>
    <row r="11" spans="1:16" ht="11.1" customHeight="1">
      <c r="A11" s="430"/>
      <c r="B11" s="430"/>
      <c r="C11" s="155" t="s">
        <v>6</v>
      </c>
      <c r="D11" s="333">
        <v>11966</v>
      </c>
      <c r="E11" s="130">
        <v>11151.313</v>
      </c>
      <c r="F11" s="130">
        <v>119119.58368000001</v>
      </c>
      <c r="G11" s="327">
        <f>E11/$E$14</f>
        <v>0.21427155289194108</v>
      </c>
      <c r="H11" s="327">
        <f t="shared" ref="H11:H13" si="0">(E11-I11)/I11</f>
        <v>-6.4531661958697015E-2</v>
      </c>
      <c r="I11" s="333">
        <v>11920.566999999999</v>
      </c>
      <c r="J11" s="130">
        <v>127367.34138000001</v>
      </c>
      <c r="K11" s="327">
        <f>I11/$I$14</f>
        <v>0.21761278085682784</v>
      </c>
      <c r="L11" s="94"/>
      <c r="N11" s="94"/>
      <c r="O11" s="94"/>
      <c r="P11" s="94"/>
    </row>
    <row r="12" spans="1:16" ht="11.1" customHeight="1">
      <c r="A12" s="430"/>
      <c r="B12" s="430"/>
      <c r="C12" s="155" t="s">
        <v>7</v>
      </c>
      <c r="D12" s="333">
        <v>147657</v>
      </c>
      <c r="E12" s="130">
        <v>18640.900000000001</v>
      </c>
      <c r="F12" s="130">
        <v>199124.4</v>
      </c>
      <c r="G12" s="327">
        <f>E12/$E$14</f>
        <v>0.35818334489430836</v>
      </c>
      <c r="H12" s="327">
        <f t="shared" si="0"/>
        <v>-8.897685897905816E-2</v>
      </c>
      <c r="I12" s="333">
        <v>20461.5</v>
      </c>
      <c r="J12" s="130">
        <v>218624.7</v>
      </c>
      <c r="K12" s="327">
        <f>I12/$I$14</f>
        <v>0.37352954062520538</v>
      </c>
      <c r="L12" s="94"/>
      <c r="N12" s="94"/>
      <c r="O12" s="94"/>
      <c r="P12" s="94"/>
    </row>
    <row r="13" spans="1:16" ht="11.1" customHeight="1">
      <c r="A13" s="430"/>
      <c r="B13" s="430"/>
      <c r="C13" s="155" t="s">
        <v>93</v>
      </c>
      <c r="D13" s="333">
        <v>14</v>
      </c>
      <c r="E13" s="130">
        <v>172.779</v>
      </c>
      <c r="F13" s="130">
        <v>1845.6368200000004</v>
      </c>
      <c r="G13" s="327">
        <f>E13/$E$14</f>
        <v>3.3199341312647834E-3</v>
      </c>
      <c r="H13" s="327">
        <f t="shared" si="0"/>
        <v>0.17214593905185749</v>
      </c>
      <c r="I13" s="333">
        <v>147.404</v>
      </c>
      <c r="J13" s="130">
        <v>1574.9618299999997</v>
      </c>
      <c r="K13" s="327">
        <f>I13/$I$14</f>
        <v>2.6908950177806012E-3</v>
      </c>
      <c r="L13" s="94"/>
      <c r="N13" s="94"/>
      <c r="O13" s="94"/>
      <c r="P13" s="94"/>
    </row>
    <row r="14" spans="1:16" ht="11.1" customHeight="1">
      <c r="A14" s="431"/>
      <c r="B14" s="431"/>
      <c r="C14" s="339" t="s">
        <v>0</v>
      </c>
      <c r="D14" s="342">
        <v>160056</v>
      </c>
      <c r="E14" s="340">
        <v>52042.9</v>
      </c>
      <c r="F14" s="340">
        <v>555927.97626999998</v>
      </c>
      <c r="G14" s="341">
        <f>SUM(G9:G13)</f>
        <v>1</v>
      </c>
      <c r="H14" s="341">
        <f>(E14-I14)/I14</f>
        <v>-4.9944504078219938E-2</v>
      </c>
      <c r="I14" s="342">
        <v>54778.799999999996</v>
      </c>
      <c r="J14" s="340">
        <v>585293.55972999998</v>
      </c>
      <c r="K14" s="341">
        <f>SUM(K9:K13)</f>
        <v>1</v>
      </c>
      <c r="L14" s="94"/>
    </row>
    <row r="15" spans="1:16" ht="11.1" customHeight="1">
      <c r="A15" s="429" t="str">
        <f>'3.1'!E5</f>
        <v>Únor</v>
      </c>
      <c r="B15" s="429"/>
      <c r="C15" s="165" t="s">
        <v>4</v>
      </c>
      <c r="D15" s="332">
        <v>86</v>
      </c>
      <c r="E15" s="328">
        <v>14479.853999999999</v>
      </c>
      <c r="F15" s="328">
        <v>154858.59617000012</v>
      </c>
      <c r="G15" s="329">
        <f>E15/$E$20</f>
        <v>0.34072810188061214</v>
      </c>
      <c r="H15" s="329">
        <f>(E15-I15)/I15</f>
        <v>-3.6789875654838225E-2</v>
      </c>
      <c r="I15" s="332">
        <v>15032.913</v>
      </c>
      <c r="J15" s="328">
        <v>160654.53534999996</v>
      </c>
      <c r="K15" s="329">
        <f>I15/$I$20</f>
        <v>0.29709138088114101</v>
      </c>
      <c r="L15" s="94"/>
      <c r="M15" s="94"/>
    </row>
    <row r="16" spans="1:16" ht="11.1" customHeight="1">
      <c r="A16" s="430"/>
      <c r="B16" s="430"/>
      <c r="C16" s="155" t="s">
        <v>5</v>
      </c>
      <c r="D16" s="333">
        <v>333</v>
      </c>
      <c r="E16" s="130">
        <v>5011.1979999999994</v>
      </c>
      <c r="F16" s="130">
        <v>53593.392179999995</v>
      </c>
      <c r="G16" s="327">
        <f>E16/$E$20</f>
        <v>0.117919419815139</v>
      </c>
      <c r="H16" s="327">
        <f>(E16-I16)/I16</f>
        <v>-0.1310934196321781</v>
      </c>
      <c r="I16" s="333">
        <v>5767.2460000000001</v>
      </c>
      <c r="J16" s="130">
        <v>61634.061980000013</v>
      </c>
      <c r="K16" s="327">
        <f>I16/$I$20</f>
        <v>0.11397651792578305</v>
      </c>
      <c r="L16" s="98"/>
      <c r="M16" s="94"/>
    </row>
    <row r="17" spans="1:20" ht="11.1" customHeight="1">
      <c r="A17" s="430"/>
      <c r="B17" s="430"/>
      <c r="C17" s="155" t="s">
        <v>6</v>
      </c>
      <c r="D17" s="333">
        <v>11960</v>
      </c>
      <c r="E17" s="130">
        <v>8546.4040000000005</v>
      </c>
      <c r="F17" s="130">
        <v>91401.854680000004</v>
      </c>
      <c r="G17" s="327">
        <f>E17/$E$20</f>
        <v>0.20110700099772219</v>
      </c>
      <c r="H17" s="327">
        <f t="shared" ref="H17:H20" si="1">(E17-I17)/I17</f>
        <v>-0.22449422554082749</v>
      </c>
      <c r="I17" s="333">
        <v>11020.425999999999</v>
      </c>
      <c r="J17" s="130">
        <v>117773.57117000001</v>
      </c>
      <c r="K17" s="327">
        <f>I17/$I$20</f>
        <v>0.21779368897022347</v>
      </c>
      <c r="L17" s="94"/>
      <c r="M17" s="94"/>
      <c r="N17" s="94"/>
      <c r="O17" s="94"/>
    </row>
    <row r="18" spans="1:20" ht="11.1" customHeight="1">
      <c r="A18" s="430"/>
      <c r="B18" s="430"/>
      <c r="C18" s="155" t="s">
        <v>7</v>
      </c>
      <c r="D18" s="333">
        <v>147559</v>
      </c>
      <c r="E18" s="130">
        <v>14293.4</v>
      </c>
      <c r="F18" s="130">
        <v>152864.70000000001</v>
      </c>
      <c r="G18" s="327">
        <f>E18/$E$20</f>
        <v>0.33634061858775244</v>
      </c>
      <c r="H18" s="327">
        <f t="shared" si="1"/>
        <v>-0.23340877642742991</v>
      </c>
      <c r="I18" s="333">
        <v>18645.400000000001</v>
      </c>
      <c r="J18" s="130">
        <v>199260.4</v>
      </c>
      <c r="K18" s="327">
        <f>I18/$I$20</f>
        <v>0.36848398132026888</v>
      </c>
      <c r="L18" s="94"/>
      <c r="M18" s="94"/>
      <c r="N18" s="94"/>
      <c r="O18" s="94"/>
    </row>
    <row r="19" spans="1:20" ht="11.1" customHeight="1">
      <c r="A19" s="430"/>
      <c r="B19" s="430"/>
      <c r="C19" s="155" t="s">
        <v>93</v>
      </c>
      <c r="D19" s="333">
        <v>14</v>
      </c>
      <c r="E19" s="130">
        <v>165.94399999999999</v>
      </c>
      <c r="F19" s="130">
        <v>1774.7335000000003</v>
      </c>
      <c r="G19" s="327">
        <f>E19/$E$20</f>
        <v>3.904858718774119E-3</v>
      </c>
      <c r="H19" s="327">
        <f t="shared" si="1"/>
        <v>0.23548375088411563</v>
      </c>
      <c r="I19" s="333">
        <v>134.315</v>
      </c>
      <c r="J19" s="130">
        <v>1435.4126000000001</v>
      </c>
      <c r="K19" s="327">
        <f>I19/$I$20</f>
        <v>2.6544309025835814E-3</v>
      </c>
      <c r="L19" s="94"/>
      <c r="M19" s="94"/>
      <c r="N19" s="94"/>
      <c r="O19" s="94"/>
    </row>
    <row r="20" spans="1:20" ht="11.1" customHeight="1">
      <c r="A20" s="431"/>
      <c r="B20" s="431"/>
      <c r="C20" s="339" t="s">
        <v>0</v>
      </c>
      <c r="D20" s="342">
        <v>159952</v>
      </c>
      <c r="E20" s="340">
        <v>42496.800000000003</v>
      </c>
      <c r="F20" s="340">
        <v>454493.27653000009</v>
      </c>
      <c r="G20" s="341">
        <f>SUM(G15:G19)</f>
        <v>0.99999999999999989</v>
      </c>
      <c r="H20" s="341">
        <f t="shared" si="1"/>
        <v>-0.16014727185411942</v>
      </c>
      <c r="I20" s="342">
        <v>50600.3</v>
      </c>
      <c r="J20" s="340">
        <v>540757.98109999998</v>
      </c>
      <c r="K20" s="341">
        <f>SUM(K15:K19)</f>
        <v>1</v>
      </c>
      <c r="L20" s="94"/>
      <c r="M20" s="94"/>
      <c r="N20" s="94"/>
      <c r="O20" s="94"/>
    </row>
    <row r="21" spans="1:20" ht="11.1" customHeight="1">
      <c r="A21" s="429" t="str">
        <f>'3.1'!F5</f>
        <v>Březen</v>
      </c>
      <c r="B21" s="429"/>
      <c r="C21" s="165" t="s">
        <v>4</v>
      </c>
      <c r="D21" s="332">
        <v>85</v>
      </c>
      <c r="E21" s="328">
        <v>15327.741</v>
      </c>
      <c r="F21" s="328">
        <v>164494.58588000003</v>
      </c>
      <c r="G21" s="329">
        <f>E21/$E$26</f>
        <v>0.35834917658720877</v>
      </c>
      <c r="H21" s="329">
        <f>(E21-I21)/I21</f>
        <v>-2.4661439871697027E-2</v>
      </c>
      <c r="I21" s="332">
        <v>15715.303</v>
      </c>
      <c r="J21" s="328">
        <v>167715.99376000004</v>
      </c>
      <c r="K21" s="329">
        <f>I21/$I$26</f>
        <v>0.33865246285992584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0"/>
      <c r="B22" s="430"/>
      <c r="C22" s="155" t="s">
        <v>5</v>
      </c>
      <c r="D22" s="333">
        <v>329</v>
      </c>
      <c r="E22" s="130">
        <v>4994.3639999999996</v>
      </c>
      <c r="F22" s="130">
        <v>53598.817800000019</v>
      </c>
      <c r="G22" s="327">
        <f>E22/$E$26</f>
        <v>0.11676386148335871</v>
      </c>
      <c r="H22" s="327">
        <f t="shared" ref="H22:H26" si="2">(E22-I22)/I22</f>
        <v>-3.425253132504482E-2</v>
      </c>
      <c r="I22" s="333">
        <v>5171.5010000000002</v>
      </c>
      <c r="J22" s="130">
        <v>55190.972050000026</v>
      </c>
      <c r="K22" s="327">
        <f>I22/$I$26</f>
        <v>0.11144179341197362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0"/>
      <c r="B23" s="430"/>
      <c r="C23" s="155" t="s">
        <v>6</v>
      </c>
      <c r="D23" s="333">
        <v>11973</v>
      </c>
      <c r="E23" s="130">
        <v>8549.0169999999998</v>
      </c>
      <c r="F23" s="130">
        <v>91746.115590000001</v>
      </c>
      <c r="G23" s="327">
        <f>E23/$E$26</f>
        <v>0.19986853917873806</v>
      </c>
      <c r="H23" s="327">
        <f t="shared" si="2"/>
        <v>-8.0051303528877016E-2</v>
      </c>
      <c r="I23" s="333">
        <v>9292.9279999999999</v>
      </c>
      <c r="J23" s="130">
        <v>99175.579290000009</v>
      </c>
      <c r="K23" s="327">
        <f>I23/$I$26</f>
        <v>0.20025531511418931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0"/>
      <c r="B24" s="430"/>
      <c r="C24" s="155" t="s">
        <v>7</v>
      </c>
      <c r="D24" s="333">
        <v>147423</v>
      </c>
      <c r="E24" s="130">
        <v>13726.6</v>
      </c>
      <c r="F24" s="130">
        <v>147311.4</v>
      </c>
      <c r="G24" s="327">
        <f>E24/$E$26</f>
        <v>0.32091590061066272</v>
      </c>
      <c r="H24" s="327">
        <f t="shared" si="2"/>
        <v>-0.14658924174976992</v>
      </c>
      <c r="I24" s="333">
        <v>16084.4</v>
      </c>
      <c r="J24" s="130">
        <v>171655.2</v>
      </c>
      <c r="K24" s="327">
        <f>I24/$I$26</f>
        <v>0.34660621393199931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0"/>
      <c r="B25" s="430"/>
      <c r="C25" s="155" t="s">
        <v>93</v>
      </c>
      <c r="D25" s="333">
        <v>14</v>
      </c>
      <c r="E25" s="130">
        <v>175.47800000000001</v>
      </c>
      <c r="F25" s="130">
        <v>1883.1954900000001</v>
      </c>
      <c r="G25" s="327">
        <f>E25/$E$26</f>
        <v>4.1025221400316086E-3</v>
      </c>
      <c r="H25" s="327">
        <f t="shared" si="2"/>
        <v>0.24216383044992501</v>
      </c>
      <c r="I25" s="333">
        <v>141.268</v>
      </c>
      <c r="J25" s="130">
        <v>1507.6388699999998</v>
      </c>
      <c r="K25" s="327">
        <f>I25/$I$26</f>
        <v>3.0442146819120194E-3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1"/>
      <c r="B26" s="431"/>
      <c r="C26" s="339" t="s">
        <v>0</v>
      </c>
      <c r="D26" s="342">
        <v>159824</v>
      </c>
      <c r="E26" s="340">
        <v>42773.200000000004</v>
      </c>
      <c r="F26" s="340">
        <v>459034.11476000008</v>
      </c>
      <c r="G26" s="341">
        <f>SUM(G21:G25)</f>
        <v>0.99999999999999989</v>
      </c>
      <c r="H26" s="341">
        <f t="shared" si="2"/>
        <v>-7.8271063281428244E-2</v>
      </c>
      <c r="I26" s="342">
        <v>46405.399999999994</v>
      </c>
      <c r="J26" s="340">
        <v>495245.38397000014</v>
      </c>
      <c r="K26" s="341">
        <f>SUM(K21:K25)</f>
        <v>1</v>
      </c>
    </row>
    <row r="27" spans="1:20" ht="11.1" customHeight="1">
      <c r="A27" s="500" t="str">
        <f>'3.1'!G5</f>
        <v>I. čtvrtletí</v>
      </c>
      <c r="B27" s="429"/>
      <c r="C27" s="165" t="s">
        <v>4</v>
      </c>
      <c r="D27" s="332">
        <f>D21</f>
        <v>85</v>
      </c>
      <c r="E27" s="328">
        <f>E9+E15+E21</f>
        <v>45727.525999999998</v>
      </c>
      <c r="F27" s="328">
        <f>F9+F15+F21</f>
        <v>489411.67857000016</v>
      </c>
      <c r="G27" s="329">
        <f>E27/$E$32</f>
        <v>0.3330169707288973</v>
      </c>
      <c r="H27" s="329">
        <f>(E27-I27)/I27</f>
        <v>-1.7532567452842249E-2</v>
      </c>
      <c r="I27" s="332">
        <f>I9+I15+I21</f>
        <v>46543.554000000004</v>
      </c>
      <c r="J27" s="328">
        <f>J9+J15+J21</f>
        <v>497138.5090299999</v>
      </c>
      <c r="K27" s="329">
        <f>I27/$I$32</f>
        <v>0.30664233831517712</v>
      </c>
    </row>
    <row r="28" spans="1:20" ht="11.1" customHeight="1">
      <c r="A28" s="430"/>
      <c r="B28" s="430"/>
      <c r="C28" s="155" t="s">
        <v>5</v>
      </c>
      <c r="D28" s="333">
        <f>D22</f>
        <v>329</v>
      </c>
      <c r="E28" s="130">
        <f t="shared" ref="E28:F31" si="3">E10+E16+E22</f>
        <v>16163.538999999999</v>
      </c>
      <c r="F28" s="130">
        <f t="shared" si="3"/>
        <v>172972.06922999996</v>
      </c>
      <c r="G28" s="327">
        <f>E28/$E$32</f>
        <v>0.11771318645225612</v>
      </c>
      <c r="H28" s="327">
        <f t="shared" ref="H28:H31" si="4">(E28-I28)/I28</f>
        <v>-7.067311656163637E-2</v>
      </c>
      <c r="I28" s="333">
        <f t="shared" ref="I28:J28" si="5">I10+I16+I22</f>
        <v>17392.738000000001</v>
      </c>
      <c r="J28" s="130">
        <f t="shared" si="5"/>
        <v>185783.61063000001</v>
      </c>
      <c r="K28" s="327">
        <f>I28/$I$32</f>
        <v>0.11458836705987767</v>
      </c>
    </row>
    <row r="29" spans="1:20" ht="11.1" customHeight="1">
      <c r="A29" s="430"/>
      <c r="B29" s="430"/>
      <c r="C29" s="155" t="s">
        <v>6</v>
      </c>
      <c r="D29" s="333">
        <f>D23</f>
        <v>11973</v>
      </c>
      <c r="E29" s="130">
        <f t="shared" si="3"/>
        <v>28246.734</v>
      </c>
      <c r="F29" s="130">
        <f t="shared" si="3"/>
        <v>302267.55395000003</v>
      </c>
      <c r="G29" s="327">
        <f>E29/$E$32</f>
        <v>0.2057107088991639</v>
      </c>
      <c r="H29" s="327">
        <f t="shared" si="4"/>
        <v>-0.12369537668098145</v>
      </c>
      <c r="I29" s="333">
        <f t="shared" ref="I29:J29" si="6">I11+I17+I23</f>
        <v>32233.920999999998</v>
      </c>
      <c r="J29" s="130">
        <f t="shared" si="6"/>
        <v>344316.49184000003</v>
      </c>
      <c r="K29" s="327">
        <f>I29/$I$32</f>
        <v>0.21236635493083944</v>
      </c>
    </row>
    <row r="30" spans="1:20" ht="11.1" customHeight="1">
      <c r="A30" s="430"/>
      <c r="B30" s="430"/>
      <c r="C30" s="155" t="s">
        <v>7</v>
      </c>
      <c r="D30" s="333">
        <f>D24</f>
        <v>147423</v>
      </c>
      <c r="E30" s="130">
        <f t="shared" si="3"/>
        <v>46660.9</v>
      </c>
      <c r="F30" s="130">
        <f t="shared" si="3"/>
        <v>499300.5</v>
      </c>
      <c r="G30" s="327">
        <f>E30/$E$32</f>
        <v>0.33981439471455344</v>
      </c>
      <c r="H30" s="327">
        <f t="shared" si="4"/>
        <v>-0.15456059197735877</v>
      </c>
      <c r="I30" s="333">
        <f t="shared" ref="I30:J30" si="7">I12+I18+I24</f>
        <v>55191.3</v>
      </c>
      <c r="J30" s="130">
        <f t="shared" si="7"/>
        <v>589540.30000000005</v>
      </c>
      <c r="K30" s="327">
        <f>I30/$I$32</f>
        <v>0.36361617951767145</v>
      </c>
    </row>
    <row r="31" spans="1:20" ht="11.1" customHeight="1">
      <c r="A31" s="430"/>
      <c r="B31" s="430"/>
      <c r="C31" s="155" t="s">
        <v>93</v>
      </c>
      <c r="D31" s="333">
        <f>D25</f>
        <v>14</v>
      </c>
      <c r="E31" s="130">
        <f>E13+E19+E25</f>
        <v>514.20100000000002</v>
      </c>
      <c r="F31" s="130">
        <f t="shared" si="3"/>
        <v>5503.565810000001</v>
      </c>
      <c r="G31" s="327">
        <f>E31/$E$32</f>
        <v>3.7447392051293072E-3</v>
      </c>
      <c r="H31" s="327">
        <f t="shared" si="4"/>
        <v>0.21564256111889979</v>
      </c>
      <c r="I31" s="333">
        <f>I13+I19+I25</f>
        <v>422.98699999999997</v>
      </c>
      <c r="J31" s="130">
        <f t="shared" ref="J31" si="8">J13+J19+J25</f>
        <v>4518.0132999999996</v>
      </c>
      <c r="K31" s="327">
        <f>I31/$I$32</f>
        <v>2.7867601764343525E-3</v>
      </c>
    </row>
    <row r="32" spans="1:20" ht="11.1" customHeight="1">
      <c r="A32" s="431"/>
      <c r="B32" s="431"/>
      <c r="C32" s="339" t="s">
        <v>0</v>
      </c>
      <c r="D32" s="342">
        <f>SUM(D27:D31)</f>
        <v>159824</v>
      </c>
      <c r="E32" s="340">
        <f>SUM(E27:E31)</f>
        <v>137312.9</v>
      </c>
      <c r="F32" s="340">
        <f>SUM(F27:F31)</f>
        <v>1469455.3675600002</v>
      </c>
      <c r="G32" s="341">
        <f>SUM(G27:G31)</f>
        <v>1</v>
      </c>
      <c r="H32" s="341">
        <f>(E32-I32)/I32</f>
        <v>-9.5343068626901992E-2</v>
      </c>
      <c r="I32" s="342">
        <f>SUM(I27:I31)</f>
        <v>151784.5</v>
      </c>
      <c r="J32" s="340">
        <f>SUM(J27:J31)</f>
        <v>1621296.9247999999</v>
      </c>
      <c r="K32" s="341">
        <f>SUM(K27:K31)</f>
        <v>1</v>
      </c>
    </row>
    <row r="33" spans="1:11" ht="9.9499999999999993" customHeight="1">
      <c r="A33" s="387"/>
      <c r="B33" s="388"/>
      <c r="C33" s="389"/>
      <c r="D33" s="390"/>
      <c r="E33" s="390"/>
      <c r="F33" s="390"/>
      <c r="G33" s="391"/>
      <c r="H33" s="392"/>
      <c r="I33" s="390"/>
      <c r="J33" s="390"/>
      <c r="K33" s="391"/>
    </row>
    <row r="34" spans="1:11" ht="12.95" customHeight="1">
      <c r="A34" s="525" t="s">
        <v>90</v>
      </c>
      <c r="B34" s="525"/>
      <c r="C34" s="525"/>
      <c r="D34" s="496">
        <f>D4</f>
        <v>2022</v>
      </c>
      <c r="E34" s="382"/>
      <c r="F34" s="371"/>
      <c r="G34" s="371"/>
      <c r="H34" s="371"/>
      <c r="I34" s="496">
        <f>D34-1</f>
        <v>2021</v>
      </c>
      <c r="J34" s="497"/>
      <c r="K34" s="497"/>
    </row>
    <row r="35" spans="1:11" ht="24.95" customHeight="1">
      <c r="A35" s="324"/>
      <c r="B35" s="292"/>
      <c r="C35" s="151"/>
      <c r="D35" s="490"/>
      <c r="E35" s="384"/>
      <c r="F35" s="385"/>
      <c r="G35" s="385"/>
      <c r="H35" s="386"/>
      <c r="I35" s="490"/>
      <c r="J35" s="491"/>
      <c r="K35" s="491"/>
    </row>
    <row r="36" spans="1:11" ht="24.95" customHeight="1">
      <c r="A36" s="131"/>
      <c r="B36" s="132"/>
      <c r="C36" s="381"/>
      <c r="D36" s="393" t="s">
        <v>160</v>
      </c>
      <c r="E36" s="486" t="s">
        <v>60</v>
      </c>
      <c r="F36" s="486"/>
      <c r="G36" s="487" t="s">
        <v>33</v>
      </c>
      <c r="H36" s="487" t="s">
        <v>276</v>
      </c>
      <c r="I36" s="485" t="s">
        <v>60</v>
      </c>
      <c r="J36" s="486"/>
      <c r="K36" s="487" t="s">
        <v>33</v>
      </c>
    </row>
    <row r="37" spans="1:11" ht="24.95" customHeight="1">
      <c r="A37" s="131"/>
      <c r="B37" s="326"/>
      <c r="C37" s="326"/>
      <c r="D37" s="394"/>
      <c r="E37" s="486"/>
      <c r="F37" s="486"/>
      <c r="G37" s="487"/>
      <c r="H37" s="487"/>
      <c r="I37" s="485"/>
      <c r="J37" s="486"/>
      <c r="K37" s="487"/>
    </row>
    <row r="38" spans="1:11" ht="15" customHeight="1">
      <c r="A38" s="526" t="s">
        <v>159</v>
      </c>
      <c r="B38" s="526"/>
      <c r="C38" s="395" t="s">
        <v>185</v>
      </c>
      <c r="D38" s="372"/>
      <c r="E38" s="222" t="s">
        <v>267</v>
      </c>
      <c r="F38" s="222" t="s">
        <v>268</v>
      </c>
      <c r="G38" s="474"/>
      <c r="H38" s="474"/>
      <c r="I38" s="224" t="s">
        <v>267</v>
      </c>
      <c r="J38" s="222" t="s">
        <v>268</v>
      </c>
      <c r="K38" s="474"/>
    </row>
    <row r="39" spans="1:11" ht="11.1" customHeight="1">
      <c r="A39" s="429" t="str">
        <f>'3.1'!D5</f>
        <v>Leden</v>
      </c>
      <c r="B39" s="429"/>
      <c r="C39" s="165" t="s">
        <v>4</v>
      </c>
      <c r="D39" s="332">
        <v>145</v>
      </c>
      <c r="E39" s="328">
        <v>24326.108946542274</v>
      </c>
      <c r="F39" s="328">
        <v>260139.90506000002</v>
      </c>
      <c r="G39" s="329">
        <f>E39/$E$44</f>
        <v>0.19013634533825161</v>
      </c>
      <c r="H39" s="329">
        <f>(E39-I39)/I39</f>
        <v>-7.9462605723416568E-2</v>
      </c>
      <c r="I39" s="332">
        <v>26425.986709273522</v>
      </c>
      <c r="J39" s="328">
        <v>281955.83989999996</v>
      </c>
      <c r="K39" s="329">
        <f>I39/$I$44</f>
        <v>0.19032688636899683</v>
      </c>
    </row>
    <row r="40" spans="1:11" ht="11.1" customHeight="1">
      <c r="A40" s="430"/>
      <c r="B40" s="430"/>
      <c r="C40" s="155" t="s">
        <v>5</v>
      </c>
      <c r="D40" s="333">
        <v>1559</v>
      </c>
      <c r="E40" s="130">
        <v>24956.067783181727</v>
      </c>
      <c r="F40" s="130">
        <v>266876.64655</v>
      </c>
      <c r="G40" s="327">
        <f t="shared" ref="G40" si="9">E40/$E$44</f>
        <v>0.19506019366826524</v>
      </c>
      <c r="H40" s="327">
        <f>(E40-I40)/I40</f>
        <v>-6.3772587822490401E-2</v>
      </c>
      <c r="I40" s="333">
        <v>26655.989195123067</v>
      </c>
      <c r="J40" s="130">
        <v>284409.90773000004</v>
      </c>
      <c r="K40" s="327">
        <f t="shared" ref="K40:K43" si="10">I40/$I$44</f>
        <v>0.19198342458913872</v>
      </c>
    </row>
    <row r="41" spans="1:11" ht="11.1" customHeight="1">
      <c r="A41" s="430"/>
      <c r="B41" s="430"/>
      <c r="C41" s="155" t="s">
        <v>6</v>
      </c>
      <c r="D41" s="333">
        <v>38341</v>
      </c>
      <c r="E41" s="130">
        <v>32358.272993255832</v>
      </c>
      <c r="F41" s="130">
        <v>346034.77838000003</v>
      </c>
      <c r="G41" s="327">
        <f>E41/$E$44</f>
        <v>0.25291688785557415</v>
      </c>
      <c r="H41" s="327">
        <f t="shared" ref="H41:H43" si="11">(E41-I41)/I41</f>
        <v>-9.3625515879170437E-2</v>
      </c>
      <c r="I41" s="333">
        <v>35700.776621754638</v>
      </c>
      <c r="J41" s="130">
        <v>380914.56709999999</v>
      </c>
      <c r="K41" s="327">
        <f t="shared" si="10"/>
        <v>0.25712635558804575</v>
      </c>
    </row>
    <row r="42" spans="1:11" ht="11.1" customHeight="1">
      <c r="A42" s="430"/>
      <c r="B42" s="430"/>
      <c r="C42" s="155" t="s">
        <v>7</v>
      </c>
      <c r="D42" s="333">
        <v>373990</v>
      </c>
      <c r="E42" s="130">
        <v>45170.71131080106</v>
      </c>
      <c r="F42" s="130">
        <v>483049.17512000003</v>
      </c>
      <c r="G42" s="327">
        <f>E42/$E$44</f>
        <v>0.35306073749150602</v>
      </c>
      <c r="H42" s="327">
        <f t="shared" si="11"/>
        <v>-7.6396008922866021E-2</v>
      </c>
      <c r="I42" s="333">
        <v>48907.011822373846</v>
      </c>
      <c r="J42" s="130">
        <v>521820.39158</v>
      </c>
      <c r="K42" s="327">
        <f t="shared" si="10"/>
        <v>0.35224112477501612</v>
      </c>
    </row>
    <row r="43" spans="1:11" ht="11.1" customHeight="1">
      <c r="A43" s="430"/>
      <c r="B43" s="430"/>
      <c r="C43" s="155" t="s">
        <v>93</v>
      </c>
      <c r="D43" s="333">
        <v>39</v>
      </c>
      <c r="E43" s="130">
        <v>1129.1804262710934</v>
      </c>
      <c r="F43" s="130">
        <v>12075.2952</v>
      </c>
      <c r="G43" s="327">
        <f>E43/$E$44</f>
        <v>8.8258356464029613E-3</v>
      </c>
      <c r="H43" s="327">
        <f t="shared" si="11"/>
        <v>-2.2777021574460706E-2</v>
      </c>
      <c r="I43" s="333">
        <v>1155.4992577951673</v>
      </c>
      <c r="J43" s="130">
        <v>12328.765399999998</v>
      </c>
      <c r="K43" s="327">
        <f t="shared" si="10"/>
        <v>8.3222086788027026E-3</v>
      </c>
    </row>
    <row r="44" spans="1:11" ht="11.1" customHeight="1">
      <c r="A44" s="431"/>
      <c r="B44" s="431"/>
      <c r="C44" s="339" t="s">
        <v>0</v>
      </c>
      <c r="D44" s="342">
        <v>414074</v>
      </c>
      <c r="E44" s="340">
        <v>127940.34146005199</v>
      </c>
      <c r="F44" s="340">
        <v>1368175.8003100001</v>
      </c>
      <c r="G44" s="341">
        <f>SUM(G39:G43)</f>
        <v>0.99999999999999989</v>
      </c>
      <c r="H44" s="341">
        <f>(E44-I44)/I44</f>
        <v>-7.8540109061176797E-2</v>
      </c>
      <c r="I44" s="342">
        <v>138845.26360632022</v>
      </c>
      <c r="J44" s="340">
        <v>1481429.47171</v>
      </c>
      <c r="K44" s="341">
        <f>SUM(K39:K43)</f>
        <v>1</v>
      </c>
    </row>
    <row r="45" spans="1:11" ht="11.1" customHeight="1">
      <c r="A45" s="429" t="str">
        <f>'3.1'!E5</f>
        <v>Únor</v>
      </c>
      <c r="B45" s="429"/>
      <c r="C45" s="165" t="s">
        <v>4</v>
      </c>
      <c r="D45" s="332">
        <v>153</v>
      </c>
      <c r="E45" s="328">
        <v>19646.57750097914</v>
      </c>
      <c r="F45" s="328">
        <v>210699.64882000003</v>
      </c>
      <c r="G45" s="329">
        <f>E45/$E$50</f>
        <v>0.194960704247443</v>
      </c>
      <c r="H45" s="329">
        <f>(E45-I45)/I45</f>
        <v>-0.24164682300995169</v>
      </c>
      <c r="I45" s="332">
        <v>25906.896808895359</v>
      </c>
      <c r="J45" s="328">
        <v>276620.01243</v>
      </c>
      <c r="K45" s="329">
        <f>I45/$I$50</f>
        <v>0.20176534348643571</v>
      </c>
    </row>
    <row r="46" spans="1:11" ht="11.1" customHeight="1">
      <c r="A46" s="430"/>
      <c r="B46" s="430"/>
      <c r="C46" s="155" t="s">
        <v>5</v>
      </c>
      <c r="D46" s="333">
        <v>1550</v>
      </c>
      <c r="E46" s="130">
        <v>19663.843255088446</v>
      </c>
      <c r="F46" s="130">
        <v>210884.91539000001</v>
      </c>
      <c r="G46" s="327">
        <f t="shared" ref="G46:G49" si="12">E46/$E$50</f>
        <v>0.19513203910616564</v>
      </c>
      <c r="H46" s="327">
        <f>(E46-I46)/I46</f>
        <v>-0.20115938820632462</v>
      </c>
      <c r="I46" s="333">
        <v>24615.477687014773</v>
      </c>
      <c r="J46" s="130">
        <v>262830.86343999999</v>
      </c>
      <c r="K46" s="327">
        <f t="shared" ref="K46:K49" si="13">I46/$I$50</f>
        <v>0.19170765017668659</v>
      </c>
    </row>
    <row r="47" spans="1:11" ht="11.1" customHeight="1">
      <c r="A47" s="430"/>
      <c r="B47" s="430"/>
      <c r="C47" s="155" t="s">
        <v>6</v>
      </c>
      <c r="D47" s="333">
        <v>38413</v>
      </c>
      <c r="E47" s="130">
        <v>25211.324652606621</v>
      </c>
      <c r="F47" s="130">
        <v>270378.88764999999</v>
      </c>
      <c r="G47" s="327">
        <f t="shared" si="12"/>
        <v>0.25018187564923944</v>
      </c>
      <c r="H47" s="327">
        <f t="shared" ref="H47:H49" si="14">(E47-I47)/I47</f>
        <v>-0.2294068930907476</v>
      </c>
      <c r="I47" s="333">
        <v>32716.779356781335</v>
      </c>
      <c r="J47" s="130">
        <v>349332.21596</v>
      </c>
      <c r="K47" s="327">
        <f t="shared" si="13"/>
        <v>0.25480134781809782</v>
      </c>
    </row>
    <row r="48" spans="1:11" ht="11.1" customHeight="1">
      <c r="A48" s="430"/>
      <c r="B48" s="430"/>
      <c r="C48" s="155" t="s">
        <v>7</v>
      </c>
      <c r="D48" s="333">
        <v>373840</v>
      </c>
      <c r="E48" s="130">
        <v>35190.008793370907</v>
      </c>
      <c r="F48" s="130">
        <v>377395.30012999999</v>
      </c>
      <c r="G48" s="327">
        <f t="shared" si="12"/>
        <v>0.34920427725833592</v>
      </c>
      <c r="H48" s="327">
        <f t="shared" si="14"/>
        <v>-0.20064234556547988</v>
      </c>
      <c r="I48" s="333">
        <v>44022.858351515941</v>
      </c>
      <c r="J48" s="130">
        <v>470052.46124999999</v>
      </c>
      <c r="K48" s="327">
        <f t="shared" si="13"/>
        <v>0.34285415200706354</v>
      </c>
    </row>
    <row r="49" spans="1:11" ht="11.1" customHeight="1">
      <c r="A49" s="430"/>
      <c r="B49" s="430"/>
      <c r="C49" s="155" t="s">
        <v>93</v>
      </c>
      <c r="D49" s="333">
        <v>40</v>
      </c>
      <c r="E49" s="130">
        <v>1060.2325263358823</v>
      </c>
      <c r="F49" s="130">
        <v>11370.465260000001</v>
      </c>
      <c r="G49" s="327">
        <f t="shared" si="12"/>
        <v>1.0521103738815967E-2</v>
      </c>
      <c r="H49" s="327">
        <f t="shared" si="14"/>
        <v>-6.92459732882513E-2</v>
      </c>
      <c r="I49" s="333">
        <v>1139.1114042037152</v>
      </c>
      <c r="J49" s="130">
        <v>12162.820390000001</v>
      </c>
      <c r="K49" s="327">
        <f t="shared" si="13"/>
        <v>8.8715065117163511E-3</v>
      </c>
    </row>
    <row r="50" spans="1:11" ht="11.1" customHeight="1">
      <c r="A50" s="431"/>
      <c r="B50" s="431"/>
      <c r="C50" s="339" t="s">
        <v>0</v>
      </c>
      <c r="D50" s="342">
        <v>413996</v>
      </c>
      <c r="E50" s="340">
        <v>100771.986728381</v>
      </c>
      <c r="F50" s="340">
        <v>1080729.21725</v>
      </c>
      <c r="G50" s="341">
        <f>SUM(G45:G49)</f>
        <v>1</v>
      </c>
      <c r="H50" s="341">
        <f t="shared" ref="H50" si="15">(E50-I50)/I50</f>
        <v>-0.21517831077780555</v>
      </c>
      <c r="I50" s="342">
        <v>128401.12360841112</v>
      </c>
      <c r="J50" s="340">
        <v>1370998.37347</v>
      </c>
      <c r="K50" s="341">
        <f>SUM(K45:K49)</f>
        <v>0.99999999999999989</v>
      </c>
    </row>
    <row r="51" spans="1:11" ht="11.1" customHeight="1">
      <c r="A51" s="429" t="str">
        <f>'3.1'!F5</f>
        <v>Březen</v>
      </c>
      <c r="B51" s="429"/>
      <c r="C51" s="165" t="s">
        <v>4</v>
      </c>
      <c r="D51" s="332">
        <v>143</v>
      </c>
      <c r="E51" s="328">
        <v>19759.284143491921</v>
      </c>
      <c r="F51" s="328">
        <v>213263.67053</v>
      </c>
      <c r="G51" s="329">
        <f>E51/$E$56</f>
        <v>0.20132718584736778</v>
      </c>
      <c r="H51" s="329">
        <f>(E51-I51)/I51</f>
        <v>-7.8159191152224819E-2</v>
      </c>
      <c r="I51" s="332">
        <v>21434.594730286884</v>
      </c>
      <c r="J51" s="328">
        <v>228530.21466999999</v>
      </c>
      <c r="K51" s="329">
        <f>I51/$I$56</f>
        <v>0.19472384728437425</v>
      </c>
    </row>
    <row r="52" spans="1:11" ht="11.1" customHeight="1">
      <c r="A52" s="430"/>
      <c r="B52" s="430"/>
      <c r="C52" s="155" t="s">
        <v>5</v>
      </c>
      <c r="D52" s="333">
        <v>1541</v>
      </c>
      <c r="E52" s="130">
        <v>19157.073608460625</v>
      </c>
      <c r="F52" s="130">
        <v>206765.50153000001</v>
      </c>
      <c r="G52" s="327">
        <f t="shared" ref="G52:G55" si="16">E52/$E$56</f>
        <v>0.19519126759116812</v>
      </c>
      <c r="H52" s="327">
        <f t="shared" ref="H52:H55" si="17">(E52-I52)/I52</f>
        <v>-9.032897592555833E-2</v>
      </c>
      <c r="I52" s="333">
        <v>21059.342445201302</v>
      </c>
      <c r="J52" s="130">
        <v>224529.36969999998</v>
      </c>
      <c r="K52" s="327">
        <f t="shared" ref="K52:K55" si="18">I52/$I$56</f>
        <v>0.19131484564130286</v>
      </c>
    </row>
    <row r="53" spans="1:11" ht="11.1" customHeight="1">
      <c r="A53" s="430"/>
      <c r="B53" s="430"/>
      <c r="C53" s="155" t="s">
        <v>6</v>
      </c>
      <c r="D53" s="333">
        <v>38383</v>
      </c>
      <c r="E53" s="130">
        <v>24351.198776619221</v>
      </c>
      <c r="F53" s="130">
        <v>262826.56374409498</v>
      </c>
      <c r="G53" s="327">
        <f t="shared" si="16"/>
        <v>0.24811416679390985</v>
      </c>
      <c r="H53" s="327">
        <f t="shared" si="17"/>
        <v>-0.12638677132584608</v>
      </c>
      <c r="I53" s="333">
        <v>27874.118634370971</v>
      </c>
      <c r="J53" s="130">
        <v>297186.78558952099</v>
      </c>
      <c r="K53" s="327">
        <f t="shared" si="18"/>
        <v>0.25322408417064285</v>
      </c>
    </row>
    <row r="54" spans="1:11" ht="11.1" customHeight="1">
      <c r="A54" s="430"/>
      <c r="B54" s="430"/>
      <c r="C54" s="155" t="s">
        <v>7</v>
      </c>
      <c r="D54" s="333">
        <v>373272</v>
      </c>
      <c r="E54" s="130">
        <v>33765.41435042068</v>
      </c>
      <c r="F54" s="130">
        <v>364435.76796873804</v>
      </c>
      <c r="G54" s="327">
        <f t="shared" si="16"/>
        <v>0.34403553290565608</v>
      </c>
      <c r="H54" s="327">
        <f t="shared" si="17"/>
        <v>-0.12209966726786142</v>
      </c>
      <c r="I54" s="333">
        <v>38461.557754897272</v>
      </c>
      <c r="J54" s="130">
        <v>410067.37712055299</v>
      </c>
      <c r="K54" s="327">
        <f t="shared" si="18"/>
        <v>0.34940630288667546</v>
      </c>
    </row>
    <row r="55" spans="1:11" ht="11.1" customHeight="1">
      <c r="A55" s="430"/>
      <c r="B55" s="430"/>
      <c r="C55" s="155" t="s">
        <v>93</v>
      </c>
      <c r="D55" s="333">
        <v>39</v>
      </c>
      <c r="E55" s="130">
        <v>1112.1656574713154</v>
      </c>
      <c r="F55" s="130">
        <v>12003.790070000001</v>
      </c>
      <c r="G55" s="327">
        <f t="shared" si="16"/>
        <v>1.1331846861898387E-2</v>
      </c>
      <c r="H55" s="327">
        <f t="shared" si="17"/>
        <v>-0.10832175396461485</v>
      </c>
      <c r="I55" s="333">
        <v>1247.2723904797163</v>
      </c>
      <c r="J55" s="130">
        <v>13298.101990000001</v>
      </c>
      <c r="K55" s="327">
        <f t="shared" si="18"/>
        <v>1.1330920017004585E-2</v>
      </c>
    </row>
    <row r="56" spans="1:11" ht="11.1" customHeight="1">
      <c r="A56" s="431"/>
      <c r="B56" s="431"/>
      <c r="C56" s="339" t="s">
        <v>0</v>
      </c>
      <c r="D56" s="342">
        <v>413378</v>
      </c>
      <c r="E56" s="340">
        <v>98145.136536463746</v>
      </c>
      <c r="F56" s="340">
        <v>1059295.293842833</v>
      </c>
      <c r="G56" s="341">
        <f>SUM(G51:G55)</f>
        <v>1.0000000000000002</v>
      </c>
      <c r="H56" s="341">
        <f t="shared" ref="H56" si="19">(E56-I56)/I56</f>
        <v>-0.10839468536223464</v>
      </c>
      <c r="I56" s="342">
        <v>110076.88595523615</v>
      </c>
      <c r="J56" s="340">
        <v>1173611.849070074</v>
      </c>
      <c r="K56" s="341">
        <f>SUM(K51:K55)</f>
        <v>0.99999999999999989</v>
      </c>
    </row>
    <row r="57" spans="1:11" ht="11.1" customHeight="1">
      <c r="A57" s="500" t="str">
        <f>'3.1'!G5</f>
        <v>I. čtvrtletí</v>
      </c>
      <c r="B57" s="429"/>
      <c r="C57" s="165" t="s">
        <v>4</v>
      </c>
      <c r="D57" s="332">
        <f>D51</f>
        <v>143</v>
      </c>
      <c r="E57" s="328">
        <f>E39+E45+E51</f>
        <v>63731.970591013334</v>
      </c>
      <c r="F57" s="328">
        <f>F39+F45+F51</f>
        <v>684103.22441000002</v>
      </c>
      <c r="G57" s="329">
        <f>E57/$E$62</f>
        <v>0.19498398375161496</v>
      </c>
      <c r="H57" s="329">
        <f>(E57-I57)/I57</f>
        <v>-0.13604243896804907</v>
      </c>
      <c r="I57" s="332">
        <f>I39+I45+I51</f>
        <v>73767.478248455765</v>
      </c>
      <c r="J57" s="328">
        <f>J39+J45+J51</f>
        <v>787106.06699999992</v>
      </c>
      <c r="K57" s="329">
        <f>I57/$I$62</f>
        <v>0.19550206280339025</v>
      </c>
    </row>
    <row r="58" spans="1:11" ht="11.1" customHeight="1">
      <c r="A58" s="430"/>
      <c r="B58" s="430"/>
      <c r="C58" s="155" t="s">
        <v>5</v>
      </c>
      <c r="D58" s="333">
        <f>D52</f>
        <v>1541</v>
      </c>
      <c r="E58" s="130">
        <f t="shared" ref="E58:F59" si="20">E40+E46+E52</f>
        <v>63776.984646730802</v>
      </c>
      <c r="F58" s="130">
        <f t="shared" si="20"/>
        <v>684527.06347000005</v>
      </c>
      <c r="G58" s="327">
        <f t="shared" ref="G58:G61" si="21">E58/$E$62</f>
        <v>0.19512170144380644</v>
      </c>
      <c r="H58" s="327">
        <f t="shared" ref="H58:H61" si="22">(E58-I58)/I58</f>
        <v>-0.11825976731294807</v>
      </c>
      <c r="I58" s="333">
        <f t="shared" ref="I58:J58" si="23">I40+I46+I52</f>
        <v>72330.809327339142</v>
      </c>
      <c r="J58" s="130">
        <f t="shared" si="23"/>
        <v>771770.14087</v>
      </c>
      <c r="K58" s="327">
        <f t="shared" ref="K58:K61" si="24">I58/$I$62</f>
        <v>0.19169453482069551</v>
      </c>
    </row>
    <row r="59" spans="1:11" ht="11.1" customHeight="1">
      <c r="A59" s="430"/>
      <c r="B59" s="430"/>
      <c r="C59" s="155" t="s">
        <v>6</v>
      </c>
      <c r="D59" s="333">
        <f>D53</f>
        <v>38383</v>
      </c>
      <c r="E59" s="130">
        <f>E41+E47+E53</f>
        <v>81920.796422481668</v>
      </c>
      <c r="F59" s="130">
        <f t="shared" si="20"/>
        <v>879240.22977409489</v>
      </c>
      <c r="G59" s="327">
        <f t="shared" si="21"/>
        <v>0.25063156043087842</v>
      </c>
      <c r="H59" s="327">
        <f t="shared" si="22"/>
        <v>-0.14924320558549092</v>
      </c>
      <c r="I59" s="333">
        <f>I41+I47+I53</f>
        <v>96291.674612906936</v>
      </c>
      <c r="J59" s="130">
        <f t="shared" ref="J59" si="25">J41+J47+J53</f>
        <v>1027433.5686495211</v>
      </c>
      <c r="K59" s="327">
        <f t="shared" si="24"/>
        <v>0.2551967542419038</v>
      </c>
    </row>
    <row r="60" spans="1:11" ht="11.1" customHeight="1">
      <c r="A60" s="430"/>
      <c r="B60" s="430"/>
      <c r="C60" s="155" t="s">
        <v>7</v>
      </c>
      <c r="D60" s="333">
        <f>D54</f>
        <v>373272</v>
      </c>
      <c r="E60" s="130">
        <f t="shared" ref="E60:F61" si="26">E42+E48+E54</f>
        <v>114126.13445459265</v>
      </c>
      <c r="F60" s="130">
        <f t="shared" si="26"/>
        <v>1224880.2432187381</v>
      </c>
      <c r="G60" s="327">
        <f t="shared" si="21"/>
        <v>0.3491617808106301</v>
      </c>
      <c r="H60" s="327">
        <f t="shared" si="22"/>
        <v>-0.13140349980481258</v>
      </c>
      <c r="I60" s="333">
        <f t="shared" ref="I60:J60" si="27">I42+I48+I54</f>
        <v>131391.42792878707</v>
      </c>
      <c r="J60" s="130">
        <f t="shared" si="27"/>
        <v>1401940.229950553</v>
      </c>
      <c r="K60" s="327">
        <f t="shared" si="24"/>
        <v>0.34821978200533904</v>
      </c>
    </row>
    <row r="61" spans="1:11" ht="11.1" customHeight="1">
      <c r="A61" s="430"/>
      <c r="B61" s="430"/>
      <c r="C61" s="155" t="s">
        <v>93</v>
      </c>
      <c r="D61" s="333">
        <f>D55</f>
        <v>39</v>
      </c>
      <c r="E61" s="130">
        <f>E43+E49+E55</f>
        <v>3301.5786100782907</v>
      </c>
      <c r="F61" s="130">
        <f t="shared" si="26"/>
        <v>35449.55053</v>
      </c>
      <c r="G61" s="327">
        <f t="shared" si="21"/>
        <v>1.0100973563070071E-2</v>
      </c>
      <c r="H61" s="327">
        <f t="shared" si="22"/>
        <v>-6.7846520859050824E-2</v>
      </c>
      <c r="I61" s="333">
        <f>I43+I49+I55</f>
        <v>3541.8830524785985</v>
      </c>
      <c r="J61" s="130">
        <f t="shared" ref="J61" si="28">J43+J49+J55</f>
        <v>37789.68778</v>
      </c>
      <c r="K61" s="327">
        <f t="shared" si="24"/>
        <v>9.386866128671411E-3</v>
      </c>
    </row>
    <row r="62" spans="1:11" ht="11.1" customHeight="1">
      <c r="A62" s="431"/>
      <c r="B62" s="431"/>
      <c r="C62" s="339" t="s">
        <v>0</v>
      </c>
      <c r="D62" s="342">
        <f>SUM(D57:D61)</f>
        <v>413378</v>
      </c>
      <c r="E62" s="340">
        <f>SUM(E57:E61)</f>
        <v>326857.46472489677</v>
      </c>
      <c r="F62" s="340">
        <f>SUM(F57:F61)</f>
        <v>3508200.3114028331</v>
      </c>
      <c r="G62" s="341">
        <f>SUM(G57:G61)</f>
        <v>1</v>
      </c>
      <c r="H62" s="341">
        <f>(E62-I62)/I62</f>
        <v>-0.13374687445356206</v>
      </c>
      <c r="I62" s="342">
        <f>SUM(I57:I61)</f>
        <v>377323.27316996752</v>
      </c>
      <c r="J62" s="340">
        <f>SUM(J57:J61)</f>
        <v>4026039.6942500737</v>
      </c>
      <c r="K62" s="341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4" t="s">
        <v>315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4"/>
      <c r="B3" s="524"/>
      <c r="C3" s="524"/>
      <c r="D3" s="320"/>
      <c r="E3" s="320"/>
      <c r="F3" s="321"/>
      <c r="G3" s="322"/>
      <c r="H3" s="322"/>
      <c r="I3" s="322"/>
      <c r="J3" s="76"/>
      <c r="K3" s="76"/>
    </row>
    <row r="4" spans="1:16" ht="12.95" customHeight="1">
      <c r="A4" s="494" t="s">
        <v>44</v>
      </c>
      <c r="B4" s="494"/>
      <c r="C4" s="494"/>
      <c r="D4" s="496">
        <f>'3.1'!A4</f>
        <v>2022</v>
      </c>
      <c r="E4" s="382"/>
      <c r="F4" s="371"/>
      <c r="G4" s="371"/>
      <c r="H4" s="371"/>
      <c r="I4" s="496">
        <f>D4-1</f>
        <v>2021</v>
      </c>
      <c r="J4" s="497"/>
      <c r="K4" s="497"/>
    </row>
    <row r="5" spans="1:16" ht="24.95" customHeight="1">
      <c r="A5" s="383"/>
      <c r="B5" s="383"/>
      <c r="C5" s="383"/>
      <c r="D5" s="490"/>
      <c r="E5" s="384"/>
      <c r="F5" s="385"/>
      <c r="G5" s="385"/>
      <c r="H5" s="386"/>
      <c r="I5" s="490"/>
      <c r="J5" s="491"/>
      <c r="K5" s="491"/>
    </row>
    <row r="6" spans="1:16" ht="24.95" customHeight="1">
      <c r="A6" s="324"/>
      <c r="B6" s="292"/>
      <c r="C6" s="325"/>
      <c r="D6" s="393" t="s">
        <v>160</v>
      </c>
      <c r="E6" s="486" t="s">
        <v>60</v>
      </c>
      <c r="F6" s="486"/>
      <c r="G6" s="487" t="s">
        <v>33</v>
      </c>
      <c r="H6" s="487" t="s">
        <v>276</v>
      </c>
      <c r="I6" s="485" t="s">
        <v>60</v>
      </c>
      <c r="J6" s="486"/>
      <c r="K6" s="487" t="s">
        <v>33</v>
      </c>
    </row>
    <row r="7" spans="1:16" ht="24.95" customHeight="1">
      <c r="A7" s="324"/>
      <c r="B7" s="326"/>
      <c r="D7" s="394"/>
      <c r="E7" s="486"/>
      <c r="F7" s="486"/>
      <c r="G7" s="487"/>
      <c r="H7" s="487"/>
      <c r="I7" s="485"/>
      <c r="J7" s="486"/>
      <c r="K7" s="487"/>
    </row>
    <row r="8" spans="1:16" ht="15" customHeight="1">
      <c r="A8" s="495" t="s">
        <v>159</v>
      </c>
      <c r="B8" s="495"/>
      <c r="C8" s="344" t="s">
        <v>185</v>
      </c>
      <c r="D8" s="372"/>
      <c r="E8" s="222" t="s">
        <v>267</v>
      </c>
      <c r="F8" s="222" t="s">
        <v>268</v>
      </c>
      <c r="G8" s="474"/>
      <c r="H8" s="474"/>
      <c r="I8" s="224" t="s">
        <v>267</v>
      </c>
      <c r="J8" s="222" t="s">
        <v>268</v>
      </c>
      <c r="K8" s="474"/>
    </row>
    <row r="9" spans="1:16" ht="11.1" customHeight="1">
      <c r="A9" s="429" t="str">
        <f>'3.1'!D5</f>
        <v>Leden</v>
      </c>
      <c r="B9" s="429"/>
      <c r="C9" s="165" t="s">
        <v>4</v>
      </c>
      <c r="D9" s="332">
        <v>191</v>
      </c>
      <c r="E9" s="328">
        <v>66506.405999999988</v>
      </c>
      <c r="F9" s="328">
        <v>710440.3237000003</v>
      </c>
      <c r="G9" s="329">
        <f>E9/$E$14</f>
        <v>0.45748027270241787</v>
      </c>
      <c r="H9" s="329">
        <f>(E9-I9)/I9</f>
        <v>-3.7298582455207702E-2</v>
      </c>
      <c r="I9" s="332">
        <v>69083.108000000007</v>
      </c>
      <c r="J9" s="328">
        <v>738087.64386200008</v>
      </c>
      <c r="K9" s="329">
        <f>I9/$I$14</f>
        <v>0.44429334634082723</v>
      </c>
    </row>
    <row r="10" spans="1:16" ht="11.1" customHeight="1">
      <c r="A10" s="430"/>
      <c r="B10" s="430"/>
      <c r="C10" s="155" t="s">
        <v>5</v>
      </c>
      <c r="D10" s="333">
        <v>638</v>
      </c>
      <c r="E10" s="130">
        <v>12831.059000000001</v>
      </c>
      <c r="F10" s="130">
        <v>137062.61191999994</v>
      </c>
      <c r="G10" s="327">
        <f>E10/$E$14</f>
        <v>8.8261518302174005E-2</v>
      </c>
      <c r="H10" s="327">
        <f>(E10-I10)/I10</f>
        <v>-0.12614966874066966</v>
      </c>
      <c r="I10" s="333">
        <v>14683.36</v>
      </c>
      <c r="J10" s="130">
        <v>156886.85146999997</v>
      </c>
      <c r="K10" s="327">
        <f>I10/$I$14</f>
        <v>9.443291332415224E-2</v>
      </c>
      <c r="L10" s="94"/>
      <c r="N10" s="94"/>
      <c r="O10" s="94"/>
      <c r="P10" s="94"/>
    </row>
    <row r="11" spans="1:16" ht="11.1" customHeight="1">
      <c r="A11" s="430"/>
      <c r="B11" s="430"/>
      <c r="C11" s="155" t="s">
        <v>6</v>
      </c>
      <c r="D11" s="333">
        <v>19428</v>
      </c>
      <c r="E11" s="130">
        <v>19052.05</v>
      </c>
      <c r="F11" s="130">
        <v>203515.484</v>
      </c>
      <c r="G11" s="327">
        <f>E11/$E$14</f>
        <v>0.13105409769910137</v>
      </c>
      <c r="H11" s="327">
        <f t="shared" ref="H11:H13" si="0">(E11-I11)/I11</f>
        <v>-6.4828397295706039E-2</v>
      </c>
      <c r="I11" s="333">
        <v>20372.785</v>
      </c>
      <c r="J11" s="130">
        <v>217677.08662999998</v>
      </c>
      <c r="K11" s="327">
        <f>I11/$I$14</f>
        <v>0.13102324264177878</v>
      </c>
      <c r="L11" s="94"/>
      <c r="N11" s="94"/>
      <c r="O11" s="94"/>
      <c r="P11" s="94"/>
    </row>
    <row r="12" spans="1:16" ht="11.1" customHeight="1">
      <c r="A12" s="430"/>
      <c r="B12" s="430"/>
      <c r="C12" s="155" t="s">
        <v>7</v>
      </c>
      <c r="D12" s="333">
        <v>240731</v>
      </c>
      <c r="E12" s="130">
        <v>45877.599999999999</v>
      </c>
      <c r="F12" s="130">
        <v>490069.2</v>
      </c>
      <c r="G12" s="327">
        <f>E12/$E$14</f>
        <v>0.31558008049529018</v>
      </c>
      <c r="H12" s="327">
        <f t="shared" si="0"/>
        <v>-8.8976395152338419E-2</v>
      </c>
      <c r="I12" s="333">
        <v>50358.3</v>
      </c>
      <c r="J12" s="130">
        <v>538061.80000000005</v>
      </c>
      <c r="K12" s="327">
        <f>I12/$I$14</f>
        <v>0.32386871799449551</v>
      </c>
      <c r="L12" s="94"/>
      <c r="N12" s="94"/>
      <c r="O12" s="94"/>
      <c r="P12" s="94"/>
    </row>
    <row r="13" spans="1:16" ht="11.1" customHeight="1">
      <c r="A13" s="430"/>
      <c r="B13" s="430"/>
      <c r="C13" s="155" t="s">
        <v>93</v>
      </c>
      <c r="D13" s="333">
        <v>34</v>
      </c>
      <c r="E13" s="130">
        <v>1108.347</v>
      </c>
      <c r="F13" s="130">
        <v>11839.47725</v>
      </c>
      <c r="G13" s="327">
        <f>E13/$E$14</f>
        <v>7.624030801016474E-3</v>
      </c>
      <c r="H13" s="327">
        <f t="shared" si="0"/>
        <v>0.11694524449210014</v>
      </c>
      <c r="I13" s="333">
        <v>992.30200000000002</v>
      </c>
      <c r="J13" s="130">
        <v>10602.42553</v>
      </c>
      <c r="K13" s="327">
        <f>I13/$I$14</f>
        <v>6.381779698746262E-3</v>
      </c>
      <c r="L13" s="94"/>
      <c r="N13" s="94"/>
      <c r="O13" s="94"/>
      <c r="P13" s="94"/>
    </row>
    <row r="14" spans="1:16" ht="11.1" customHeight="1">
      <c r="A14" s="431"/>
      <c r="B14" s="431"/>
      <c r="C14" s="339" t="s">
        <v>0</v>
      </c>
      <c r="D14" s="342">
        <v>261022</v>
      </c>
      <c r="E14" s="340">
        <v>145375.462</v>
      </c>
      <c r="F14" s="340">
        <v>1552927.0968700002</v>
      </c>
      <c r="G14" s="341">
        <f>SUM(G9:G13)</f>
        <v>0.99999999999999989</v>
      </c>
      <c r="H14" s="341">
        <f>(E14-I14)/I14</f>
        <v>-6.5048571818399403E-2</v>
      </c>
      <c r="I14" s="342">
        <v>155489.85500000001</v>
      </c>
      <c r="J14" s="340">
        <v>1661315.8074920001</v>
      </c>
      <c r="K14" s="341">
        <f>SUM(K9:K13)</f>
        <v>1</v>
      </c>
      <c r="L14" s="94"/>
    </row>
    <row r="15" spans="1:16" ht="11.1" customHeight="1">
      <c r="A15" s="429" t="str">
        <f>'3.1'!E5</f>
        <v>Únor</v>
      </c>
      <c r="B15" s="429"/>
      <c r="C15" s="165" t="s">
        <v>4</v>
      </c>
      <c r="D15" s="332">
        <v>191</v>
      </c>
      <c r="E15" s="328">
        <v>53783.250999999997</v>
      </c>
      <c r="F15" s="328">
        <v>575220.45257699979</v>
      </c>
      <c r="G15" s="329">
        <f>E15/$E$20</f>
        <v>0.47544358976931639</v>
      </c>
      <c r="H15" s="329">
        <f>(E15-I15)/I15</f>
        <v>-0.11861672618484678</v>
      </c>
      <c r="I15" s="332">
        <v>61021.410999999993</v>
      </c>
      <c r="J15" s="328">
        <v>652110.27255800006</v>
      </c>
      <c r="K15" s="329">
        <f>I15/$I$20</f>
        <v>0.43674414752398061</v>
      </c>
      <c r="L15" s="94"/>
      <c r="M15" s="94"/>
    </row>
    <row r="16" spans="1:16" ht="11.1" customHeight="1">
      <c r="A16" s="430"/>
      <c r="B16" s="430"/>
      <c r="C16" s="155" t="s">
        <v>5</v>
      </c>
      <c r="D16" s="333">
        <v>640</v>
      </c>
      <c r="E16" s="130">
        <v>8436.2019999999993</v>
      </c>
      <c r="F16" s="130">
        <v>90223.575150000077</v>
      </c>
      <c r="G16" s="327">
        <f>E16/$E$20</f>
        <v>7.4575970926322149E-2</v>
      </c>
      <c r="H16" s="327">
        <f>(E16-I16)/I16</f>
        <v>-0.35283158934726161</v>
      </c>
      <c r="I16" s="333">
        <v>13035.558999999999</v>
      </c>
      <c r="J16" s="130">
        <v>139308.89377999981</v>
      </c>
      <c r="K16" s="327">
        <f>I16/$I$20</f>
        <v>9.3298467040586031E-2</v>
      </c>
      <c r="L16" s="98"/>
      <c r="M16" s="94"/>
    </row>
    <row r="17" spans="1:20" ht="11.1" customHeight="1">
      <c r="A17" s="430"/>
      <c r="B17" s="430"/>
      <c r="C17" s="155" t="s">
        <v>6</v>
      </c>
      <c r="D17" s="333">
        <v>19421</v>
      </c>
      <c r="E17" s="130">
        <v>14602.107</v>
      </c>
      <c r="F17" s="130">
        <v>156166.35153999997</v>
      </c>
      <c r="G17" s="327">
        <f>E17/$E$20</f>
        <v>0.12908253110760567</v>
      </c>
      <c r="H17" s="327">
        <f t="shared" ref="H17:H20" si="1">(E17-I17)/I17</f>
        <v>-0.22432852744933668</v>
      </c>
      <c r="I17" s="333">
        <v>18825.118000000002</v>
      </c>
      <c r="J17" s="130">
        <v>201181.36706000002</v>
      </c>
      <c r="K17" s="327">
        <f>I17/$I$20</f>
        <v>0.13473566045446483</v>
      </c>
      <c r="L17" s="94"/>
      <c r="M17" s="94"/>
      <c r="N17" s="94"/>
      <c r="O17" s="94"/>
    </row>
    <row r="18" spans="1:20" ht="11.1" customHeight="1">
      <c r="A18" s="430"/>
      <c r="B18" s="430"/>
      <c r="C18" s="155" t="s">
        <v>7</v>
      </c>
      <c r="D18" s="333">
        <v>240572</v>
      </c>
      <c r="E18" s="130">
        <v>35177.699999999997</v>
      </c>
      <c r="F18" s="130">
        <v>376218.6</v>
      </c>
      <c r="G18" s="327">
        <f>E18/$E$20</f>
        <v>0.31097063968535632</v>
      </c>
      <c r="H18" s="327">
        <f t="shared" si="1"/>
        <v>-0.23340924196694168</v>
      </c>
      <c r="I18" s="333">
        <v>45888.5</v>
      </c>
      <c r="J18" s="130">
        <v>490403.9</v>
      </c>
      <c r="K18" s="327">
        <f>I18/$I$20</f>
        <v>0.32843445415665962</v>
      </c>
      <c r="L18" s="94"/>
      <c r="M18" s="94"/>
      <c r="N18" s="94"/>
      <c r="O18" s="94"/>
    </row>
    <row r="19" spans="1:20" ht="11.1" customHeight="1">
      <c r="A19" s="430"/>
      <c r="B19" s="430"/>
      <c r="C19" s="155" t="s">
        <v>93</v>
      </c>
      <c r="D19" s="333">
        <v>34</v>
      </c>
      <c r="E19" s="130">
        <v>1122.9949999999999</v>
      </c>
      <c r="F19" s="130">
        <v>12010.191930000001</v>
      </c>
      <c r="G19" s="327">
        <f>E19/$E$20</f>
        <v>9.9272685113994587E-3</v>
      </c>
      <c r="H19" s="327">
        <f t="shared" si="1"/>
        <v>0.18420664128818631</v>
      </c>
      <c r="I19" s="333">
        <v>948.31</v>
      </c>
      <c r="J19" s="130">
        <v>10134.449530000002</v>
      </c>
      <c r="K19" s="327">
        <f>I19/$I$20</f>
        <v>6.7872708243089637E-3</v>
      </c>
      <c r="L19" s="94"/>
      <c r="M19" s="94"/>
      <c r="N19" s="94"/>
      <c r="O19" s="94"/>
    </row>
    <row r="20" spans="1:20" ht="11.1" customHeight="1">
      <c r="A20" s="431"/>
      <c r="B20" s="431"/>
      <c r="C20" s="339" t="s">
        <v>0</v>
      </c>
      <c r="D20" s="342">
        <v>260858</v>
      </c>
      <c r="E20" s="340">
        <v>113122.25499999999</v>
      </c>
      <c r="F20" s="340">
        <v>1209839.1711969997</v>
      </c>
      <c r="G20" s="341">
        <f>SUM(G15:G19)</f>
        <v>1</v>
      </c>
      <c r="H20" s="341">
        <f t="shared" si="1"/>
        <v>-0.19035823629241622</v>
      </c>
      <c r="I20" s="342">
        <v>139718.89799999999</v>
      </c>
      <c r="J20" s="340">
        <v>1493138.8829280001</v>
      </c>
      <c r="K20" s="341">
        <f>SUM(K15:K19)</f>
        <v>1</v>
      </c>
      <c r="L20" s="94"/>
      <c r="M20" s="94"/>
      <c r="N20" s="94"/>
      <c r="O20" s="94"/>
    </row>
    <row r="21" spans="1:20" ht="11.1" customHeight="1">
      <c r="A21" s="429" t="str">
        <f>'3.1'!F5</f>
        <v>Březen</v>
      </c>
      <c r="B21" s="429"/>
      <c r="C21" s="165" t="s">
        <v>4</v>
      </c>
      <c r="D21" s="332">
        <v>189</v>
      </c>
      <c r="E21" s="328">
        <v>55298.878999999986</v>
      </c>
      <c r="F21" s="328">
        <v>593555.19368999987</v>
      </c>
      <c r="G21" s="329">
        <f>E21/$E$26</f>
        <v>0.48382576186953635</v>
      </c>
      <c r="H21" s="329">
        <f>(E21-I21)/I21</f>
        <v>-6.6196746404780266E-2</v>
      </c>
      <c r="I21" s="332">
        <v>59218.982999999978</v>
      </c>
      <c r="J21" s="328">
        <v>631980.11724599998</v>
      </c>
      <c r="K21" s="329">
        <f>I21/$I$26</f>
        <v>0.46381001833686603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0"/>
      <c r="B22" s="430"/>
      <c r="C22" s="155" t="s">
        <v>5</v>
      </c>
      <c r="D22" s="333">
        <v>631</v>
      </c>
      <c r="E22" s="130">
        <v>9439.6850000000013</v>
      </c>
      <c r="F22" s="130">
        <v>101304.94949999987</v>
      </c>
      <c r="G22" s="327">
        <f>E22/$E$26</f>
        <v>8.2590513036140137E-2</v>
      </c>
      <c r="H22" s="327">
        <f t="shared" ref="H22:H26" si="2">(E22-I22)/I22</f>
        <v>-0.21670887092698865</v>
      </c>
      <c r="I22" s="333">
        <v>12051.311</v>
      </c>
      <c r="J22" s="130">
        <v>128613.34442000004</v>
      </c>
      <c r="K22" s="327">
        <f>I22/$I$26</f>
        <v>9.4387280779429761E-2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0"/>
      <c r="B23" s="430"/>
      <c r="C23" s="155" t="s">
        <v>6</v>
      </c>
      <c r="D23" s="333">
        <v>19439</v>
      </c>
      <c r="E23" s="130">
        <v>14606.181999999999</v>
      </c>
      <c r="F23" s="130">
        <v>156751.36787000002</v>
      </c>
      <c r="G23" s="327">
        <f>E23/$E$26</f>
        <v>0.12779367795421512</v>
      </c>
      <c r="H23" s="327">
        <f t="shared" si="2"/>
        <v>-7.9988191040345616E-2</v>
      </c>
      <c r="I23" s="333">
        <v>15876.081</v>
      </c>
      <c r="J23" s="130">
        <v>169431.38248</v>
      </c>
      <c r="K23" s="327">
        <f>I23/$I$26</f>
        <v>0.12434332787727161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0"/>
      <c r="B24" s="430"/>
      <c r="C24" s="155" t="s">
        <v>7</v>
      </c>
      <c r="D24" s="333">
        <v>240350</v>
      </c>
      <c r="E24" s="130">
        <v>33782.800000000003</v>
      </c>
      <c r="F24" s="130">
        <v>362551.1</v>
      </c>
      <c r="G24" s="327">
        <f>E24/$E$26</f>
        <v>0.29557541208179244</v>
      </c>
      <c r="H24" s="327">
        <f t="shared" si="2"/>
        <v>-0.14659297020648818</v>
      </c>
      <c r="I24" s="333">
        <v>39585.800000000003</v>
      </c>
      <c r="J24" s="130">
        <v>422464.3</v>
      </c>
      <c r="K24" s="327">
        <f>I24/$I$26</f>
        <v>0.31004062707188873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0"/>
      <c r="B25" s="430"/>
      <c r="C25" s="155" t="s">
        <v>93</v>
      </c>
      <c r="D25" s="333">
        <v>34</v>
      </c>
      <c r="E25" s="130">
        <v>1167.482</v>
      </c>
      <c r="F25" s="130">
        <v>12529.217699999999</v>
      </c>
      <c r="G25" s="327">
        <f>E25/$E$26</f>
        <v>1.0214635058315923E-2</v>
      </c>
      <c r="H25" s="327">
        <f t="shared" si="2"/>
        <v>0.23253390708187421</v>
      </c>
      <c r="I25" s="333">
        <v>947.221</v>
      </c>
      <c r="J25" s="130">
        <v>10108.860799999999</v>
      </c>
      <c r="K25" s="327">
        <f>I25/$I$26</f>
        <v>7.4187459345437384E-3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1"/>
      <c r="B26" s="431"/>
      <c r="C26" s="339" t="s">
        <v>0</v>
      </c>
      <c r="D26" s="342">
        <v>260643</v>
      </c>
      <c r="E26" s="340">
        <v>114295.02799999999</v>
      </c>
      <c r="F26" s="340">
        <v>1226691.8287599995</v>
      </c>
      <c r="G26" s="341">
        <f>SUM(G21:G25)</f>
        <v>1</v>
      </c>
      <c r="H26" s="341">
        <f t="shared" si="2"/>
        <v>-0.10482793950560357</v>
      </c>
      <c r="I26" s="342">
        <v>127679.39599999999</v>
      </c>
      <c r="J26" s="340">
        <v>1362598.0049459999</v>
      </c>
      <c r="K26" s="341">
        <f>SUM(K21:K25)</f>
        <v>0.99999999999999989</v>
      </c>
    </row>
    <row r="27" spans="1:20" ht="11.1" customHeight="1">
      <c r="A27" s="500" t="str">
        <f>'3.1'!G5</f>
        <v>I. čtvrtletí</v>
      </c>
      <c r="B27" s="429"/>
      <c r="C27" s="165" t="s">
        <v>4</v>
      </c>
      <c r="D27" s="332">
        <f>D21</f>
        <v>189</v>
      </c>
      <c r="E27" s="328">
        <f>E9+E15+E21</f>
        <v>175588.53599999996</v>
      </c>
      <c r="F27" s="328">
        <f>F9+F15+F21</f>
        <v>1879215.969967</v>
      </c>
      <c r="G27" s="329">
        <f>E27/$E$32</f>
        <v>0.47100845806427905</v>
      </c>
      <c r="H27" s="329">
        <f>(E27-I27)/I27</f>
        <v>-7.2547601617891144E-2</v>
      </c>
      <c r="I27" s="332">
        <f>I9+I15+I21</f>
        <v>189323.50199999998</v>
      </c>
      <c r="J27" s="328">
        <f>J9+J15+J21</f>
        <v>2022178.0336660002</v>
      </c>
      <c r="K27" s="329">
        <f>I27/$I$32</f>
        <v>0.44769167082996214</v>
      </c>
    </row>
    <row r="28" spans="1:20" ht="11.1" customHeight="1">
      <c r="A28" s="430"/>
      <c r="B28" s="430"/>
      <c r="C28" s="155" t="s">
        <v>5</v>
      </c>
      <c r="D28" s="333">
        <f>D22</f>
        <v>631</v>
      </c>
      <c r="E28" s="130">
        <f t="shared" ref="E28:F31" si="3">E10+E16+E22</f>
        <v>30706.946</v>
      </c>
      <c r="F28" s="130">
        <f t="shared" si="3"/>
        <v>328591.13656999986</v>
      </c>
      <c r="G28" s="327">
        <f>E28/$E$32</f>
        <v>8.2370020371506966E-2</v>
      </c>
      <c r="H28" s="327">
        <f t="shared" ref="H28:H31" si="4">(E28-I28)/I28</f>
        <v>-0.22789116381776023</v>
      </c>
      <c r="I28" s="333">
        <f t="shared" ref="I28:J28" si="5">I10+I16+I22</f>
        <v>39770.230000000003</v>
      </c>
      <c r="J28" s="130">
        <f t="shared" si="5"/>
        <v>424809.08966999984</v>
      </c>
      <c r="K28" s="327">
        <f>I28/$I$32</f>
        <v>9.4044323762782975E-2</v>
      </c>
    </row>
    <row r="29" spans="1:20" ht="11.1" customHeight="1">
      <c r="A29" s="430"/>
      <c r="B29" s="430"/>
      <c r="C29" s="155" t="s">
        <v>6</v>
      </c>
      <c r="D29" s="333">
        <f>D23</f>
        <v>19439</v>
      </c>
      <c r="E29" s="130">
        <f t="shared" si="3"/>
        <v>48260.339</v>
      </c>
      <c r="F29" s="130">
        <f t="shared" si="3"/>
        <v>516433.20341000002</v>
      </c>
      <c r="G29" s="327">
        <f>E29/$E$32</f>
        <v>0.12945621836068724</v>
      </c>
      <c r="H29" s="327">
        <f t="shared" si="4"/>
        <v>-0.12371803354556669</v>
      </c>
      <c r="I29" s="333">
        <f t="shared" ref="I29:J29" si="6">I11+I17+I23</f>
        <v>55073.984000000004</v>
      </c>
      <c r="J29" s="130">
        <f t="shared" si="6"/>
        <v>588289.83617000002</v>
      </c>
      <c r="K29" s="327">
        <f>I29/$I$32</f>
        <v>0.13023298035244776</v>
      </c>
    </row>
    <row r="30" spans="1:20" ht="11.1" customHeight="1">
      <c r="A30" s="430"/>
      <c r="B30" s="430"/>
      <c r="C30" s="155" t="s">
        <v>7</v>
      </c>
      <c r="D30" s="333">
        <f>D24</f>
        <v>240350</v>
      </c>
      <c r="E30" s="130">
        <f t="shared" si="3"/>
        <v>114838.09999999999</v>
      </c>
      <c r="F30" s="130">
        <f t="shared" si="3"/>
        <v>1228838.8999999999</v>
      </c>
      <c r="G30" s="327">
        <f>E30/$E$32</f>
        <v>0.3080481086079076</v>
      </c>
      <c r="H30" s="327">
        <f t="shared" si="4"/>
        <v>-0.15456157063915446</v>
      </c>
      <c r="I30" s="333">
        <f t="shared" ref="I30:J30" si="7">I12+I18+I24</f>
        <v>135832.6</v>
      </c>
      <c r="J30" s="130">
        <f t="shared" si="7"/>
        <v>1450930</v>
      </c>
      <c r="K30" s="327">
        <f>I30/$I$32</f>
        <v>0.3212021909840751</v>
      </c>
    </row>
    <row r="31" spans="1:20" ht="11.1" customHeight="1">
      <c r="A31" s="430"/>
      <c r="B31" s="430"/>
      <c r="C31" s="155" t="s">
        <v>93</v>
      </c>
      <c r="D31" s="333">
        <f>D25</f>
        <v>34</v>
      </c>
      <c r="E31" s="130">
        <f>E13+E19+E25</f>
        <v>3398.8239999999996</v>
      </c>
      <c r="F31" s="130">
        <f t="shared" si="3"/>
        <v>36378.886879999998</v>
      </c>
      <c r="G31" s="327">
        <f>E31/$E$32</f>
        <v>9.1171945956190735E-3</v>
      </c>
      <c r="H31" s="327">
        <f t="shared" si="4"/>
        <v>0.17694617382653344</v>
      </c>
      <c r="I31" s="333">
        <f>I13+I19+I25</f>
        <v>2887.8330000000001</v>
      </c>
      <c r="J31" s="130">
        <f t="shared" ref="J31" si="8">J13+J19+J25</f>
        <v>30845.735860000001</v>
      </c>
      <c r="K31" s="327">
        <f>I31/$I$32</f>
        <v>6.8288340707320233E-3</v>
      </c>
    </row>
    <row r="32" spans="1:20" ht="11.1" customHeight="1">
      <c r="A32" s="431"/>
      <c r="B32" s="431"/>
      <c r="C32" s="339" t="s">
        <v>0</v>
      </c>
      <c r="D32" s="342">
        <f>SUM(D27:D31)</f>
        <v>260643</v>
      </c>
      <c r="E32" s="340">
        <f>SUM(E27:E31)</f>
        <v>372792.745</v>
      </c>
      <c r="F32" s="340">
        <f>SUM(F27:F31)</f>
        <v>3989458.0968269999</v>
      </c>
      <c r="G32" s="341">
        <f>SUM(G27:G31)</f>
        <v>0.99999999999999989</v>
      </c>
      <c r="H32" s="341">
        <f>(E32-I32)/I32</f>
        <v>-0.11846017467848215</v>
      </c>
      <c r="I32" s="342">
        <f>SUM(I27:I31)</f>
        <v>422888.14899999998</v>
      </c>
      <c r="J32" s="340">
        <f>SUM(J27:J31)</f>
        <v>4517052.6953659998</v>
      </c>
      <c r="K32" s="341">
        <f>SUM(K27:K31)</f>
        <v>1</v>
      </c>
    </row>
    <row r="33" spans="1:11" ht="9.9499999999999993" customHeight="1">
      <c r="A33" s="387"/>
      <c r="B33" s="388"/>
      <c r="C33" s="389"/>
      <c r="D33" s="390"/>
      <c r="E33" s="390"/>
      <c r="F33" s="390"/>
      <c r="G33" s="391"/>
      <c r="H33" s="392"/>
      <c r="I33" s="390"/>
      <c r="J33" s="390"/>
      <c r="K33" s="391"/>
    </row>
    <row r="34" spans="1:11" ht="12.95" customHeight="1">
      <c r="A34" s="525" t="s">
        <v>45</v>
      </c>
      <c r="B34" s="525"/>
      <c r="C34" s="525"/>
      <c r="D34" s="496">
        <f>D4</f>
        <v>2022</v>
      </c>
      <c r="E34" s="382"/>
      <c r="F34" s="371"/>
      <c r="G34" s="371"/>
      <c r="H34" s="371"/>
      <c r="I34" s="496">
        <f>D34-1</f>
        <v>2021</v>
      </c>
      <c r="J34" s="497"/>
      <c r="K34" s="497"/>
    </row>
    <row r="35" spans="1:11" ht="24.95" customHeight="1">
      <c r="A35" s="324"/>
      <c r="B35" s="292"/>
      <c r="C35" s="151"/>
      <c r="D35" s="490"/>
      <c r="E35" s="384"/>
      <c r="F35" s="385"/>
      <c r="G35" s="385"/>
      <c r="H35" s="386"/>
      <c r="I35" s="490"/>
      <c r="J35" s="491"/>
      <c r="K35" s="491"/>
    </row>
    <row r="36" spans="1:11" ht="24.95" customHeight="1">
      <c r="A36" s="131"/>
      <c r="B36" s="132"/>
      <c r="C36" s="381"/>
      <c r="D36" s="393" t="s">
        <v>160</v>
      </c>
      <c r="E36" s="486" t="s">
        <v>60</v>
      </c>
      <c r="F36" s="486"/>
      <c r="G36" s="487" t="s">
        <v>33</v>
      </c>
      <c r="H36" s="487" t="s">
        <v>276</v>
      </c>
      <c r="I36" s="485" t="s">
        <v>60</v>
      </c>
      <c r="J36" s="486"/>
      <c r="K36" s="487" t="s">
        <v>33</v>
      </c>
    </row>
    <row r="37" spans="1:11" ht="24.95" customHeight="1">
      <c r="A37" s="131"/>
      <c r="B37" s="326"/>
      <c r="C37" s="326"/>
      <c r="D37" s="394"/>
      <c r="E37" s="486"/>
      <c r="F37" s="486"/>
      <c r="G37" s="487"/>
      <c r="H37" s="487"/>
      <c r="I37" s="485"/>
      <c r="J37" s="486"/>
      <c r="K37" s="487"/>
    </row>
    <row r="38" spans="1:11" ht="15" customHeight="1">
      <c r="A38" s="526" t="s">
        <v>159</v>
      </c>
      <c r="B38" s="526"/>
      <c r="C38" s="395" t="s">
        <v>185</v>
      </c>
      <c r="D38" s="372"/>
      <c r="E38" s="222" t="s">
        <v>267</v>
      </c>
      <c r="F38" s="222" t="s">
        <v>268</v>
      </c>
      <c r="G38" s="474"/>
      <c r="H38" s="474"/>
      <c r="I38" s="224" t="s">
        <v>267</v>
      </c>
      <c r="J38" s="222" t="s">
        <v>268</v>
      </c>
      <c r="K38" s="474"/>
    </row>
    <row r="39" spans="1:11" ht="11.1" customHeight="1">
      <c r="A39" s="429" t="str">
        <f>'3.1'!D5</f>
        <v>Leden</v>
      </c>
      <c r="B39" s="429"/>
      <c r="C39" s="165" t="s">
        <v>4</v>
      </c>
      <c r="D39" s="332">
        <v>127</v>
      </c>
      <c r="E39" s="328">
        <v>91706.532000000007</v>
      </c>
      <c r="F39" s="328">
        <v>980752.98071000003</v>
      </c>
      <c r="G39" s="329">
        <f>E39/$E$44</f>
        <v>0.69205871868259272</v>
      </c>
      <c r="H39" s="329">
        <f>(E39-I39)/I39</f>
        <v>-0.23165810312729576</v>
      </c>
      <c r="I39" s="332">
        <v>119356.41200000001</v>
      </c>
      <c r="J39" s="328">
        <v>1274186.6184100001</v>
      </c>
      <c r="K39" s="329">
        <f>I39/$I$44</f>
        <v>0.7283134431152406</v>
      </c>
    </row>
    <row r="40" spans="1:11" ht="11.1" customHeight="1">
      <c r="A40" s="430"/>
      <c r="B40" s="430"/>
      <c r="C40" s="155" t="s">
        <v>5</v>
      </c>
      <c r="D40" s="333">
        <v>321</v>
      </c>
      <c r="E40" s="130">
        <v>5651.49</v>
      </c>
      <c r="F40" s="130">
        <v>60369.426840000029</v>
      </c>
      <c r="G40" s="327">
        <f t="shared" ref="G40" si="9">E40/$E$44</f>
        <v>4.264868426217977E-2</v>
      </c>
      <c r="H40" s="327">
        <f>(E40-I40)/I40</f>
        <v>-9.7304991817190628E-2</v>
      </c>
      <c r="I40" s="333">
        <v>6260.6859999999997</v>
      </c>
      <c r="J40" s="130">
        <v>66893.781919999994</v>
      </c>
      <c r="K40" s="327">
        <f t="shared" ref="K40:K43" si="10">I40/$I$44</f>
        <v>3.8202738340721756E-2</v>
      </c>
    </row>
    <row r="41" spans="1:11" ht="11.1" customHeight="1">
      <c r="A41" s="430"/>
      <c r="B41" s="430"/>
      <c r="C41" s="155" t="s">
        <v>6</v>
      </c>
      <c r="D41" s="333">
        <v>13071</v>
      </c>
      <c r="E41" s="130">
        <v>11143.853000000001</v>
      </c>
      <c r="F41" s="130">
        <v>119031.78827</v>
      </c>
      <c r="G41" s="327">
        <f>E41/$E$44</f>
        <v>8.4096524644146048E-2</v>
      </c>
      <c r="H41" s="327">
        <f t="shared" ref="H41:H43" si="11">(E41-I41)/I41</f>
        <v>-7.0192467024521532E-2</v>
      </c>
      <c r="I41" s="333">
        <v>11985.118</v>
      </c>
      <c r="J41" s="130">
        <v>128036.06673999999</v>
      </c>
      <c r="K41" s="327">
        <f t="shared" si="10"/>
        <v>7.3133252000926824E-2</v>
      </c>
    </row>
    <row r="42" spans="1:11" ht="11.1" customHeight="1">
      <c r="A42" s="430"/>
      <c r="B42" s="430"/>
      <c r="C42" s="155" t="s">
        <v>7</v>
      </c>
      <c r="D42" s="333">
        <v>208686</v>
      </c>
      <c r="E42" s="130">
        <v>23575.5</v>
      </c>
      <c r="F42" s="130">
        <v>251836.1</v>
      </c>
      <c r="G42" s="327">
        <f>E42/$E$44</f>
        <v>0.1779113217616981</v>
      </c>
      <c r="H42" s="327">
        <f t="shared" si="11"/>
        <v>-8.8975191282170185E-2</v>
      </c>
      <c r="I42" s="333">
        <v>25878</v>
      </c>
      <c r="J42" s="130">
        <v>276498.5</v>
      </c>
      <c r="K42" s="327">
        <f t="shared" si="10"/>
        <v>0.15790768979329065</v>
      </c>
    </row>
    <row r="43" spans="1:11" ht="11.1" customHeight="1">
      <c r="A43" s="430"/>
      <c r="B43" s="430"/>
      <c r="C43" s="155" t="s">
        <v>93</v>
      </c>
      <c r="D43" s="333">
        <v>19</v>
      </c>
      <c r="E43" s="130">
        <v>435.27100000000002</v>
      </c>
      <c r="F43" s="130">
        <v>4649.608470000001</v>
      </c>
      <c r="G43" s="327">
        <f>E43/$E$44</f>
        <v>3.2847506493833049E-3</v>
      </c>
      <c r="H43" s="327">
        <f t="shared" si="11"/>
        <v>8.7253334665534407E-2</v>
      </c>
      <c r="I43" s="333">
        <v>400.34</v>
      </c>
      <c r="J43" s="130">
        <v>4277.5070999999998</v>
      </c>
      <c r="K43" s="327">
        <f t="shared" si="10"/>
        <v>2.4428767498201553E-3</v>
      </c>
    </row>
    <row r="44" spans="1:11" ht="11.1" customHeight="1">
      <c r="A44" s="431"/>
      <c r="B44" s="431"/>
      <c r="C44" s="339" t="s">
        <v>0</v>
      </c>
      <c r="D44" s="342">
        <v>222224</v>
      </c>
      <c r="E44" s="340">
        <v>132512.64600000001</v>
      </c>
      <c r="F44" s="340">
        <v>1416639.9042900002</v>
      </c>
      <c r="G44" s="341">
        <f>SUM(G39:G43)</f>
        <v>0.99999999999999989</v>
      </c>
      <c r="H44" s="341">
        <f>(E44-I44)/I44</f>
        <v>-0.19140714899698047</v>
      </c>
      <c r="I44" s="342">
        <v>163880.55600000001</v>
      </c>
      <c r="J44" s="340">
        <v>1749892.4741700001</v>
      </c>
      <c r="K44" s="341">
        <f>SUM(K39:K43)</f>
        <v>0.99999999999999989</v>
      </c>
    </row>
    <row r="45" spans="1:11" ht="11.1" customHeight="1">
      <c r="A45" s="429" t="str">
        <f>'3.1'!E5</f>
        <v>Únor</v>
      </c>
      <c r="B45" s="429"/>
      <c r="C45" s="165" t="s">
        <v>4</v>
      </c>
      <c r="D45" s="332">
        <v>127</v>
      </c>
      <c r="E45" s="328">
        <v>57824.273999999998</v>
      </c>
      <c r="F45" s="328">
        <v>618583.59719999996</v>
      </c>
      <c r="G45" s="329">
        <f>E45/$E$50</f>
        <v>0.64619620280621526</v>
      </c>
      <c r="H45" s="329">
        <f>(E45-I45)/I45</f>
        <v>-0.45222433436771481</v>
      </c>
      <c r="I45" s="332">
        <v>105561.962</v>
      </c>
      <c r="J45" s="328">
        <v>1127051.8093000001</v>
      </c>
      <c r="K45" s="329">
        <f>I45/$I$50</f>
        <v>0.72027402273575436</v>
      </c>
    </row>
    <row r="46" spans="1:11" ht="11.1" customHeight="1">
      <c r="A46" s="430"/>
      <c r="B46" s="430"/>
      <c r="C46" s="155" t="s">
        <v>5</v>
      </c>
      <c r="D46" s="333">
        <v>321</v>
      </c>
      <c r="E46" s="130">
        <v>4611.0990000000002</v>
      </c>
      <c r="F46" s="130">
        <v>49314.981680000041</v>
      </c>
      <c r="G46" s="327">
        <f t="shared" ref="G46:G49" si="12">E46/$E$50</f>
        <v>5.1529824041777625E-2</v>
      </c>
      <c r="H46" s="327">
        <f>(E46-I46)/I46</f>
        <v>-0.22506249700644587</v>
      </c>
      <c r="I46" s="333">
        <v>5950.2849999999999</v>
      </c>
      <c r="J46" s="130">
        <v>63589.646559999972</v>
      </c>
      <c r="K46" s="327">
        <f t="shared" ref="K46:K49" si="13">I46/$I$50</f>
        <v>4.0600189994329759E-2</v>
      </c>
    </row>
    <row r="47" spans="1:11" ht="11.1" customHeight="1">
      <c r="A47" s="430"/>
      <c r="B47" s="430"/>
      <c r="C47" s="155" t="s">
        <v>6</v>
      </c>
      <c r="D47" s="333">
        <v>13066</v>
      </c>
      <c r="E47" s="130">
        <v>8544.9479999999985</v>
      </c>
      <c r="F47" s="130">
        <v>91385.232969999997</v>
      </c>
      <c r="G47" s="327">
        <f t="shared" si="12"/>
        <v>9.5491262904166568E-2</v>
      </c>
      <c r="H47" s="327">
        <f t="shared" ref="H47:H49" si="14">(E47-I47)/I47</f>
        <v>-0.22901247762250382</v>
      </c>
      <c r="I47" s="333">
        <v>11083.121000000001</v>
      </c>
      <c r="J47" s="130">
        <v>118422.27614999999</v>
      </c>
      <c r="K47" s="327">
        <f t="shared" si="13"/>
        <v>7.5622733756474866E-2</v>
      </c>
    </row>
    <row r="48" spans="1:11" ht="11.1" customHeight="1">
      <c r="A48" s="430"/>
      <c r="B48" s="430"/>
      <c r="C48" s="155" t="s">
        <v>7</v>
      </c>
      <c r="D48" s="333">
        <v>208548</v>
      </c>
      <c r="E48" s="130">
        <v>18077.099999999999</v>
      </c>
      <c r="F48" s="130">
        <v>193330.7</v>
      </c>
      <c r="G48" s="327">
        <f t="shared" si="12"/>
        <v>0.20201470022344309</v>
      </c>
      <c r="H48" s="327">
        <f t="shared" si="14"/>
        <v>-0.23340726259589248</v>
      </c>
      <c r="I48" s="333">
        <v>23581.1</v>
      </c>
      <c r="J48" s="130">
        <v>252008.2</v>
      </c>
      <c r="K48" s="327">
        <f t="shared" si="13"/>
        <v>0.16089937545433361</v>
      </c>
    </row>
    <row r="49" spans="1:11" ht="11.1" customHeight="1">
      <c r="A49" s="430"/>
      <c r="B49" s="430"/>
      <c r="C49" s="155" t="s">
        <v>93</v>
      </c>
      <c r="D49" s="333">
        <v>19</v>
      </c>
      <c r="E49" s="130">
        <v>426.661</v>
      </c>
      <c r="F49" s="130">
        <v>4563.0515699999996</v>
      </c>
      <c r="G49" s="327">
        <f t="shared" si="12"/>
        <v>4.7680100243974125E-3</v>
      </c>
      <c r="H49" s="327">
        <f t="shared" si="14"/>
        <v>0.11811368222437703</v>
      </c>
      <c r="I49" s="333">
        <v>381.59</v>
      </c>
      <c r="J49" s="130">
        <v>4078.0088500000011</v>
      </c>
      <c r="K49" s="327">
        <f t="shared" si="13"/>
        <v>2.6036780591074697E-3</v>
      </c>
    </row>
    <row r="50" spans="1:11" ht="11.1" customHeight="1">
      <c r="A50" s="431"/>
      <c r="B50" s="431"/>
      <c r="C50" s="339" t="s">
        <v>0</v>
      </c>
      <c r="D50" s="342">
        <v>222081</v>
      </c>
      <c r="E50" s="340">
        <v>89484.081999999995</v>
      </c>
      <c r="F50" s="340">
        <v>957177.56342000014</v>
      </c>
      <c r="G50" s="341">
        <f>SUM(G45:G49)</f>
        <v>1</v>
      </c>
      <c r="H50" s="341">
        <f t="shared" ref="H50" si="15">(E50-I50)/I50</f>
        <v>-0.38942912303054672</v>
      </c>
      <c r="I50" s="342">
        <v>146558.05799999999</v>
      </c>
      <c r="J50" s="340">
        <v>1565149.9408600002</v>
      </c>
      <c r="K50" s="341">
        <f>SUM(K45:K49)</f>
        <v>1.0000000000000002</v>
      </c>
    </row>
    <row r="51" spans="1:11" ht="11.1" customHeight="1">
      <c r="A51" s="429" t="str">
        <f>'3.1'!F5</f>
        <v>Březen</v>
      </c>
      <c r="B51" s="429"/>
      <c r="C51" s="165" t="s">
        <v>4</v>
      </c>
      <c r="D51" s="332">
        <v>127</v>
      </c>
      <c r="E51" s="328">
        <v>91042.213000000003</v>
      </c>
      <c r="F51" s="328">
        <v>980560.55429999996</v>
      </c>
      <c r="G51" s="329">
        <f>E51/$E$56</f>
        <v>0.74626991941620169</v>
      </c>
      <c r="H51" s="329">
        <f>(E51-I51)/I51</f>
        <v>-0.26563251621449474</v>
      </c>
      <c r="I51" s="332">
        <v>123973.644</v>
      </c>
      <c r="J51" s="328">
        <v>1322077.06702</v>
      </c>
      <c r="K51" s="329">
        <f>I51/$I$56</f>
        <v>0.77933753227826963</v>
      </c>
    </row>
    <row r="52" spans="1:11" ht="11.1" customHeight="1">
      <c r="A52" s="430"/>
      <c r="B52" s="430"/>
      <c r="C52" s="155" t="s">
        <v>5</v>
      </c>
      <c r="D52" s="333">
        <v>315</v>
      </c>
      <c r="E52" s="130">
        <v>4568.4889999999996</v>
      </c>
      <c r="F52" s="130">
        <v>49027.899679999995</v>
      </c>
      <c r="G52" s="327">
        <f t="shared" ref="G52:G55" si="16">E52/$E$56</f>
        <v>3.7447748747976975E-2</v>
      </c>
      <c r="H52" s="327">
        <f t="shared" ref="H52:H55" si="17">(E52-I52)/I52</f>
        <v>-8.3879794953817047E-2</v>
      </c>
      <c r="I52" s="333">
        <v>4986.7790000000005</v>
      </c>
      <c r="J52" s="130">
        <v>53219.971990000027</v>
      </c>
      <c r="K52" s="327">
        <f t="shared" ref="K52:K55" si="18">I52/$I$56</f>
        <v>3.1348469839904823E-2</v>
      </c>
    </row>
    <row r="53" spans="1:11" ht="11.1" customHeight="1">
      <c r="A53" s="430"/>
      <c r="B53" s="430"/>
      <c r="C53" s="155" t="s">
        <v>6</v>
      </c>
      <c r="D53" s="333">
        <v>13079</v>
      </c>
      <c r="E53" s="130">
        <v>8548.3090000000011</v>
      </c>
      <c r="F53" s="130">
        <v>91735.905089999986</v>
      </c>
      <c r="G53" s="327">
        <f t="shared" si="16"/>
        <v>7.0070197750737806E-2</v>
      </c>
      <c r="H53" s="327">
        <f t="shared" si="17"/>
        <v>-8.7635582292231562E-2</v>
      </c>
      <c r="I53" s="333">
        <v>9369.402</v>
      </c>
      <c r="J53" s="130">
        <v>99971.750499999995</v>
      </c>
      <c r="K53" s="327">
        <f t="shared" si="18"/>
        <v>5.8899024002255544E-2</v>
      </c>
    </row>
    <row r="54" spans="1:11" ht="11.1" customHeight="1">
      <c r="A54" s="430"/>
      <c r="B54" s="430"/>
      <c r="C54" s="155" t="s">
        <v>7</v>
      </c>
      <c r="D54" s="333">
        <v>208356</v>
      </c>
      <c r="E54" s="130">
        <v>17360.3</v>
      </c>
      <c r="F54" s="130">
        <v>186307.3</v>
      </c>
      <c r="G54" s="327">
        <f t="shared" si="16"/>
        <v>0.14230178787548897</v>
      </c>
      <c r="H54" s="327">
        <f t="shared" si="17"/>
        <v>-0.1465910934358455</v>
      </c>
      <c r="I54" s="333">
        <v>20342.3</v>
      </c>
      <c r="J54" s="130">
        <v>217095.4</v>
      </c>
      <c r="K54" s="327">
        <f t="shared" si="18"/>
        <v>0.12787813095874026</v>
      </c>
    </row>
    <row r="55" spans="1:11" ht="11.1" customHeight="1">
      <c r="A55" s="430"/>
      <c r="B55" s="430"/>
      <c r="C55" s="155" t="s">
        <v>93</v>
      </c>
      <c r="D55" s="333">
        <v>19</v>
      </c>
      <c r="E55" s="130">
        <v>477.048</v>
      </c>
      <c r="F55" s="130">
        <v>5119.5898599999991</v>
      </c>
      <c r="G55" s="327">
        <f t="shared" si="16"/>
        <v>3.9103462095946648E-3</v>
      </c>
      <c r="H55" s="327">
        <f t="shared" si="17"/>
        <v>0.18212860859868663</v>
      </c>
      <c r="I55" s="333">
        <v>403.55</v>
      </c>
      <c r="J55" s="130">
        <v>4306.7375099999999</v>
      </c>
      <c r="K55" s="327">
        <f t="shared" si="18"/>
        <v>2.5368429208299766E-3</v>
      </c>
    </row>
    <row r="56" spans="1:11" ht="11.1" customHeight="1">
      <c r="A56" s="431"/>
      <c r="B56" s="431"/>
      <c r="C56" s="339" t="s">
        <v>0</v>
      </c>
      <c r="D56" s="342">
        <v>221896</v>
      </c>
      <c r="E56" s="340">
        <v>121996.359</v>
      </c>
      <c r="F56" s="340">
        <v>1312751.24893</v>
      </c>
      <c r="G56" s="341">
        <f>SUM(G51:G55)</f>
        <v>1.0000000000000002</v>
      </c>
      <c r="H56" s="341">
        <f t="shared" ref="H56" si="19">(E56-I56)/I56</f>
        <v>-0.23309230653901028</v>
      </c>
      <c r="I56" s="342">
        <v>159075.67499999996</v>
      </c>
      <c r="J56" s="340">
        <v>1696670.9270199998</v>
      </c>
      <c r="K56" s="341">
        <f>SUM(K51:K55)</f>
        <v>1.0000000000000002</v>
      </c>
    </row>
    <row r="57" spans="1:11" ht="11.1" customHeight="1">
      <c r="A57" s="500" t="str">
        <f>'3.1'!G5</f>
        <v>I. čtvrtletí</v>
      </c>
      <c r="B57" s="429"/>
      <c r="C57" s="165" t="s">
        <v>4</v>
      </c>
      <c r="D57" s="332">
        <f>D51</f>
        <v>127</v>
      </c>
      <c r="E57" s="328">
        <f>E39+E45+E51</f>
        <v>240573.01900000003</v>
      </c>
      <c r="F57" s="328">
        <f>F39+F45+F51</f>
        <v>2579897.13221</v>
      </c>
      <c r="G57" s="329">
        <f>E57/$E$62</f>
        <v>0.6993542256853551</v>
      </c>
      <c r="H57" s="329">
        <f>(E57-I57)/I57</f>
        <v>-0.31046568396987517</v>
      </c>
      <c r="I57" s="332">
        <f>I39+I45+I51</f>
        <v>348892.01800000004</v>
      </c>
      <c r="J57" s="328">
        <f>J39+J45+J51</f>
        <v>3723315.4947300004</v>
      </c>
      <c r="K57" s="329">
        <f>I57/$I$62</f>
        <v>0.74309137373239786</v>
      </c>
    </row>
    <row r="58" spans="1:11" ht="11.1" customHeight="1">
      <c r="A58" s="430"/>
      <c r="B58" s="430"/>
      <c r="C58" s="155" t="s">
        <v>5</v>
      </c>
      <c r="D58" s="333">
        <f>D52</f>
        <v>315</v>
      </c>
      <c r="E58" s="130">
        <f t="shared" ref="E58:F59" si="20">E40+E46+E52</f>
        <v>14831.078</v>
      </c>
      <c r="F58" s="130">
        <f t="shared" si="20"/>
        <v>158712.30820000006</v>
      </c>
      <c r="G58" s="327">
        <f t="shared" ref="G58:G61" si="21">E58/$E$62</f>
        <v>4.3114465262495225E-2</v>
      </c>
      <c r="H58" s="327">
        <f t="shared" ref="H58:H61" si="22">(E58-I58)/I58</f>
        <v>-0.13761521129217488</v>
      </c>
      <c r="I58" s="333">
        <f t="shared" ref="I58:J58" si="23">I40+I46+I52</f>
        <v>17197.75</v>
      </c>
      <c r="J58" s="130">
        <f t="shared" si="23"/>
        <v>183703.40046999999</v>
      </c>
      <c r="K58" s="327">
        <f t="shared" ref="K58:K61" si="24">I58/$I$62</f>
        <v>3.6628810672895196E-2</v>
      </c>
    </row>
    <row r="59" spans="1:11" ht="11.1" customHeight="1">
      <c r="A59" s="430"/>
      <c r="B59" s="430"/>
      <c r="C59" s="155" t="s">
        <v>6</v>
      </c>
      <c r="D59" s="333">
        <f>D53</f>
        <v>13079</v>
      </c>
      <c r="E59" s="130">
        <f>E41+E47+E53</f>
        <v>28237.11</v>
      </c>
      <c r="F59" s="130">
        <f t="shared" si="20"/>
        <v>302152.92632999999</v>
      </c>
      <c r="G59" s="327">
        <f t="shared" si="21"/>
        <v>8.2086271693012233E-2</v>
      </c>
      <c r="H59" s="327">
        <f t="shared" si="22"/>
        <v>-0.12949557583426002</v>
      </c>
      <c r="I59" s="333">
        <f>I41+I47+I53</f>
        <v>32437.641000000003</v>
      </c>
      <c r="J59" s="130">
        <f t="shared" ref="J59" si="25">J41+J47+J53</f>
        <v>346430.09338999994</v>
      </c>
      <c r="K59" s="327">
        <f t="shared" si="24"/>
        <v>6.9087654539945226E-2</v>
      </c>
    </row>
    <row r="60" spans="1:11" ht="11.1" customHeight="1">
      <c r="A60" s="430"/>
      <c r="B60" s="430"/>
      <c r="C60" s="155" t="s">
        <v>7</v>
      </c>
      <c r="D60" s="333">
        <f>D54</f>
        <v>208356</v>
      </c>
      <c r="E60" s="130">
        <f t="shared" ref="E60:F61" si="26">E42+E48+E54</f>
        <v>59012.899999999994</v>
      </c>
      <c r="F60" s="130">
        <f t="shared" si="26"/>
        <v>631474.10000000009</v>
      </c>
      <c r="G60" s="327">
        <f t="shared" si="21"/>
        <v>0.17155257541556346</v>
      </c>
      <c r="H60" s="327">
        <f t="shared" si="22"/>
        <v>-0.15455993719323682</v>
      </c>
      <c r="I60" s="333">
        <f t="shared" ref="I60:J60" si="27">I42+I48+I54</f>
        <v>69801.399999999994</v>
      </c>
      <c r="J60" s="130">
        <f t="shared" si="27"/>
        <v>745602.1</v>
      </c>
      <c r="K60" s="327">
        <f t="shared" si="24"/>
        <v>0.14866725387350244</v>
      </c>
    </row>
    <row r="61" spans="1:11" ht="11.1" customHeight="1">
      <c r="A61" s="430"/>
      <c r="B61" s="430"/>
      <c r="C61" s="155" t="s">
        <v>93</v>
      </c>
      <c r="D61" s="333">
        <f>D55</f>
        <v>19</v>
      </c>
      <c r="E61" s="130">
        <f>E43+E49+E55</f>
        <v>1338.98</v>
      </c>
      <c r="F61" s="130">
        <f t="shared" si="26"/>
        <v>14332.249899999999</v>
      </c>
      <c r="G61" s="327">
        <f t="shared" si="21"/>
        <v>3.8924619435738829E-3</v>
      </c>
      <c r="H61" s="327">
        <f t="shared" si="22"/>
        <v>0.12948341600026994</v>
      </c>
      <c r="I61" s="333">
        <f>I43+I49+I55</f>
        <v>1185.48</v>
      </c>
      <c r="J61" s="130">
        <f t="shared" ref="J61" si="28">J43+J49+J55</f>
        <v>12662.25346</v>
      </c>
      <c r="K61" s="327">
        <f t="shared" si="24"/>
        <v>2.5249071812593971E-3</v>
      </c>
    </row>
    <row r="62" spans="1:11" ht="11.1" customHeight="1">
      <c r="A62" s="431"/>
      <c r="B62" s="431"/>
      <c r="C62" s="339" t="s">
        <v>0</v>
      </c>
      <c r="D62" s="342">
        <f>SUM(D57:D61)</f>
        <v>221896</v>
      </c>
      <c r="E62" s="340">
        <f>SUM(E57:E61)</f>
        <v>343993.08700000006</v>
      </c>
      <c r="F62" s="340">
        <f>SUM(F57:F61)</f>
        <v>3686568.7166400002</v>
      </c>
      <c r="G62" s="341">
        <f>SUM(G57:G61)</f>
        <v>0.99999999999999978</v>
      </c>
      <c r="H62" s="341">
        <f>(E62-I62)/I62</f>
        <v>-0.26734266654022948</v>
      </c>
      <c r="I62" s="342">
        <f>SUM(I57:I61)</f>
        <v>469514.28899999999</v>
      </c>
      <c r="J62" s="340">
        <f>SUM(J57:J61)</f>
        <v>5011713.3420500001</v>
      </c>
      <c r="K62" s="341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4" t="s">
        <v>316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4"/>
      <c r="B3" s="524"/>
      <c r="C3" s="524"/>
      <c r="D3" s="320"/>
      <c r="E3" s="320"/>
      <c r="F3" s="321"/>
      <c r="G3" s="322"/>
      <c r="H3" s="322"/>
      <c r="I3" s="322"/>
      <c r="J3" s="76"/>
      <c r="K3" s="76"/>
    </row>
    <row r="4" spans="1:16" ht="12.95" customHeight="1">
      <c r="A4" s="494" t="s">
        <v>46</v>
      </c>
      <c r="B4" s="494"/>
      <c r="C4" s="494"/>
      <c r="D4" s="496">
        <f>'3.1'!A4</f>
        <v>2022</v>
      </c>
      <c r="E4" s="382"/>
      <c r="F4" s="371"/>
      <c r="G4" s="371"/>
      <c r="H4" s="371"/>
      <c r="I4" s="496">
        <f>D4-1</f>
        <v>2021</v>
      </c>
      <c r="J4" s="497"/>
      <c r="K4" s="497"/>
    </row>
    <row r="5" spans="1:16" ht="24.95" customHeight="1">
      <c r="A5" s="383"/>
      <c r="B5" s="383"/>
      <c r="C5" s="383"/>
      <c r="D5" s="490"/>
      <c r="E5" s="384"/>
      <c r="F5" s="385"/>
      <c r="G5" s="385"/>
      <c r="H5" s="386"/>
      <c r="I5" s="490"/>
      <c r="J5" s="491"/>
      <c r="K5" s="491"/>
    </row>
    <row r="6" spans="1:16" ht="24.95" customHeight="1">
      <c r="A6" s="324"/>
      <c r="B6" s="292"/>
      <c r="C6" s="325"/>
      <c r="D6" s="393" t="s">
        <v>160</v>
      </c>
      <c r="E6" s="486" t="s">
        <v>60</v>
      </c>
      <c r="F6" s="486"/>
      <c r="G6" s="487" t="s">
        <v>33</v>
      </c>
      <c r="H6" s="487" t="s">
        <v>276</v>
      </c>
      <c r="I6" s="485" t="s">
        <v>60</v>
      </c>
      <c r="J6" s="486"/>
      <c r="K6" s="487" t="s">
        <v>33</v>
      </c>
    </row>
    <row r="7" spans="1:16" ht="24.95" customHeight="1">
      <c r="A7" s="324"/>
      <c r="B7" s="326"/>
      <c r="D7" s="394"/>
      <c r="E7" s="486"/>
      <c r="F7" s="486"/>
      <c r="G7" s="487"/>
      <c r="H7" s="487"/>
      <c r="I7" s="485"/>
      <c r="J7" s="486"/>
      <c r="K7" s="487"/>
    </row>
    <row r="8" spans="1:16" ht="15" customHeight="1">
      <c r="A8" s="495" t="s">
        <v>159</v>
      </c>
      <c r="B8" s="495"/>
      <c r="C8" s="344" t="s">
        <v>185</v>
      </c>
      <c r="D8" s="372"/>
      <c r="E8" s="222" t="s">
        <v>267</v>
      </c>
      <c r="F8" s="222" t="s">
        <v>268</v>
      </c>
      <c r="G8" s="474"/>
      <c r="H8" s="474"/>
      <c r="I8" s="224" t="s">
        <v>267</v>
      </c>
      <c r="J8" s="222" t="s">
        <v>268</v>
      </c>
      <c r="K8" s="474"/>
    </row>
    <row r="9" spans="1:16" ht="11.1" customHeight="1">
      <c r="A9" s="429" t="str">
        <f>'3.1'!D5</f>
        <v>Leden</v>
      </c>
      <c r="B9" s="429"/>
      <c r="C9" s="165" t="s">
        <v>4</v>
      </c>
      <c r="D9" s="332">
        <v>96</v>
      </c>
      <c r="E9" s="328">
        <v>13105.331459999999</v>
      </c>
      <c r="F9" s="328">
        <v>139983.01432000005</v>
      </c>
      <c r="G9" s="329">
        <f>E9/$E$14</f>
        <v>0.27986425943959214</v>
      </c>
      <c r="H9" s="329">
        <f>(E9-I9)/I9</f>
        <v>-7.719788392553581E-2</v>
      </c>
      <c r="I9" s="332">
        <v>14201.670360000002</v>
      </c>
      <c r="J9" s="328">
        <v>151719.17999999993</v>
      </c>
      <c r="K9" s="329">
        <f>I9/$I$14</f>
        <v>0.27996758378776787</v>
      </c>
    </row>
    <row r="10" spans="1:16" ht="11.1" customHeight="1">
      <c r="A10" s="430"/>
      <c r="B10" s="430"/>
      <c r="C10" s="155" t="s">
        <v>5</v>
      </c>
      <c r="D10" s="333">
        <v>317</v>
      </c>
      <c r="E10" s="130">
        <v>5714.8058499999997</v>
      </c>
      <c r="F10" s="130">
        <v>61041.335780000023</v>
      </c>
      <c r="G10" s="327">
        <f>E10/$E$14</f>
        <v>0.12203963798495936</v>
      </c>
      <c r="H10" s="327">
        <f>(E10-I10)/I10</f>
        <v>-5.8087863721612412E-2</v>
      </c>
      <c r="I10" s="333">
        <v>6067.2387900000003</v>
      </c>
      <c r="J10" s="130">
        <v>64814.656539999996</v>
      </c>
      <c r="K10" s="327">
        <f>I10/$I$14</f>
        <v>0.11960777438434506</v>
      </c>
      <c r="L10" s="94"/>
      <c r="N10" s="94"/>
      <c r="O10" s="94"/>
      <c r="P10" s="94"/>
    </row>
    <row r="11" spans="1:16" ht="11.1" customHeight="1">
      <c r="A11" s="430"/>
      <c r="B11" s="430"/>
      <c r="C11" s="155" t="s">
        <v>6</v>
      </c>
      <c r="D11" s="333">
        <v>10894</v>
      </c>
      <c r="E11" s="130">
        <v>10397.160739999999</v>
      </c>
      <c r="F11" s="130">
        <v>111055.65643999999</v>
      </c>
      <c r="G11" s="327">
        <f>E11/$E$14</f>
        <v>0.22203129311576389</v>
      </c>
      <c r="H11" s="327">
        <f t="shared" ref="H11:H13" si="0">(E11-I11)/I11</f>
        <v>-6.8591715658370217E-2</v>
      </c>
      <c r="I11" s="333">
        <v>11162.839019999999</v>
      </c>
      <c r="J11" s="130">
        <v>119252.56719</v>
      </c>
      <c r="K11" s="327">
        <f>I11/$I$14</f>
        <v>0.22006094983331342</v>
      </c>
      <c r="L11" s="94"/>
      <c r="N11" s="94"/>
      <c r="O11" s="94"/>
      <c r="P11" s="94"/>
    </row>
    <row r="12" spans="1:16" ht="11.1" customHeight="1">
      <c r="A12" s="430"/>
      <c r="B12" s="430"/>
      <c r="C12" s="155" t="s">
        <v>7</v>
      </c>
      <c r="D12" s="333">
        <v>108905</v>
      </c>
      <c r="E12" s="130">
        <v>17407.72654</v>
      </c>
      <c r="F12" s="130">
        <v>185942.29396000001</v>
      </c>
      <c r="G12" s="327">
        <f>E12/$E$14</f>
        <v>0.37174187554994004</v>
      </c>
      <c r="H12" s="327">
        <f t="shared" si="0"/>
        <v>-8.9369676714759108E-2</v>
      </c>
      <c r="I12" s="333">
        <v>19116.128789999999</v>
      </c>
      <c r="J12" s="130">
        <v>204229.67629999999</v>
      </c>
      <c r="K12" s="327">
        <f>I12/$I$14</f>
        <v>0.37684978266965535</v>
      </c>
      <c r="L12" s="94"/>
      <c r="N12" s="94"/>
      <c r="O12" s="94"/>
      <c r="P12" s="94"/>
    </row>
    <row r="13" spans="1:16" ht="11.1" customHeight="1">
      <c r="A13" s="430"/>
      <c r="B13" s="430"/>
      <c r="C13" s="155" t="s">
        <v>93</v>
      </c>
      <c r="D13" s="333">
        <v>14</v>
      </c>
      <c r="E13" s="130">
        <v>202.43200000000002</v>
      </c>
      <c r="F13" s="130">
        <v>2162.1259600000003</v>
      </c>
      <c r="G13" s="327">
        <f>E13/$E$14</f>
        <v>4.3229339097445099E-3</v>
      </c>
      <c r="H13" s="327">
        <f t="shared" si="0"/>
        <v>0.13568250798049916</v>
      </c>
      <c r="I13" s="333">
        <v>178.24699999999999</v>
      </c>
      <c r="J13" s="130">
        <v>1903.9969700000001</v>
      </c>
      <c r="K13" s="327">
        <f>I13/$I$14</f>
        <v>3.5139093249181891E-3</v>
      </c>
      <c r="L13" s="94"/>
      <c r="N13" s="94"/>
      <c r="O13" s="94"/>
      <c r="P13" s="94"/>
    </row>
    <row r="14" spans="1:16" ht="11.1" customHeight="1">
      <c r="A14" s="431"/>
      <c r="B14" s="431"/>
      <c r="C14" s="339" t="s">
        <v>0</v>
      </c>
      <c r="D14" s="342">
        <v>120226</v>
      </c>
      <c r="E14" s="340">
        <v>46827.456590000002</v>
      </c>
      <c r="F14" s="340">
        <v>500184.4264600001</v>
      </c>
      <c r="G14" s="341">
        <f>SUM(G9:G13)</f>
        <v>0.99999999999999989</v>
      </c>
      <c r="H14" s="341">
        <f>(E14-I14)/I14</f>
        <v>-7.6857190450314916E-2</v>
      </c>
      <c r="I14" s="342">
        <v>50726.123960000004</v>
      </c>
      <c r="J14" s="340">
        <v>541920.07699999982</v>
      </c>
      <c r="K14" s="341">
        <f>SUM(K9:K13)</f>
        <v>0.99999999999999989</v>
      </c>
      <c r="L14" s="94"/>
    </row>
    <row r="15" spans="1:16" ht="11.1" customHeight="1">
      <c r="A15" s="429" t="str">
        <f>'3.1'!E5</f>
        <v>Únor</v>
      </c>
      <c r="B15" s="429"/>
      <c r="C15" s="165" t="s">
        <v>4</v>
      </c>
      <c r="D15" s="332">
        <v>96</v>
      </c>
      <c r="E15" s="328">
        <v>10994.159790000002</v>
      </c>
      <c r="F15" s="328">
        <v>117580.89902000004</v>
      </c>
      <c r="G15" s="329">
        <f>E15/$E$20</f>
        <v>0.2966490940339771</v>
      </c>
      <c r="H15" s="329">
        <f>(E15-I15)/I15</f>
        <v>-0.1715014315209506</v>
      </c>
      <c r="I15" s="332">
        <v>13269.980430000001</v>
      </c>
      <c r="J15" s="328">
        <v>141830.99861000007</v>
      </c>
      <c r="K15" s="329">
        <f>I15/$I$20</f>
        <v>0.2870716653070382</v>
      </c>
      <c r="L15" s="94"/>
      <c r="M15" s="94"/>
    </row>
    <row r="16" spans="1:16" ht="11.1" customHeight="1">
      <c r="A16" s="430"/>
      <c r="B16" s="430"/>
      <c r="C16" s="155" t="s">
        <v>5</v>
      </c>
      <c r="D16" s="333">
        <v>318</v>
      </c>
      <c r="E16" s="130">
        <v>4528.2291700000005</v>
      </c>
      <c r="F16" s="130">
        <v>48429.138209999997</v>
      </c>
      <c r="G16" s="327">
        <f>E16/$E$20</f>
        <v>0.12218260481174324</v>
      </c>
      <c r="H16" s="327">
        <f>(E16-I16)/I16</f>
        <v>-0.15022290553754034</v>
      </c>
      <c r="I16" s="333">
        <v>5328.7258499999998</v>
      </c>
      <c r="J16" s="130">
        <v>56956.546219999953</v>
      </c>
      <c r="K16" s="327">
        <f>I16/$I$20</f>
        <v>0.11527720118304367</v>
      </c>
      <c r="L16" s="98"/>
      <c r="M16" s="94"/>
    </row>
    <row r="17" spans="1:20" ht="11.1" customHeight="1">
      <c r="A17" s="430"/>
      <c r="B17" s="430"/>
      <c r="C17" s="155" t="s">
        <v>6</v>
      </c>
      <c r="D17" s="333">
        <v>10893</v>
      </c>
      <c r="E17" s="130">
        <v>7978.4048900000007</v>
      </c>
      <c r="F17" s="130">
        <v>85328.324040000007</v>
      </c>
      <c r="G17" s="327">
        <f>E17/$E$20</f>
        <v>0.2152767130606488</v>
      </c>
      <c r="H17" s="327">
        <f t="shared" ref="H17:H20" si="1">(E17-I17)/I17</f>
        <v>-0.21533199642447148</v>
      </c>
      <c r="I17" s="333">
        <v>10167.87336</v>
      </c>
      <c r="J17" s="130">
        <v>108675.99773999999</v>
      </c>
      <c r="K17" s="327">
        <f>I17/$I$20</f>
        <v>0.21996327375791536</v>
      </c>
      <c r="L17" s="94"/>
      <c r="M17" s="94"/>
      <c r="N17" s="94"/>
      <c r="O17" s="94"/>
    </row>
    <row r="18" spans="1:20" ht="11.1" customHeight="1">
      <c r="A18" s="430"/>
      <c r="B18" s="430"/>
      <c r="C18" s="155" t="s">
        <v>7</v>
      </c>
      <c r="D18" s="333">
        <v>108843</v>
      </c>
      <c r="E18" s="130">
        <v>13358.887999999999</v>
      </c>
      <c r="F18" s="130">
        <v>142870.95681999999</v>
      </c>
      <c r="G18" s="327">
        <f>E18/$E$20</f>
        <v>0.36045519604926241</v>
      </c>
      <c r="H18" s="327">
        <f t="shared" si="1"/>
        <v>-0.22689568064737434</v>
      </c>
      <c r="I18" s="333">
        <v>17279.541280000001</v>
      </c>
      <c r="J18" s="130">
        <v>184679.12159999998</v>
      </c>
      <c r="K18" s="327">
        <f>I18/$I$20</f>
        <v>0.37381115346462573</v>
      </c>
      <c r="L18" s="94"/>
      <c r="M18" s="94"/>
      <c r="N18" s="94"/>
      <c r="O18" s="94"/>
    </row>
    <row r="19" spans="1:20" ht="11.1" customHeight="1">
      <c r="A19" s="430"/>
      <c r="B19" s="430"/>
      <c r="C19" s="155" t="s">
        <v>93</v>
      </c>
      <c r="D19" s="333">
        <v>14</v>
      </c>
      <c r="E19" s="130">
        <v>201.47899999999998</v>
      </c>
      <c r="F19" s="130">
        <v>2154.9317799999999</v>
      </c>
      <c r="G19" s="327">
        <f>E19/$E$20</f>
        <v>5.4363920443684637E-3</v>
      </c>
      <c r="H19" s="327">
        <f t="shared" si="1"/>
        <v>0.12431222865816223</v>
      </c>
      <c r="I19" s="333">
        <v>179.202</v>
      </c>
      <c r="J19" s="130">
        <v>1915.4923000000001</v>
      </c>
      <c r="K19" s="327">
        <f>I19/$I$20</f>
        <v>3.8767062873770837E-3</v>
      </c>
      <c r="L19" s="94"/>
      <c r="M19" s="94"/>
      <c r="N19" s="94"/>
      <c r="O19" s="94"/>
    </row>
    <row r="20" spans="1:20" ht="11.1" customHeight="1">
      <c r="A20" s="431"/>
      <c r="B20" s="431"/>
      <c r="C20" s="339" t="s">
        <v>0</v>
      </c>
      <c r="D20" s="342">
        <v>120164</v>
      </c>
      <c r="E20" s="340">
        <v>37061.16085</v>
      </c>
      <c r="F20" s="340">
        <v>396364.24987000006</v>
      </c>
      <c r="G20" s="341">
        <f>SUM(G15:G19)</f>
        <v>0.99999999999999989</v>
      </c>
      <c r="H20" s="341">
        <f t="shared" si="1"/>
        <v>-0.1982498226320665</v>
      </c>
      <c r="I20" s="342">
        <v>46225.322919999999</v>
      </c>
      <c r="J20" s="340">
        <v>494058.15646999999</v>
      </c>
      <c r="K20" s="341">
        <f>SUM(K15:K19)</f>
        <v>1</v>
      </c>
      <c r="L20" s="94"/>
      <c r="M20" s="94"/>
      <c r="N20" s="94"/>
      <c r="O20" s="94"/>
    </row>
    <row r="21" spans="1:20" ht="11.1" customHeight="1">
      <c r="A21" s="429" t="str">
        <f>'3.1'!F5</f>
        <v>Březen</v>
      </c>
      <c r="B21" s="429"/>
      <c r="C21" s="165" t="s">
        <v>4</v>
      </c>
      <c r="D21" s="332">
        <v>96</v>
      </c>
      <c r="E21" s="328">
        <v>11565.17685</v>
      </c>
      <c r="F21" s="328">
        <v>124051.80140999999</v>
      </c>
      <c r="G21" s="329">
        <f>E21/$E$26</f>
        <v>0.31268051210627601</v>
      </c>
      <c r="H21" s="329">
        <f>(E21-I21)/I21</f>
        <v>-7.8843947509110821E-2</v>
      </c>
      <c r="I21" s="332">
        <v>12555.067969999998</v>
      </c>
      <c r="J21" s="328">
        <v>133974.99595000001</v>
      </c>
      <c r="K21" s="329">
        <f>I21/$I$26</f>
        <v>0.30251612872634298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0"/>
      <c r="B22" s="430"/>
      <c r="C22" s="155" t="s">
        <v>5</v>
      </c>
      <c r="D22" s="333">
        <v>314</v>
      </c>
      <c r="E22" s="130">
        <v>4412.3446199999998</v>
      </c>
      <c r="F22" s="130">
        <v>47322.219819999984</v>
      </c>
      <c r="G22" s="327">
        <f>E22/$E$26</f>
        <v>0.11929382431977006</v>
      </c>
      <c r="H22" s="327">
        <f t="shared" ref="H22:H26" si="2">(E22-I22)/I22</f>
        <v>-0.13163279155302468</v>
      </c>
      <c r="I22" s="333">
        <v>5081.1967300000006</v>
      </c>
      <c r="J22" s="130">
        <v>54220.820570000011</v>
      </c>
      <c r="K22" s="327">
        <f>I22/$I$26</f>
        <v>0.12243214992778359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0"/>
      <c r="B23" s="430"/>
      <c r="C23" s="155" t="s">
        <v>6</v>
      </c>
      <c r="D23" s="333">
        <v>10900</v>
      </c>
      <c r="E23" s="130">
        <v>7949.1560100000006</v>
      </c>
      <c r="F23" s="130">
        <v>85267.786470000006</v>
      </c>
      <c r="G23" s="327">
        <f>E23/$E$26</f>
        <v>0.21491639983174851</v>
      </c>
      <c r="H23" s="327">
        <f t="shared" si="2"/>
        <v>-8.4213949445475333E-2</v>
      </c>
      <c r="I23" s="333">
        <v>8680.1453299999994</v>
      </c>
      <c r="J23" s="130">
        <v>92625.800210000001</v>
      </c>
      <c r="K23" s="327">
        <f>I23/$I$26</f>
        <v>0.20914932267098235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0"/>
      <c r="B24" s="430"/>
      <c r="C24" s="155" t="s">
        <v>7</v>
      </c>
      <c r="D24" s="333">
        <v>108739</v>
      </c>
      <c r="E24" s="130">
        <v>12842.4902</v>
      </c>
      <c r="F24" s="130">
        <v>137777.82165</v>
      </c>
      <c r="G24" s="327">
        <f>E24/$E$26</f>
        <v>0.34721444077665192</v>
      </c>
      <c r="H24" s="327">
        <f t="shared" si="2"/>
        <v>-0.1435993945616201</v>
      </c>
      <c r="I24" s="333">
        <v>14995.891079999999</v>
      </c>
      <c r="J24" s="130">
        <v>160026.90818</v>
      </c>
      <c r="K24" s="327">
        <f>I24/$I$26</f>
        <v>0.36132810488667544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0"/>
      <c r="B25" s="430"/>
      <c r="C25" s="155" t="s">
        <v>93</v>
      </c>
      <c r="D25" s="333">
        <v>14</v>
      </c>
      <c r="E25" s="130">
        <v>218.03300000000002</v>
      </c>
      <c r="F25" s="130">
        <v>2337.0780600000003</v>
      </c>
      <c r="G25" s="327">
        <f>E25/$E$26</f>
        <v>5.8948229655534992E-3</v>
      </c>
      <c r="H25" s="327">
        <f t="shared" si="2"/>
        <v>0.14849112161101558</v>
      </c>
      <c r="I25" s="333">
        <v>189.84299999999999</v>
      </c>
      <c r="J25" s="130">
        <v>2025.6548400000001</v>
      </c>
      <c r="K25" s="327">
        <f>I25/$I$26</f>
        <v>4.5742937882155598E-3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1"/>
      <c r="B26" s="431"/>
      <c r="C26" s="339" t="s">
        <v>0</v>
      </c>
      <c r="D26" s="342">
        <v>120063</v>
      </c>
      <c r="E26" s="340">
        <v>36987.200680000002</v>
      </c>
      <c r="F26" s="340">
        <v>396756.70740999997</v>
      </c>
      <c r="G26" s="341">
        <f>SUM(G21:G25)</f>
        <v>1</v>
      </c>
      <c r="H26" s="341">
        <f t="shared" si="2"/>
        <v>-0.10878819701539509</v>
      </c>
      <c r="I26" s="342">
        <v>41502.144110000001</v>
      </c>
      <c r="J26" s="340">
        <v>442874.17975000001</v>
      </c>
      <c r="K26" s="341">
        <f>SUM(K21:K25)</f>
        <v>1</v>
      </c>
    </row>
    <row r="27" spans="1:20" ht="11.1" customHeight="1">
      <c r="A27" s="500" t="str">
        <f>'3.1'!G5</f>
        <v>I. čtvrtletí</v>
      </c>
      <c r="B27" s="429"/>
      <c r="C27" s="165" t="s">
        <v>4</v>
      </c>
      <c r="D27" s="332">
        <f>D21</f>
        <v>96</v>
      </c>
      <c r="E27" s="328">
        <f>E9+E15+E21</f>
        <v>35664.668099999995</v>
      </c>
      <c r="F27" s="328">
        <f>F9+F15+F21</f>
        <v>381615.71475000004</v>
      </c>
      <c r="G27" s="329">
        <f>E27/$E$32</f>
        <v>0.29505213412159692</v>
      </c>
      <c r="H27" s="329">
        <f>(E27-I27)/I27</f>
        <v>-0.10897847225886391</v>
      </c>
      <c r="I27" s="332">
        <f>I9+I15+I21</f>
        <v>40026.718760000003</v>
      </c>
      <c r="J27" s="328">
        <f>J9+J15+J21</f>
        <v>427525.17456000001</v>
      </c>
      <c r="K27" s="329">
        <f>I27/$I$32</f>
        <v>0.28909845150127589</v>
      </c>
    </row>
    <row r="28" spans="1:20" ht="11.1" customHeight="1">
      <c r="A28" s="430"/>
      <c r="B28" s="430"/>
      <c r="C28" s="155" t="s">
        <v>5</v>
      </c>
      <c r="D28" s="333">
        <f>D22</f>
        <v>314</v>
      </c>
      <c r="E28" s="130">
        <f t="shared" ref="E28:F31" si="3">E10+E16+E22</f>
        <v>14655.379639999999</v>
      </c>
      <c r="F28" s="130">
        <f t="shared" si="3"/>
        <v>156792.69381000003</v>
      </c>
      <c r="G28" s="327">
        <f>E28/$E$32</f>
        <v>0.12124327154874606</v>
      </c>
      <c r="H28" s="327">
        <f t="shared" ref="H28:H31" si="4">(E28-I28)/I28</f>
        <v>-0.11056405221089378</v>
      </c>
      <c r="I28" s="333">
        <f t="shared" ref="I28:J28" si="5">I10+I16+I22</f>
        <v>16477.161370000002</v>
      </c>
      <c r="J28" s="130">
        <f t="shared" si="5"/>
        <v>175992.02332999997</v>
      </c>
      <c r="K28" s="327">
        <f>I28/$I$32</f>
        <v>0.11900855190668248</v>
      </c>
    </row>
    <row r="29" spans="1:20" ht="11.1" customHeight="1">
      <c r="A29" s="430"/>
      <c r="B29" s="430"/>
      <c r="C29" s="155" t="s">
        <v>6</v>
      </c>
      <c r="D29" s="333">
        <f>D23</f>
        <v>10900</v>
      </c>
      <c r="E29" s="130">
        <f t="shared" si="3"/>
        <v>26324.721640000003</v>
      </c>
      <c r="F29" s="130">
        <f t="shared" si="3"/>
        <v>281651.76695000002</v>
      </c>
      <c r="G29" s="327">
        <f>E29/$E$32</f>
        <v>0.21778319311035413</v>
      </c>
      <c r="H29" s="327">
        <f t="shared" si="4"/>
        <v>-0.12282674842617797</v>
      </c>
      <c r="I29" s="333">
        <f t="shared" ref="I29:J29" si="6">I11+I17+I23</f>
        <v>30010.857709999997</v>
      </c>
      <c r="J29" s="130">
        <f t="shared" si="6"/>
        <v>320554.36514000001</v>
      </c>
      <c r="K29" s="327">
        <f>I29/$I$32</f>
        <v>0.21675752499743811</v>
      </c>
    </row>
    <row r="30" spans="1:20" ht="11.1" customHeight="1">
      <c r="A30" s="430"/>
      <c r="B30" s="430"/>
      <c r="C30" s="155" t="s">
        <v>7</v>
      </c>
      <c r="D30" s="333">
        <f>D24</f>
        <v>108739</v>
      </c>
      <c r="E30" s="130">
        <f t="shared" si="3"/>
        <v>43609.104739999995</v>
      </c>
      <c r="F30" s="130">
        <f t="shared" si="3"/>
        <v>466591.07243</v>
      </c>
      <c r="G30" s="327">
        <f>E30/$E$32</f>
        <v>0.36077608754388629</v>
      </c>
      <c r="H30" s="327">
        <f t="shared" si="4"/>
        <v>-0.15143452029575105</v>
      </c>
      <c r="I30" s="333">
        <f t="shared" ref="I30:J30" si="7">I12+I18+I24</f>
        <v>51391.561150000001</v>
      </c>
      <c r="J30" s="130">
        <f t="shared" si="7"/>
        <v>548935.70608000003</v>
      </c>
      <c r="K30" s="327">
        <f>I30/$I$32</f>
        <v>0.37118258026049922</v>
      </c>
    </row>
    <row r="31" spans="1:20" ht="11.1" customHeight="1">
      <c r="A31" s="430"/>
      <c r="B31" s="430"/>
      <c r="C31" s="155" t="s">
        <v>93</v>
      </c>
      <c r="D31" s="333">
        <f>D25</f>
        <v>14</v>
      </c>
      <c r="E31" s="130">
        <f>E13+E19+E25</f>
        <v>621.94399999999996</v>
      </c>
      <c r="F31" s="130">
        <f t="shared" si="3"/>
        <v>6654.1358</v>
      </c>
      <c r="G31" s="327">
        <f>E31/$E$32</f>
        <v>5.1453136754165529E-3</v>
      </c>
      <c r="H31" s="327">
        <f t="shared" si="4"/>
        <v>0.13640250542671931</v>
      </c>
      <c r="I31" s="333">
        <f>I13+I19+I25</f>
        <v>547.29199999999992</v>
      </c>
      <c r="J31" s="130">
        <f t="shared" ref="J31" si="8">J13+J19+J25</f>
        <v>5845.1441100000002</v>
      </c>
      <c r="K31" s="327">
        <f>I31/$I$32</f>
        <v>3.9528913341043562E-3</v>
      </c>
    </row>
    <row r="32" spans="1:20" ht="11.1" customHeight="1">
      <c r="A32" s="431"/>
      <c r="B32" s="431"/>
      <c r="C32" s="339" t="s">
        <v>0</v>
      </c>
      <c r="D32" s="342">
        <f>SUM(D27:D31)</f>
        <v>120063</v>
      </c>
      <c r="E32" s="340">
        <f>SUM(E27:E31)</f>
        <v>120875.81812</v>
      </c>
      <c r="F32" s="340">
        <f>SUM(F27:F31)</f>
        <v>1293305.3837400002</v>
      </c>
      <c r="G32" s="341">
        <f>SUM(G27:G31)</f>
        <v>0.99999999999999989</v>
      </c>
      <c r="H32" s="341">
        <f>(E32-I32)/I32</f>
        <v>-0.12695786901814327</v>
      </c>
      <c r="I32" s="342">
        <f>SUM(I27:I31)</f>
        <v>138453.59099</v>
      </c>
      <c r="J32" s="340">
        <f>SUM(J27:J31)</f>
        <v>1478852.41322</v>
      </c>
      <c r="K32" s="341">
        <f>SUM(K27:K31)</f>
        <v>1</v>
      </c>
    </row>
    <row r="33" spans="1:11" ht="9.9499999999999993" customHeight="1">
      <c r="A33" s="387"/>
      <c r="B33" s="388"/>
      <c r="C33" s="389"/>
      <c r="D33" s="390"/>
      <c r="E33" s="390"/>
      <c r="F33" s="390"/>
      <c r="G33" s="391"/>
      <c r="H33" s="392"/>
      <c r="I33" s="390"/>
      <c r="J33" s="390"/>
      <c r="K33" s="391"/>
    </row>
    <row r="34" spans="1:11" ht="12.95" customHeight="1">
      <c r="A34" s="525" t="s">
        <v>47</v>
      </c>
      <c r="B34" s="525"/>
      <c r="C34" s="525"/>
      <c r="D34" s="496">
        <f>D4</f>
        <v>2022</v>
      </c>
      <c r="E34" s="382"/>
      <c r="F34" s="371"/>
      <c r="G34" s="371"/>
      <c r="H34" s="371"/>
      <c r="I34" s="496">
        <f>D34-1</f>
        <v>2021</v>
      </c>
      <c r="J34" s="497"/>
      <c r="K34" s="497"/>
    </row>
    <row r="35" spans="1:11" ht="24.95" customHeight="1">
      <c r="A35" s="324"/>
      <c r="B35" s="292"/>
      <c r="C35" s="151"/>
      <c r="D35" s="490"/>
      <c r="E35" s="384"/>
      <c r="F35" s="385"/>
      <c r="G35" s="385"/>
      <c r="H35" s="386"/>
      <c r="I35" s="490"/>
      <c r="J35" s="491"/>
      <c r="K35" s="491"/>
    </row>
    <row r="36" spans="1:11" ht="24.95" customHeight="1">
      <c r="A36" s="131"/>
      <c r="B36" s="132"/>
      <c r="C36" s="381"/>
      <c r="D36" s="393" t="s">
        <v>160</v>
      </c>
      <c r="E36" s="486" t="s">
        <v>60</v>
      </c>
      <c r="F36" s="486"/>
      <c r="G36" s="487" t="s">
        <v>33</v>
      </c>
      <c r="H36" s="487" t="s">
        <v>276</v>
      </c>
      <c r="I36" s="485" t="s">
        <v>60</v>
      </c>
      <c r="J36" s="486"/>
      <c r="K36" s="487" t="s">
        <v>33</v>
      </c>
    </row>
    <row r="37" spans="1:11" ht="24.95" customHeight="1">
      <c r="A37" s="131"/>
      <c r="B37" s="326"/>
      <c r="C37" s="326"/>
      <c r="D37" s="394"/>
      <c r="E37" s="486"/>
      <c r="F37" s="486"/>
      <c r="G37" s="487"/>
      <c r="H37" s="487"/>
      <c r="I37" s="485"/>
      <c r="J37" s="486"/>
      <c r="K37" s="487"/>
    </row>
    <row r="38" spans="1:11" ht="15" customHeight="1">
      <c r="A38" s="526" t="s">
        <v>159</v>
      </c>
      <c r="B38" s="526"/>
      <c r="C38" s="395" t="s">
        <v>185</v>
      </c>
      <c r="D38" s="372"/>
      <c r="E38" s="222" t="s">
        <v>267</v>
      </c>
      <c r="F38" s="222" t="s">
        <v>268</v>
      </c>
      <c r="G38" s="474"/>
      <c r="H38" s="474"/>
      <c r="I38" s="224" t="s">
        <v>267</v>
      </c>
      <c r="J38" s="222" t="s">
        <v>268</v>
      </c>
      <c r="K38" s="474"/>
    </row>
    <row r="39" spans="1:11" ht="11.1" customHeight="1">
      <c r="A39" s="429" t="str">
        <f>'3.1'!D5</f>
        <v>Leden</v>
      </c>
      <c r="B39" s="429"/>
      <c r="C39" s="165" t="s">
        <v>4</v>
      </c>
      <c r="D39" s="332">
        <v>71</v>
      </c>
      <c r="E39" s="328">
        <v>17142.05</v>
      </c>
      <c r="F39" s="328">
        <v>183113.10007000001</v>
      </c>
      <c r="G39" s="329">
        <f>E39/$E$44</f>
        <v>0.29051219954479435</v>
      </c>
      <c r="H39" s="329">
        <f>(E39-I39)/I39</f>
        <v>-5.4577031726894772E-2</v>
      </c>
      <c r="I39" s="332">
        <v>18131.62</v>
      </c>
      <c r="J39" s="328">
        <v>193730.13074999998</v>
      </c>
      <c r="K39" s="329">
        <f>I39/$I$44</f>
        <v>0.28725360658802351</v>
      </c>
    </row>
    <row r="40" spans="1:11" ht="11.1" customHeight="1">
      <c r="A40" s="430"/>
      <c r="B40" s="430"/>
      <c r="C40" s="155" t="s">
        <v>5</v>
      </c>
      <c r="D40" s="333">
        <v>317</v>
      </c>
      <c r="E40" s="130">
        <v>5256.7669999999998</v>
      </c>
      <c r="F40" s="130">
        <v>56153.297769999968</v>
      </c>
      <c r="G40" s="327">
        <f t="shared" ref="G40" si="9">E40/$E$44</f>
        <v>8.9088232951396715E-2</v>
      </c>
      <c r="H40" s="327">
        <f>(E40-I40)/I40</f>
        <v>1.7153643059413356E-2</v>
      </c>
      <c r="I40" s="333">
        <v>5168.1149999999998</v>
      </c>
      <c r="J40" s="130">
        <v>55219.59656999998</v>
      </c>
      <c r="K40" s="327">
        <f t="shared" ref="K40:K43" si="10">I40/$I$44</f>
        <v>8.1876835771523077E-2</v>
      </c>
    </row>
    <row r="41" spans="1:11" ht="11.1" customHeight="1">
      <c r="A41" s="430"/>
      <c r="B41" s="430"/>
      <c r="C41" s="155" t="s">
        <v>6</v>
      </c>
      <c r="D41" s="333">
        <v>10904</v>
      </c>
      <c r="E41" s="130">
        <v>11654.052</v>
      </c>
      <c r="F41" s="130">
        <v>124489.82145</v>
      </c>
      <c r="G41" s="327">
        <f>E41/$E$44</f>
        <v>0.19750521554478079</v>
      </c>
      <c r="H41" s="327">
        <f t="shared" ref="H41:H43" si="11">(E41-I41)/I41</f>
        <v>-6.4823927047925459E-2</v>
      </c>
      <c r="I41" s="333">
        <v>12461.880000000001</v>
      </c>
      <c r="J41" s="130">
        <v>133151.17593</v>
      </c>
      <c r="K41" s="327">
        <f t="shared" si="10"/>
        <v>0.19742968222735524</v>
      </c>
    </row>
    <row r="42" spans="1:11" ht="11.1" customHeight="1">
      <c r="A42" s="430"/>
      <c r="B42" s="430"/>
      <c r="C42" s="155" t="s">
        <v>7</v>
      </c>
      <c r="D42" s="333">
        <v>145152</v>
      </c>
      <c r="E42" s="130">
        <v>24740.7</v>
      </c>
      <c r="F42" s="130">
        <v>264282.2</v>
      </c>
      <c r="G42" s="327">
        <f>E42/$E$44</f>
        <v>0.41928912675426183</v>
      </c>
      <c r="H42" s="327">
        <f t="shared" si="11"/>
        <v>-8.8975218175792584E-2</v>
      </c>
      <c r="I42" s="333">
        <v>27157</v>
      </c>
      <c r="J42" s="130">
        <v>290163.40000000002</v>
      </c>
      <c r="K42" s="327">
        <f t="shared" si="10"/>
        <v>0.43023988998837143</v>
      </c>
    </row>
    <row r="43" spans="1:11" ht="11.1" customHeight="1">
      <c r="A43" s="430"/>
      <c r="B43" s="430"/>
      <c r="C43" s="155" t="s">
        <v>93</v>
      </c>
      <c r="D43" s="333">
        <v>11</v>
      </c>
      <c r="E43" s="130">
        <v>212.73099999999999</v>
      </c>
      <c r="F43" s="130">
        <v>2272.4152600000002</v>
      </c>
      <c r="G43" s="327">
        <f>E43/$E$44</f>
        <v>3.6052252047662704E-3</v>
      </c>
      <c r="H43" s="327">
        <f t="shared" si="11"/>
        <v>5.3201970443349657E-2</v>
      </c>
      <c r="I43" s="333">
        <v>201.98500000000001</v>
      </c>
      <c r="J43" s="130">
        <v>2158.1528399999997</v>
      </c>
      <c r="K43" s="327">
        <f t="shared" si="10"/>
        <v>3.1999854247266343E-3</v>
      </c>
    </row>
    <row r="44" spans="1:11" ht="11.1" customHeight="1">
      <c r="A44" s="431"/>
      <c r="B44" s="431"/>
      <c r="C44" s="339" t="s">
        <v>0</v>
      </c>
      <c r="D44" s="342">
        <v>156455</v>
      </c>
      <c r="E44" s="340">
        <v>59006.3</v>
      </c>
      <c r="F44" s="340">
        <v>630310.83455000003</v>
      </c>
      <c r="G44" s="341">
        <f>SUM(G39:G43)</f>
        <v>1</v>
      </c>
      <c r="H44" s="341">
        <f>(E44-I44)/I44</f>
        <v>-6.5181573052220707E-2</v>
      </c>
      <c r="I44" s="342">
        <v>63120.600000000006</v>
      </c>
      <c r="J44" s="340">
        <v>674422.45608999999</v>
      </c>
      <c r="K44" s="341">
        <f>SUM(K39:K43)</f>
        <v>1</v>
      </c>
    </row>
    <row r="45" spans="1:11" ht="11.1" customHeight="1">
      <c r="A45" s="429" t="str">
        <f>'3.1'!E5</f>
        <v>Únor</v>
      </c>
      <c r="B45" s="429"/>
      <c r="C45" s="165" t="s">
        <v>4</v>
      </c>
      <c r="D45" s="332">
        <v>71</v>
      </c>
      <c r="E45" s="328">
        <v>14444.766000000001</v>
      </c>
      <c r="F45" s="328">
        <v>154483.93530000001</v>
      </c>
      <c r="G45" s="329">
        <f>E45/$E$50</f>
        <v>0.31028513614531333</v>
      </c>
      <c r="H45" s="329">
        <f>(E45-I45)/I45</f>
        <v>-0.11835251748766493</v>
      </c>
      <c r="I45" s="332">
        <v>16383.834000000001</v>
      </c>
      <c r="J45" s="328">
        <v>175091.70282999997</v>
      </c>
      <c r="K45" s="329">
        <f>I45/$I$50</f>
        <v>0.2834588068796205</v>
      </c>
    </row>
    <row r="46" spans="1:11" ht="11.1" customHeight="1">
      <c r="A46" s="430"/>
      <c r="B46" s="430"/>
      <c r="C46" s="155" t="s">
        <v>5</v>
      </c>
      <c r="D46" s="333">
        <v>315</v>
      </c>
      <c r="E46" s="130">
        <v>4009.0829999999996</v>
      </c>
      <c r="F46" s="130">
        <v>42876.473240000014</v>
      </c>
      <c r="G46" s="327">
        <f t="shared" ref="G46:G49" si="12">E46/$E$50</f>
        <v>8.6118311952776597E-2</v>
      </c>
      <c r="H46" s="327">
        <f>(E46-I46)/I46</f>
        <v>-0.18987950288042496</v>
      </c>
      <c r="I46" s="333">
        <v>4948.7489999999998</v>
      </c>
      <c r="J46" s="130">
        <v>52886.478430000047</v>
      </c>
      <c r="K46" s="327">
        <f t="shared" ref="K46:K49" si="13">I46/$I$50</f>
        <v>8.5618939198646354E-2</v>
      </c>
    </row>
    <row r="47" spans="1:11" ht="11.1" customHeight="1">
      <c r="A47" s="430"/>
      <c r="B47" s="430"/>
      <c r="C47" s="155" t="s">
        <v>6</v>
      </c>
      <c r="D47" s="333">
        <v>10900</v>
      </c>
      <c r="E47" s="130">
        <v>8932.0920000000006</v>
      </c>
      <c r="F47" s="130">
        <v>95526.669139999998</v>
      </c>
      <c r="G47" s="327">
        <f t="shared" si="12"/>
        <v>0.19186848594726033</v>
      </c>
      <c r="H47" s="327">
        <f t="shared" ref="H47:H49" si="14">(E47-I47)/I47</f>
        <v>-0.2243173485473946</v>
      </c>
      <c r="I47" s="333">
        <v>11515.137000000001</v>
      </c>
      <c r="J47" s="130">
        <v>123060.64796</v>
      </c>
      <c r="K47" s="327">
        <f t="shared" si="13"/>
        <v>0.19922485756846492</v>
      </c>
    </row>
    <row r="48" spans="1:11" ht="11.1" customHeight="1">
      <c r="A48" s="430"/>
      <c r="B48" s="430"/>
      <c r="C48" s="155" t="s">
        <v>7</v>
      </c>
      <c r="D48" s="333">
        <v>145056</v>
      </c>
      <c r="E48" s="130">
        <v>18970.5</v>
      </c>
      <c r="F48" s="130">
        <v>202885.4</v>
      </c>
      <c r="G48" s="327">
        <f t="shared" si="12"/>
        <v>0.40750152513683269</v>
      </c>
      <c r="H48" s="327">
        <f t="shared" si="14"/>
        <v>-0.23340984216013508</v>
      </c>
      <c r="I48" s="333">
        <v>24746.6</v>
      </c>
      <c r="J48" s="130">
        <v>264462.7</v>
      </c>
      <c r="K48" s="327">
        <f t="shared" si="13"/>
        <v>0.42814409071327358</v>
      </c>
    </row>
    <row r="49" spans="1:11" ht="11.1" customHeight="1">
      <c r="A49" s="430"/>
      <c r="B49" s="430"/>
      <c r="C49" s="155" t="s">
        <v>93</v>
      </c>
      <c r="D49" s="333">
        <v>11</v>
      </c>
      <c r="E49" s="130">
        <v>196.75899999999999</v>
      </c>
      <c r="F49" s="130">
        <v>2104.2989699999998</v>
      </c>
      <c r="G49" s="327">
        <f t="shared" si="12"/>
        <v>4.2265408178170346E-3</v>
      </c>
      <c r="H49" s="327">
        <f t="shared" si="14"/>
        <v>-4.1975849644561344E-2</v>
      </c>
      <c r="I49" s="333">
        <v>205.38</v>
      </c>
      <c r="J49" s="130">
        <v>2194.8688299999999</v>
      </c>
      <c r="K49" s="327">
        <f t="shared" si="13"/>
        <v>3.5533056399946715E-3</v>
      </c>
    </row>
    <row r="50" spans="1:11" ht="11.1" customHeight="1">
      <c r="A50" s="431"/>
      <c r="B50" s="431"/>
      <c r="C50" s="339" t="s">
        <v>0</v>
      </c>
      <c r="D50" s="342">
        <v>156353</v>
      </c>
      <c r="E50" s="340">
        <v>46553.200000000004</v>
      </c>
      <c r="F50" s="340">
        <v>497876.77665000001</v>
      </c>
      <c r="G50" s="341">
        <f>SUM(G45:G49)</f>
        <v>1</v>
      </c>
      <c r="H50" s="341">
        <f t="shared" ref="H50" si="15">(E50-I50)/I50</f>
        <v>-0.19457713448339686</v>
      </c>
      <c r="I50" s="342">
        <v>57799.7</v>
      </c>
      <c r="J50" s="340">
        <v>617696.39805000008</v>
      </c>
      <c r="K50" s="341">
        <f>SUM(K45:K49)</f>
        <v>1</v>
      </c>
    </row>
    <row r="51" spans="1:11" ht="11.1" customHeight="1">
      <c r="A51" s="429" t="str">
        <f>'3.1'!F5</f>
        <v>Březen</v>
      </c>
      <c r="B51" s="429"/>
      <c r="C51" s="165" t="s">
        <v>4</v>
      </c>
      <c r="D51" s="332">
        <v>71</v>
      </c>
      <c r="E51" s="328">
        <v>16014.799000000001</v>
      </c>
      <c r="F51" s="328">
        <v>171868.02388999998</v>
      </c>
      <c r="G51" s="329">
        <f>E51/$E$56</f>
        <v>0.33589564557163798</v>
      </c>
      <c r="H51" s="329">
        <f>(E51-I51)/I51</f>
        <v>-0.19054059374883262</v>
      </c>
      <c r="I51" s="332">
        <v>19784.560999999998</v>
      </c>
      <c r="J51" s="328">
        <v>211143.19354999997</v>
      </c>
      <c r="K51" s="329">
        <f>I51/$I$56</f>
        <v>0.35786684200149405</v>
      </c>
    </row>
    <row r="52" spans="1:11" ht="11.1" customHeight="1">
      <c r="A52" s="430"/>
      <c r="B52" s="430"/>
      <c r="C52" s="155" t="s">
        <v>5</v>
      </c>
      <c r="D52" s="333">
        <v>314</v>
      </c>
      <c r="E52" s="130">
        <v>4291.6260000000002</v>
      </c>
      <c r="F52" s="130">
        <v>46056.636080000011</v>
      </c>
      <c r="G52" s="327">
        <f t="shared" ref="G52:G55" si="16">E52/$E$56</f>
        <v>9.0012899058054138E-2</v>
      </c>
      <c r="H52" s="327">
        <f t="shared" ref="H52:H55" si="17">(E52-I52)/I52</f>
        <v>1.4783506202849002E-2</v>
      </c>
      <c r="I52" s="333">
        <v>4229.1050000000005</v>
      </c>
      <c r="J52" s="130">
        <v>45133.639539999996</v>
      </c>
      <c r="K52" s="327">
        <f t="shared" ref="K52:K55" si="18">I52/$I$56</f>
        <v>7.6496842706933396E-2</v>
      </c>
    </row>
    <row r="53" spans="1:11" ht="11.1" customHeight="1">
      <c r="A53" s="430"/>
      <c r="B53" s="430"/>
      <c r="C53" s="155" t="s">
        <v>6</v>
      </c>
      <c r="D53" s="333">
        <v>10910</v>
      </c>
      <c r="E53" s="130">
        <v>8934.6310000000012</v>
      </c>
      <c r="F53" s="130">
        <v>95884.436000000002</v>
      </c>
      <c r="G53" s="327">
        <f t="shared" si="16"/>
        <v>0.18739564871774972</v>
      </c>
      <c r="H53" s="327">
        <f t="shared" si="17"/>
        <v>-7.9966801236303703E-2</v>
      </c>
      <c r="I53" s="333">
        <v>9711.2049999999999</v>
      </c>
      <c r="J53" s="130">
        <v>103639.44699000001</v>
      </c>
      <c r="K53" s="327">
        <f t="shared" si="18"/>
        <v>0.17565809346889827</v>
      </c>
    </row>
    <row r="54" spans="1:11" ht="10.5" customHeight="1">
      <c r="A54" s="430"/>
      <c r="B54" s="430"/>
      <c r="C54" s="155" t="s">
        <v>7</v>
      </c>
      <c r="D54" s="333">
        <v>144922</v>
      </c>
      <c r="E54" s="130">
        <v>18218.2</v>
      </c>
      <c r="F54" s="130">
        <v>195514.8</v>
      </c>
      <c r="G54" s="327">
        <f t="shared" si="16"/>
        <v>0.38210995031240885</v>
      </c>
      <c r="H54" s="327">
        <f t="shared" si="17"/>
        <v>-0.14659259120463181</v>
      </c>
      <c r="I54" s="333">
        <v>21347.599999999999</v>
      </c>
      <c r="J54" s="130">
        <v>227824.5</v>
      </c>
      <c r="K54" s="327">
        <f t="shared" si="18"/>
        <v>0.38613938395252212</v>
      </c>
    </row>
    <row r="55" spans="1:11" ht="11.1" customHeight="1">
      <c r="A55" s="430"/>
      <c r="B55" s="430"/>
      <c r="C55" s="155" t="s">
        <v>93</v>
      </c>
      <c r="D55" s="333">
        <v>11</v>
      </c>
      <c r="E55" s="130">
        <v>218.64400000000001</v>
      </c>
      <c r="F55" s="130">
        <v>2346.4491600000001</v>
      </c>
      <c r="G55" s="327">
        <f t="shared" si="16"/>
        <v>4.5858563401492093E-3</v>
      </c>
      <c r="H55" s="327">
        <f t="shared" si="17"/>
        <v>3.0226783333097699E-2</v>
      </c>
      <c r="I55" s="333">
        <v>212.22900000000001</v>
      </c>
      <c r="J55" s="130">
        <v>2264.9320900000002</v>
      </c>
      <c r="K55" s="327">
        <f t="shared" si="18"/>
        <v>3.8388378701521403E-3</v>
      </c>
    </row>
    <row r="56" spans="1:11" ht="11.1" customHeight="1">
      <c r="A56" s="431"/>
      <c r="B56" s="431"/>
      <c r="C56" s="339" t="s">
        <v>0</v>
      </c>
      <c r="D56" s="342">
        <v>156228</v>
      </c>
      <c r="E56" s="340">
        <v>47677.900000000009</v>
      </c>
      <c r="F56" s="340">
        <v>511670.34512999997</v>
      </c>
      <c r="G56" s="341">
        <f>SUM(G51:G55)</f>
        <v>0.99999999999999989</v>
      </c>
      <c r="H56" s="341">
        <f>(E56-I56)/I56</f>
        <v>-0.13759322199451185</v>
      </c>
      <c r="I56" s="342">
        <v>55284.7</v>
      </c>
      <c r="J56" s="340">
        <v>590005.71216999996</v>
      </c>
      <c r="K56" s="341">
        <f>SUM(K51:K55)</f>
        <v>1</v>
      </c>
    </row>
    <row r="57" spans="1:11" ht="11.1" customHeight="1">
      <c r="A57" s="500" t="str">
        <f>'3.1'!G5</f>
        <v>I. čtvrtletí</v>
      </c>
      <c r="B57" s="429"/>
      <c r="C57" s="165" t="s">
        <v>4</v>
      </c>
      <c r="D57" s="332">
        <f>D51</f>
        <v>71</v>
      </c>
      <c r="E57" s="328">
        <f>E39+E45+E51</f>
        <v>47601.614999999998</v>
      </c>
      <c r="F57" s="328">
        <f>F39+F45+F51</f>
        <v>509465.05926000001</v>
      </c>
      <c r="G57" s="329">
        <f>E57/$E$62</f>
        <v>0.31063966760072931</v>
      </c>
      <c r="H57" s="329">
        <f>(E57-I57)/I57</f>
        <v>-0.12335908194500501</v>
      </c>
      <c r="I57" s="332">
        <f>I39+I45+I51</f>
        <v>54300.014999999999</v>
      </c>
      <c r="J57" s="328">
        <f>J39+J45+J51</f>
        <v>579965.02712999994</v>
      </c>
      <c r="K57" s="329">
        <f>I57/$I$62</f>
        <v>0.30816387162679826</v>
      </c>
    </row>
    <row r="58" spans="1:11" ht="11.1" customHeight="1">
      <c r="A58" s="430"/>
      <c r="B58" s="430"/>
      <c r="C58" s="155" t="s">
        <v>5</v>
      </c>
      <c r="D58" s="333">
        <f>D52</f>
        <v>314</v>
      </c>
      <c r="E58" s="130">
        <f t="shared" ref="E58:F59" si="19">E40+E46+E52</f>
        <v>13557.475999999999</v>
      </c>
      <c r="F58" s="130">
        <f t="shared" si="19"/>
        <v>145086.40708999999</v>
      </c>
      <c r="G58" s="327">
        <f t="shared" ref="G58:G61" si="20">E58/$E$62</f>
        <v>8.8473675486532663E-2</v>
      </c>
      <c r="H58" s="327">
        <f t="shared" ref="H58:H61" si="21">(E58-I58)/I58</f>
        <v>-5.4962686731025431E-2</v>
      </c>
      <c r="I58" s="333">
        <f t="shared" ref="I58:J58" si="22">I40+I46+I52</f>
        <v>14345.969000000001</v>
      </c>
      <c r="J58" s="130">
        <f t="shared" si="22"/>
        <v>153239.71454000002</v>
      </c>
      <c r="K58" s="327">
        <f t="shared" ref="K58:K61" si="23">I58/$I$62</f>
        <v>8.1416355949036623E-2</v>
      </c>
    </row>
    <row r="59" spans="1:11" ht="11.1" customHeight="1">
      <c r="A59" s="430"/>
      <c r="B59" s="430"/>
      <c r="C59" s="155" t="s">
        <v>6</v>
      </c>
      <c r="D59" s="333">
        <f>D53</f>
        <v>10910</v>
      </c>
      <c r="E59" s="130">
        <f>E41+E47+E53</f>
        <v>29520.775000000001</v>
      </c>
      <c r="F59" s="130">
        <f t="shared" si="19"/>
        <v>315900.92658999999</v>
      </c>
      <c r="G59" s="327">
        <f t="shared" si="20"/>
        <v>0.19264732369512927</v>
      </c>
      <c r="H59" s="327">
        <f t="shared" si="21"/>
        <v>-0.12370635054589701</v>
      </c>
      <c r="I59" s="333">
        <f>I41+I47+I53</f>
        <v>33688.222000000002</v>
      </c>
      <c r="J59" s="130">
        <f t="shared" ref="J59" si="24">J41+J47+J53</f>
        <v>359851.27088000003</v>
      </c>
      <c r="K59" s="327">
        <f t="shared" si="23"/>
        <v>0.19118766209812432</v>
      </c>
    </row>
    <row r="60" spans="1:11" ht="11.1" customHeight="1">
      <c r="A60" s="430"/>
      <c r="B60" s="430"/>
      <c r="C60" s="155" t="s">
        <v>7</v>
      </c>
      <c r="D60" s="333">
        <f>D54</f>
        <v>144922</v>
      </c>
      <c r="E60" s="130">
        <f t="shared" ref="E60:F61" si="25">E42+E48+E54</f>
        <v>61929.399999999994</v>
      </c>
      <c r="F60" s="130">
        <f t="shared" si="25"/>
        <v>662682.39999999991</v>
      </c>
      <c r="G60" s="327">
        <f t="shared" si="20"/>
        <v>0.40414024252564973</v>
      </c>
      <c r="H60" s="327">
        <f t="shared" si="21"/>
        <v>-0.15456129046350098</v>
      </c>
      <c r="I60" s="333">
        <f t="shared" ref="I60:J60" si="26">I42+I48+I54</f>
        <v>73251.199999999997</v>
      </c>
      <c r="J60" s="130">
        <f t="shared" si="26"/>
        <v>782450.60000000009</v>
      </c>
      <c r="K60" s="327">
        <f t="shared" si="23"/>
        <v>0.41571578559064715</v>
      </c>
    </row>
    <row r="61" spans="1:11" ht="11.1" customHeight="1">
      <c r="A61" s="430"/>
      <c r="B61" s="430"/>
      <c r="C61" s="155" t="s">
        <v>93</v>
      </c>
      <c r="D61" s="333">
        <f>D55</f>
        <v>11</v>
      </c>
      <c r="E61" s="130">
        <f>E43+E49+E55</f>
        <v>628.13400000000001</v>
      </c>
      <c r="F61" s="130">
        <f t="shared" si="25"/>
        <v>6723.1633899999997</v>
      </c>
      <c r="G61" s="327">
        <f t="shared" si="20"/>
        <v>4.0990906919590132E-3</v>
      </c>
      <c r="H61" s="327">
        <f t="shared" si="21"/>
        <v>1.3783219333950882E-2</v>
      </c>
      <c r="I61" s="333">
        <f>I43+I49+I55</f>
        <v>619.59400000000005</v>
      </c>
      <c r="J61" s="130">
        <f t="shared" ref="J61" si="27">J43+J49+J55</f>
        <v>6617.9537600000003</v>
      </c>
      <c r="K61" s="327">
        <f t="shared" si="23"/>
        <v>3.5163247353934336E-3</v>
      </c>
    </row>
    <row r="62" spans="1:11" ht="11.1" customHeight="1">
      <c r="A62" s="431"/>
      <c r="B62" s="431"/>
      <c r="C62" s="339" t="s">
        <v>0</v>
      </c>
      <c r="D62" s="342">
        <f>SUM(D57:D61)</f>
        <v>156228</v>
      </c>
      <c r="E62" s="340">
        <f>SUM(E57:E61)</f>
        <v>153237.4</v>
      </c>
      <c r="F62" s="340">
        <f>SUM(F57:F61)</f>
        <v>1639857.9563299997</v>
      </c>
      <c r="G62" s="341">
        <f>SUM(G57:G61)</f>
        <v>1</v>
      </c>
      <c r="H62" s="341">
        <f>(E62-I62)/I62</f>
        <v>-0.13034590391873119</v>
      </c>
      <c r="I62" s="342">
        <f>SUM(I57:I61)</f>
        <v>176205.00000000003</v>
      </c>
      <c r="J62" s="340">
        <f>SUM(J57:J61)</f>
        <v>1882124.5663099999</v>
      </c>
      <c r="K62" s="341">
        <f>SUM(K57:K61)</f>
        <v>0.99999999999999978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4" t="str">
        <f>"6.8 Spotřeba zemního plynu a teplota ovzduší podle krajů: "&amp;LOWER(A3)</f>
        <v>6.8 Spotřeba zemního plynu a teplota ovzduší podle krajů: leden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ht="6" customHeight="1">
      <c r="A2" s="508"/>
      <c r="B2" s="508"/>
      <c r="C2" s="320"/>
      <c r="D2" s="321"/>
      <c r="E2" s="322"/>
      <c r="F2" s="322"/>
      <c r="G2" s="322"/>
      <c r="H2" s="322"/>
      <c r="I2" s="76"/>
      <c r="J2" s="76"/>
      <c r="K2" s="76"/>
    </row>
    <row r="3" spans="1:11" ht="20.100000000000001" customHeight="1">
      <c r="A3" s="470" t="str">
        <f>'3.1'!D5</f>
        <v>Leden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</row>
    <row r="4" spans="1:11" ht="20.100000000000001" customHeight="1">
      <c r="A4" s="129"/>
      <c r="B4" s="272">
        <f>'3.1'!A4</f>
        <v>2022</v>
      </c>
      <c r="C4" s="527" t="s">
        <v>60</v>
      </c>
      <c r="D4" s="528"/>
      <c r="E4" s="528"/>
      <c r="F4" s="529"/>
      <c r="G4" s="530" t="s">
        <v>187</v>
      </c>
      <c r="H4" s="530"/>
      <c r="I4" s="530"/>
      <c r="J4" s="530"/>
      <c r="K4" s="530"/>
    </row>
    <row r="5" spans="1:11" ht="49.5" customHeight="1">
      <c r="A5" s="292"/>
      <c r="B5" s="487" t="s">
        <v>186</v>
      </c>
      <c r="C5" s="374"/>
      <c r="D5" s="375"/>
      <c r="E5" s="487" t="s">
        <v>285</v>
      </c>
      <c r="F5" s="509" t="s">
        <v>288</v>
      </c>
      <c r="G5" s="398" t="s">
        <v>62</v>
      </c>
      <c r="H5" s="398" t="s">
        <v>174</v>
      </c>
      <c r="I5" s="398" t="s">
        <v>175</v>
      </c>
      <c r="J5" s="398" t="s">
        <v>290</v>
      </c>
      <c r="K5" s="398" t="s">
        <v>291</v>
      </c>
    </row>
    <row r="6" spans="1:11" ht="15" customHeight="1">
      <c r="A6" s="222" t="s">
        <v>188</v>
      </c>
      <c r="B6" s="474"/>
      <c r="C6" s="224" t="s">
        <v>267</v>
      </c>
      <c r="D6" s="222" t="s">
        <v>268</v>
      </c>
      <c r="E6" s="474"/>
      <c r="F6" s="510"/>
      <c r="G6" s="222" t="s">
        <v>235</v>
      </c>
      <c r="H6" s="222" t="s">
        <v>235</v>
      </c>
      <c r="I6" s="222" t="s">
        <v>235</v>
      </c>
      <c r="J6" s="222" t="s">
        <v>235</v>
      </c>
      <c r="K6" s="222" t="s">
        <v>235</v>
      </c>
    </row>
    <row r="7" spans="1:11" ht="14.1" customHeight="1">
      <c r="A7" s="155" t="s">
        <v>8</v>
      </c>
      <c r="B7" s="130">
        <f>'6.1'!D14</f>
        <v>105237</v>
      </c>
      <c r="C7" s="333">
        <f>'6.1'!E14</f>
        <v>38941.378410000005</v>
      </c>
      <c r="D7" s="130">
        <f>'6.1'!F14</f>
        <v>415762.53735999996</v>
      </c>
      <c r="E7" s="327">
        <f>D7/$D$21</f>
        <v>3.5034199387123877E-2</v>
      </c>
      <c r="F7" s="353">
        <f>'6.1'!H14</f>
        <v>-9.0513702775464916E-2</v>
      </c>
      <c r="G7" s="347">
        <v>0.75483870967741973</v>
      </c>
      <c r="H7" s="348">
        <v>7.9</v>
      </c>
      <c r="I7" s="348">
        <v>-4.4000000000000004</v>
      </c>
      <c r="J7" s="348">
        <v>-1.899999999999999</v>
      </c>
      <c r="K7" s="347">
        <v>2.6548387096774189</v>
      </c>
    </row>
    <row r="8" spans="1:11" ht="14.1" customHeight="1">
      <c r="A8" s="155" t="s">
        <v>9</v>
      </c>
      <c r="B8" s="130">
        <f>'6.1'!D44</f>
        <v>382365</v>
      </c>
      <c r="C8" s="333">
        <f>'6.1'!E44</f>
        <v>155040.59999999998</v>
      </c>
      <c r="D8" s="130">
        <f>'6.1'!F44</f>
        <v>1656158.39053</v>
      </c>
      <c r="E8" s="327">
        <f t="shared" ref="E8:E20" si="0">D8/$D$21</f>
        <v>0.13955606399488085</v>
      </c>
      <c r="F8" s="353">
        <f>'6.1'!H44</f>
        <v>-5.9095195845081487E-2</v>
      </c>
      <c r="G8" s="347">
        <v>1.4516129032258067</v>
      </c>
      <c r="H8" s="348">
        <v>10</v>
      </c>
      <c r="I8" s="348">
        <v>-3.5</v>
      </c>
      <c r="J8" s="348">
        <v>-1.7000000000000008</v>
      </c>
      <c r="K8" s="347">
        <v>3.1516129032258076</v>
      </c>
    </row>
    <row r="9" spans="1:11" ht="14.1" customHeight="1">
      <c r="A9" s="155" t="s">
        <v>10</v>
      </c>
      <c r="B9" s="130">
        <f>'6.2'!D14</f>
        <v>84086</v>
      </c>
      <c r="C9" s="333">
        <f>'6.2'!E14</f>
        <v>27716.7</v>
      </c>
      <c r="D9" s="130">
        <f>'6.2'!F14</f>
        <v>296073.45328000002</v>
      </c>
      <c r="E9" s="327">
        <f t="shared" si="0"/>
        <v>2.4948607590549531E-2</v>
      </c>
      <c r="F9" s="353">
        <f>'6.2'!H14</f>
        <v>-0.5744266282192424</v>
      </c>
      <c r="G9" s="347">
        <v>0.26129032258064516</v>
      </c>
      <c r="H9" s="348">
        <v>8.1</v>
      </c>
      <c r="I9" s="348">
        <v>-3.6</v>
      </c>
      <c r="J9" s="348">
        <v>-2</v>
      </c>
      <c r="K9" s="347">
        <v>2.2612903225806451</v>
      </c>
    </row>
    <row r="10" spans="1:11" ht="14.1" customHeight="1">
      <c r="A10" s="155" t="s">
        <v>92</v>
      </c>
      <c r="B10" s="130">
        <f>'6.2'!D44</f>
        <v>117930</v>
      </c>
      <c r="C10" s="333">
        <f>'6.2'!E44</f>
        <v>48268.799999999996</v>
      </c>
      <c r="D10" s="130">
        <f>'6.2'!F44</f>
        <v>515612.36231000011</v>
      </c>
      <c r="E10" s="327">
        <f t="shared" si="0"/>
        <v>4.3448037483938121E-2</v>
      </c>
      <c r="F10" s="353">
        <f>'6.2'!H44</f>
        <v>-6.0296694311412304E-2</v>
      </c>
      <c r="G10" s="347">
        <v>6.1290322580645137E-2</v>
      </c>
      <c r="H10" s="348">
        <v>8.1</v>
      </c>
      <c r="I10" s="348">
        <v>-5.5</v>
      </c>
      <c r="J10" s="348">
        <v>-2.2999999999999985</v>
      </c>
      <c r="K10" s="347">
        <v>2.3612903225806434</v>
      </c>
    </row>
    <row r="11" spans="1:11" ht="14.1" customHeight="1">
      <c r="A11" s="155" t="s">
        <v>11</v>
      </c>
      <c r="B11" s="130">
        <f>'6.3'!D14</f>
        <v>93135</v>
      </c>
      <c r="C11" s="333">
        <f>'6.3'!E14</f>
        <v>45371.500000000007</v>
      </c>
      <c r="D11" s="130">
        <f>'6.3'!F14</f>
        <v>484662.49001999991</v>
      </c>
      <c r="E11" s="327">
        <f t="shared" si="0"/>
        <v>4.0840048789961558E-2</v>
      </c>
      <c r="F11" s="353">
        <f>'6.3'!H14</f>
        <v>-0.11024760066989037</v>
      </c>
      <c r="G11" s="347">
        <v>0.74838709677419391</v>
      </c>
      <c r="H11" s="348">
        <v>8.1999999999999993</v>
      </c>
      <c r="I11" s="348">
        <v>-5</v>
      </c>
      <c r="J11" s="348">
        <v>-1.7000000000000008</v>
      </c>
      <c r="K11" s="347">
        <v>2.4483870967741947</v>
      </c>
    </row>
    <row r="12" spans="1:11" ht="14.1" customHeight="1">
      <c r="A12" s="155" t="s">
        <v>12</v>
      </c>
      <c r="B12" s="130">
        <f>'6.3'!D44</f>
        <v>377564</v>
      </c>
      <c r="C12" s="333">
        <f>'6.3'!E44</f>
        <v>113382.61799999999</v>
      </c>
      <c r="D12" s="130">
        <f>'6.3'!F44</f>
        <v>1210940.7311200001</v>
      </c>
      <c r="E12" s="327">
        <f t="shared" si="0"/>
        <v>0.10203983093193728</v>
      </c>
      <c r="F12" s="353">
        <f>'6.3'!H44</f>
        <v>-6.1325924917014017E-2</v>
      </c>
      <c r="G12" s="347">
        <v>0.71612903225806468</v>
      </c>
      <c r="H12" s="348">
        <v>8.8000000000000007</v>
      </c>
      <c r="I12" s="348">
        <v>-4.5999999999999996</v>
      </c>
      <c r="J12" s="348">
        <v>-1.899999999999999</v>
      </c>
      <c r="K12" s="347">
        <v>2.6161290322580637</v>
      </c>
    </row>
    <row r="13" spans="1:11" ht="14.1" customHeight="1">
      <c r="A13" s="155" t="s">
        <v>13</v>
      </c>
      <c r="B13" s="130">
        <f>'6.4'!D14</f>
        <v>186892</v>
      </c>
      <c r="C13" s="333">
        <f>'6.4'!E14</f>
        <v>68290.900000000009</v>
      </c>
      <c r="D13" s="130">
        <f>'6.4'!F14</f>
        <v>729489.64507999993</v>
      </c>
      <c r="E13" s="327">
        <f t="shared" si="0"/>
        <v>6.1470390860265539E-2</v>
      </c>
      <c r="F13" s="353">
        <f>'6.4'!H14</f>
        <v>-6.5373708729997926E-2</v>
      </c>
      <c r="G13" s="347">
        <v>0.28387096774193565</v>
      </c>
      <c r="H13" s="348">
        <v>8.1999999999999993</v>
      </c>
      <c r="I13" s="348">
        <v>-4.0999999999999996</v>
      </c>
      <c r="J13" s="348">
        <v>-2.5</v>
      </c>
      <c r="K13" s="347">
        <v>2.7838709677419358</v>
      </c>
    </row>
    <row r="14" spans="1:11" ht="14.1" customHeight="1">
      <c r="A14" s="155" t="s">
        <v>14</v>
      </c>
      <c r="B14" s="130">
        <f>'6.4'!D44</f>
        <v>136660</v>
      </c>
      <c r="C14" s="333">
        <f>'6.4'!E44</f>
        <v>50033.899999999994</v>
      </c>
      <c r="D14" s="130">
        <f>'6.4'!F44</f>
        <v>534468.11779000005</v>
      </c>
      <c r="E14" s="327">
        <f t="shared" si="0"/>
        <v>4.5036916321545307E-2</v>
      </c>
      <c r="F14" s="353">
        <f>'6.4'!H44</f>
        <v>-0.10771499753004518</v>
      </c>
      <c r="G14" s="347">
        <v>0.56451612903225779</v>
      </c>
      <c r="H14" s="348">
        <v>9.5</v>
      </c>
      <c r="I14" s="348">
        <v>-5.3</v>
      </c>
      <c r="J14" s="348">
        <v>-1.6000000000000008</v>
      </c>
      <c r="K14" s="347">
        <v>2.1645161290322585</v>
      </c>
    </row>
    <row r="15" spans="1:11" ht="14.1" customHeight="1">
      <c r="A15" s="155" t="s">
        <v>15</v>
      </c>
      <c r="B15" s="130">
        <f>'6.5'!D14</f>
        <v>160056</v>
      </c>
      <c r="C15" s="333">
        <f>'6.5'!E14</f>
        <v>52042.9</v>
      </c>
      <c r="D15" s="130">
        <f>'6.5'!F14</f>
        <v>555927.97626999998</v>
      </c>
      <c r="E15" s="327">
        <f t="shared" si="0"/>
        <v>4.68452297053863E-2</v>
      </c>
      <c r="F15" s="353">
        <f>'6.5'!H14</f>
        <v>-4.9944504078219938E-2</v>
      </c>
      <c r="G15" s="347">
        <v>1.3129032258064515</v>
      </c>
      <c r="H15" s="348">
        <v>8.1</v>
      </c>
      <c r="I15" s="348">
        <v>-2.5</v>
      </c>
      <c r="J15" s="348">
        <v>-1.6000000000000008</v>
      </c>
      <c r="K15" s="347">
        <v>2.9129032258064522</v>
      </c>
    </row>
    <row r="16" spans="1:11" ht="14.1" customHeight="1">
      <c r="A16" s="155" t="s">
        <v>1</v>
      </c>
      <c r="B16" s="130">
        <f>'6.5'!D44</f>
        <v>414074</v>
      </c>
      <c r="C16" s="333">
        <f>'6.5'!E44</f>
        <v>127940.34146005199</v>
      </c>
      <c r="D16" s="130">
        <f>'6.5'!F44</f>
        <v>1368175.8003100001</v>
      </c>
      <c r="E16" s="327">
        <f t="shared" si="0"/>
        <v>0.11528923238024741</v>
      </c>
      <c r="F16" s="353">
        <f>'6.5'!H44</f>
        <v>-7.8540109061176797E-2</v>
      </c>
      <c r="G16" s="347">
        <v>2.7677419354838713</v>
      </c>
      <c r="H16" s="348">
        <v>10.5</v>
      </c>
      <c r="I16" s="348">
        <v>-1.5</v>
      </c>
      <c r="J16" s="348">
        <v>-0.60000000000000009</v>
      </c>
      <c r="K16" s="347">
        <v>3.3677419354838714</v>
      </c>
    </row>
    <row r="17" spans="1:16" ht="14.1" customHeight="1">
      <c r="A17" s="155" t="s">
        <v>16</v>
      </c>
      <c r="B17" s="130">
        <f>'6.6'!D14</f>
        <v>261022</v>
      </c>
      <c r="C17" s="333">
        <f>'6.6'!E14</f>
        <v>145375.462</v>
      </c>
      <c r="D17" s="130">
        <f>'6.6'!F14</f>
        <v>1552927.0968700002</v>
      </c>
      <c r="E17" s="327">
        <f t="shared" si="0"/>
        <v>0.13085728668791149</v>
      </c>
      <c r="F17" s="353">
        <f>'6.6'!H14</f>
        <v>-6.5048571818399403E-2</v>
      </c>
      <c r="G17" s="347">
        <v>1.732258064516129</v>
      </c>
      <c r="H17" s="348">
        <v>9.1</v>
      </c>
      <c r="I17" s="348">
        <v>-3.1</v>
      </c>
      <c r="J17" s="348">
        <v>-1</v>
      </c>
      <c r="K17" s="347">
        <v>2.7322580645161292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'6.6'!D44</f>
        <v>222224</v>
      </c>
      <c r="C18" s="333">
        <f>'6.6'!E44</f>
        <v>132512.64600000001</v>
      </c>
      <c r="D18" s="130">
        <f>'6.6'!F44</f>
        <v>1416639.9042900002</v>
      </c>
      <c r="E18" s="327">
        <f t="shared" si="0"/>
        <v>0.11937305650912376</v>
      </c>
      <c r="F18" s="353">
        <f>'6.6'!H44</f>
        <v>-0.19140714899698047</v>
      </c>
      <c r="G18" s="347">
        <v>2.0419354838709678</v>
      </c>
      <c r="H18" s="348">
        <v>10</v>
      </c>
      <c r="I18" s="348">
        <v>-3.1</v>
      </c>
      <c r="J18" s="348">
        <v>-0.80000000000000038</v>
      </c>
      <c r="K18" s="347">
        <v>2.8419354838709681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'6.7'!D14</f>
        <v>120226</v>
      </c>
      <c r="C19" s="333">
        <f>'6.7'!E14</f>
        <v>46827.456590000002</v>
      </c>
      <c r="D19" s="130">
        <f>'6.7'!F14</f>
        <v>500184.4264600001</v>
      </c>
      <c r="E19" s="327">
        <f t="shared" si="0"/>
        <v>4.2148003613323548E-2</v>
      </c>
      <c r="F19" s="353">
        <f>'6.7'!H14</f>
        <v>-7.6857190450314916E-2</v>
      </c>
      <c r="G19" s="347">
        <v>0.17419354838709677</v>
      </c>
      <c r="H19" s="348">
        <v>7.8</v>
      </c>
      <c r="I19" s="348">
        <v>-5.9</v>
      </c>
      <c r="J19" s="348">
        <v>-2.5</v>
      </c>
      <c r="K19" s="347">
        <v>2.6741935483870969</v>
      </c>
      <c r="L19" s="94"/>
      <c r="N19" s="94"/>
      <c r="O19" s="94"/>
      <c r="P19" s="94"/>
    </row>
    <row r="20" spans="1:16" ht="14.1" customHeight="1">
      <c r="A20" s="205" t="s">
        <v>19</v>
      </c>
      <c r="B20" s="330">
        <f>'6.7'!D44</f>
        <v>156455</v>
      </c>
      <c r="C20" s="334">
        <f>'6.7'!E44</f>
        <v>59006.3</v>
      </c>
      <c r="D20" s="330">
        <f>'6.7'!F44</f>
        <v>630310.83455000003</v>
      </c>
      <c r="E20" s="331">
        <f t="shared" si="0"/>
        <v>5.3113095743805412E-2</v>
      </c>
      <c r="F20" s="354">
        <f>'6.7'!H44</f>
        <v>-6.5181573052220707E-2</v>
      </c>
      <c r="G20" s="349">
        <v>-0.27096774193548384</v>
      </c>
      <c r="H20" s="350">
        <v>8</v>
      </c>
      <c r="I20" s="350">
        <v>-5.7</v>
      </c>
      <c r="J20" s="350">
        <v>-1.6000000000000008</v>
      </c>
      <c r="K20" s="349">
        <v>1.3290322580645169</v>
      </c>
      <c r="L20" s="94"/>
    </row>
    <row r="21" spans="1:16" ht="14.1" customHeight="1">
      <c r="A21" s="155" t="s">
        <v>0</v>
      </c>
      <c r="B21" s="157">
        <f>SUM(B7:B20)</f>
        <v>2817926</v>
      </c>
      <c r="C21" s="333">
        <f>SUM(C7:C20)</f>
        <v>1110751.502460052</v>
      </c>
      <c r="D21" s="130">
        <f>SUM(D7:D20)</f>
        <v>11867333.766240001</v>
      </c>
      <c r="E21" s="396">
        <f>SUM(E7:E20)</f>
        <v>1.0000000000000002</v>
      </c>
      <c r="F21" s="353"/>
      <c r="G21" s="276">
        <v>0.78709677419354818</v>
      </c>
      <c r="H21" s="276">
        <v>8.6</v>
      </c>
      <c r="I21" s="276">
        <v>-3.8</v>
      </c>
      <c r="J21" s="276">
        <v>-1.2258064516129035</v>
      </c>
      <c r="K21" s="276">
        <v>2.0129032258064514</v>
      </c>
    </row>
    <row r="22" spans="1:16" ht="14.1" customHeight="1">
      <c r="A22" s="205" t="s">
        <v>94</v>
      </c>
      <c r="B22" s="397"/>
      <c r="C22" s="334">
        <f>'5.1'!E13</f>
        <v>23511.330737856249</v>
      </c>
      <c r="D22" s="330">
        <f>'5.1'!F13</f>
        <v>251455.84312599999</v>
      </c>
      <c r="E22" s="397"/>
      <c r="F22" s="354">
        <f>'5.1'!H13</f>
        <v>0.10621413137289375</v>
      </c>
      <c r="G22" s="282">
        <v>0.78709677419354818</v>
      </c>
      <c r="H22" s="282">
        <v>8.6</v>
      </c>
      <c r="I22" s="282">
        <v>-3.8</v>
      </c>
      <c r="J22" s="282">
        <v>-1.2258064516129035</v>
      </c>
      <c r="K22" s="282">
        <v>2.0129032258064514</v>
      </c>
    </row>
    <row r="23" spans="1:16" ht="14.1" customHeight="1">
      <c r="A23" s="205" t="s">
        <v>55</v>
      </c>
      <c r="B23" s="162">
        <f>B21+B22</f>
        <v>2817926</v>
      </c>
      <c r="C23" s="334">
        <f>C21+C22</f>
        <v>1134262.8331979082</v>
      </c>
      <c r="D23" s="330">
        <f>D21+D22</f>
        <v>12118789.609366002</v>
      </c>
      <c r="E23" s="397"/>
      <c r="F23" s="354">
        <f>'5.1'!H14</f>
        <v>-0.10906081135943572</v>
      </c>
      <c r="G23" s="282">
        <v>0.78709677419354818</v>
      </c>
      <c r="H23" s="282">
        <v>8.6</v>
      </c>
      <c r="I23" s="282">
        <v>-3.8</v>
      </c>
      <c r="J23" s="282">
        <v>-1.2258064516129035</v>
      </c>
      <c r="K23" s="282">
        <v>2.0129032258064514</v>
      </c>
    </row>
    <row r="24" spans="1:16" ht="15" customHeight="1">
      <c r="A24" s="102"/>
      <c r="B24" s="95"/>
      <c r="C24" s="512" t="s">
        <v>249</v>
      </c>
      <c r="D24" s="512"/>
      <c r="E24" s="512"/>
      <c r="F24" s="512"/>
      <c r="G24" s="515" t="s">
        <v>247</v>
      </c>
      <c r="H24" s="515"/>
      <c r="I24" s="515"/>
      <c r="J24" s="515"/>
      <c r="K24" s="515"/>
    </row>
    <row r="25" spans="1:16" ht="15" customHeight="1">
      <c r="A25" s="95"/>
      <c r="B25" s="95"/>
      <c r="C25" s="512"/>
      <c r="D25" s="512"/>
      <c r="E25" s="512"/>
      <c r="F25" s="512"/>
      <c r="G25" s="515" t="s">
        <v>248</v>
      </c>
      <c r="H25" s="515"/>
      <c r="I25" s="515"/>
      <c r="J25" s="515"/>
      <c r="K25" s="515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75" t="s">
        <v>262</v>
      </c>
      <c r="B29" s="475"/>
      <c r="C29" s="475"/>
      <c r="D29" s="475"/>
      <c r="E29" s="475"/>
      <c r="F29" s="475" t="s">
        <v>61</v>
      </c>
      <c r="G29" s="475"/>
      <c r="H29" s="475"/>
      <c r="I29" s="475"/>
      <c r="J29" s="475"/>
      <c r="K29" s="475"/>
    </row>
    <row r="30" spans="1:16" ht="15" customHeight="1">
      <c r="A30" s="121"/>
      <c r="B30" s="513"/>
      <c r="C30" s="513"/>
      <c r="D30" s="121"/>
      <c r="E30" s="121"/>
      <c r="F30" s="121"/>
      <c r="G30" s="121"/>
      <c r="H30" s="513"/>
      <c r="I30" s="513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B30:C30"/>
    <mergeCell ref="H30:I30"/>
    <mergeCell ref="F29:K29"/>
    <mergeCell ref="A29:E29"/>
    <mergeCell ref="B5:B6"/>
    <mergeCell ref="G25:K25"/>
    <mergeCell ref="G24:K24"/>
    <mergeCell ref="A1:K1"/>
    <mergeCell ref="A3:K3"/>
    <mergeCell ref="C24:F25"/>
    <mergeCell ref="C4:F4"/>
    <mergeCell ref="G4:K4"/>
    <mergeCell ref="A2:B2"/>
    <mergeCell ref="F5:F6"/>
    <mergeCell ref="E5:E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4" t="str">
        <f>"6.9 Spotřeba zemního plynu a teplota ovzduší podle krajů: "&amp;LOWER(A3)</f>
        <v>6.9 Spotřeba zemního plynu a teplota ovzduší podle krajů: únor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ht="6" customHeight="1">
      <c r="A2" s="508"/>
      <c r="B2" s="508"/>
      <c r="C2" s="320"/>
      <c r="D2" s="321"/>
      <c r="E2" s="322"/>
      <c r="F2" s="322"/>
      <c r="G2" s="322"/>
      <c r="H2" s="322"/>
      <c r="I2" s="76"/>
      <c r="J2" s="76"/>
      <c r="K2" s="76"/>
    </row>
    <row r="3" spans="1:11" ht="20.100000000000001" customHeight="1">
      <c r="A3" s="470" t="str">
        <f>'3.1'!E5</f>
        <v>Únor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</row>
    <row r="4" spans="1:11" ht="20.100000000000001" customHeight="1">
      <c r="A4" s="129"/>
      <c r="B4" s="272">
        <f>'3.1'!A4</f>
        <v>2022</v>
      </c>
      <c r="C4" s="527" t="s">
        <v>60</v>
      </c>
      <c r="D4" s="528"/>
      <c r="E4" s="528"/>
      <c r="F4" s="529"/>
      <c r="G4" s="530" t="s">
        <v>187</v>
      </c>
      <c r="H4" s="530"/>
      <c r="I4" s="530"/>
      <c r="J4" s="530"/>
      <c r="K4" s="530"/>
    </row>
    <row r="5" spans="1:11" ht="49.5" customHeight="1">
      <c r="A5" s="292"/>
      <c r="B5" s="487" t="s">
        <v>186</v>
      </c>
      <c r="C5" s="374"/>
      <c r="D5" s="375"/>
      <c r="E5" s="487" t="s">
        <v>285</v>
      </c>
      <c r="F5" s="509" t="s">
        <v>288</v>
      </c>
      <c r="G5" s="398" t="s">
        <v>62</v>
      </c>
      <c r="H5" s="398" t="s">
        <v>174</v>
      </c>
      <c r="I5" s="398" t="s">
        <v>175</v>
      </c>
      <c r="J5" s="398" t="s">
        <v>290</v>
      </c>
      <c r="K5" s="398" t="s">
        <v>291</v>
      </c>
    </row>
    <row r="6" spans="1:11" ht="15" customHeight="1">
      <c r="A6" s="222" t="s">
        <v>188</v>
      </c>
      <c r="B6" s="474"/>
      <c r="C6" s="224" t="s">
        <v>267</v>
      </c>
      <c r="D6" s="222" t="s">
        <v>268</v>
      </c>
      <c r="E6" s="474"/>
      <c r="F6" s="510"/>
      <c r="G6" s="222" t="s">
        <v>235</v>
      </c>
      <c r="H6" s="222" t="s">
        <v>235</v>
      </c>
      <c r="I6" s="222" t="s">
        <v>235</v>
      </c>
      <c r="J6" s="222" t="s">
        <v>235</v>
      </c>
      <c r="K6" s="222" t="s">
        <v>235</v>
      </c>
    </row>
    <row r="7" spans="1:11" ht="14.1" customHeight="1">
      <c r="A7" s="155" t="s">
        <v>8</v>
      </c>
      <c r="B7" s="130">
        <f>'6.1'!D20</f>
        <v>105178</v>
      </c>
      <c r="C7" s="333">
        <f>'6.1'!E20</f>
        <v>31696.996150000003</v>
      </c>
      <c r="D7" s="130">
        <f>'6.1'!F20</f>
        <v>339014.19744999998</v>
      </c>
      <c r="E7" s="327">
        <f>D7/$D$21</f>
        <v>3.6491164672025865E-2</v>
      </c>
      <c r="F7" s="353">
        <f>'6.1'!H20</f>
        <v>-0.13100739935980382</v>
      </c>
      <c r="G7" s="347">
        <v>2.7714285714285718</v>
      </c>
      <c r="H7" s="348">
        <v>7.1</v>
      </c>
      <c r="I7" s="348">
        <v>-3.4</v>
      </c>
      <c r="J7" s="348">
        <v>-0.80000000000000038</v>
      </c>
      <c r="K7" s="347">
        <v>3.5714285714285721</v>
      </c>
    </row>
    <row r="8" spans="1:11" ht="14.1" customHeight="1">
      <c r="A8" s="155" t="s">
        <v>9</v>
      </c>
      <c r="B8" s="130">
        <f>'6.1'!D50</f>
        <v>382129</v>
      </c>
      <c r="C8" s="333">
        <f>'6.1'!E50</f>
        <v>121742.70000000001</v>
      </c>
      <c r="D8" s="130">
        <f>'6.1'!F50</f>
        <v>1302011.8568399998</v>
      </c>
      <c r="E8" s="327">
        <f t="shared" ref="E8:E20" si="0">D8/$D$21</f>
        <v>0.14014731368259575</v>
      </c>
      <c r="F8" s="353">
        <f>'6.1'!H50</f>
        <v>-0.19482181512264887</v>
      </c>
      <c r="G8" s="347">
        <v>4.1785714285714279</v>
      </c>
      <c r="H8" s="348">
        <v>8.5</v>
      </c>
      <c r="I8" s="348">
        <v>0</v>
      </c>
      <c r="J8" s="348">
        <v>-0.10000000000000005</v>
      </c>
      <c r="K8" s="347">
        <v>4.2785714285714276</v>
      </c>
    </row>
    <row r="9" spans="1:11" ht="14.1" customHeight="1">
      <c r="A9" s="155" t="s">
        <v>10</v>
      </c>
      <c r="B9" s="130">
        <f>'6.2'!D20</f>
        <v>84031</v>
      </c>
      <c r="C9" s="333">
        <f>'6.2'!E20</f>
        <v>22940.2</v>
      </c>
      <c r="D9" s="130">
        <f>'6.2'!F20</f>
        <v>245340.21466000003</v>
      </c>
      <c r="E9" s="327">
        <f t="shared" si="0"/>
        <v>2.6408186563185589E-2</v>
      </c>
      <c r="F9" s="353">
        <f>'6.2'!H20</f>
        <v>-0.64948377998041151</v>
      </c>
      <c r="G9" s="347">
        <v>1.7642857142857142</v>
      </c>
      <c r="H9" s="348">
        <v>4.8</v>
      </c>
      <c r="I9" s="348">
        <v>-2</v>
      </c>
      <c r="J9" s="348">
        <v>-1.1000000000000005</v>
      </c>
      <c r="K9" s="347">
        <v>2.8642857142857148</v>
      </c>
    </row>
    <row r="10" spans="1:11" ht="14.1" customHeight="1">
      <c r="A10" s="155" t="s">
        <v>92</v>
      </c>
      <c r="B10" s="130">
        <f>'6.2'!D50</f>
        <v>117855</v>
      </c>
      <c r="C10" s="333">
        <f>'6.2'!E50</f>
        <v>37784.6</v>
      </c>
      <c r="D10" s="130">
        <f>'6.2'!F50</f>
        <v>404098.56219000008</v>
      </c>
      <c r="E10" s="327">
        <f t="shared" si="0"/>
        <v>4.3496783578743835E-2</v>
      </c>
      <c r="F10" s="353">
        <f>'6.2'!H50</f>
        <v>-0.19239170859534299</v>
      </c>
      <c r="G10" s="347">
        <v>2.6821428571428569</v>
      </c>
      <c r="H10" s="348">
        <v>6.5</v>
      </c>
      <c r="I10" s="348">
        <v>-2.1</v>
      </c>
      <c r="J10" s="348">
        <v>-1.1000000000000005</v>
      </c>
      <c r="K10" s="347">
        <v>3.7821428571428575</v>
      </c>
    </row>
    <row r="11" spans="1:11" ht="14.1" customHeight="1">
      <c r="A11" s="155" t="s">
        <v>11</v>
      </c>
      <c r="B11" s="130">
        <f>'6.3'!D20</f>
        <v>93078</v>
      </c>
      <c r="C11" s="333">
        <f>'6.3'!E20</f>
        <v>36916.5</v>
      </c>
      <c r="D11" s="130">
        <f>'6.3'!F20</f>
        <v>394815.80985000002</v>
      </c>
      <c r="E11" s="327">
        <f t="shared" si="0"/>
        <v>4.2497596975951082E-2</v>
      </c>
      <c r="F11" s="353">
        <f>'6.3'!H20</f>
        <v>-0.19104144662164246</v>
      </c>
      <c r="G11" s="347">
        <v>3.0392857142857141</v>
      </c>
      <c r="H11" s="348">
        <v>6.4</v>
      </c>
      <c r="I11" s="348">
        <v>-2</v>
      </c>
      <c r="J11" s="348">
        <v>-0.69999999999999962</v>
      </c>
      <c r="K11" s="347">
        <v>3.7392857142857139</v>
      </c>
    </row>
    <row r="12" spans="1:11" ht="14.1" customHeight="1">
      <c r="A12" s="155" t="s">
        <v>12</v>
      </c>
      <c r="B12" s="130">
        <f>'6.3'!D50</f>
        <v>377320</v>
      </c>
      <c r="C12" s="333">
        <f>'6.3'!E50</f>
        <v>93022.157000000007</v>
      </c>
      <c r="D12" s="130">
        <f>'6.3'!F50</f>
        <v>994647.18639000005</v>
      </c>
      <c r="E12" s="327">
        <f t="shared" si="0"/>
        <v>0.10706287389181642</v>
      </c>
      <c r="F12" s="353">
        <f>'6.3'!H50</f>
        <v>-0.16891665813073384</v>
      </c>
      <c r="G12" s="347">
        <v>3.2714285714285709</v>
      </c>
      <c r="H12" s="348">
        <v>7.3</v>
      </c>
      <c r="I12" s="348">
        <v>-1.3</v>
      </c>
      <c r="J12" s="348">
        <v>-0.80000000000000038</v>
      </c>
      <c r="K12" s="347">
        <v>4.0714285714285712</v>
      </c>
    </row>
    <row r="13" spans="1:11" ht="14.1" customHeight="1">
      <c r="A13" s="155" t="s">
        <v>13</v>
      </c>
      <c r="B13" s="130">
        <f>'6.4'!D20</f>
        <v>186776</v>
      </c>
      <c r="C13" s="333">
        <f>'6.4'!E20</f>
        <v>53134.6</v>
      </c>
      <c r="D13" s="130">
        <f>'6.4'!F20</f>
        <v>568263.20821999991</v>
      </c>
      <c r="E13" s="327">
        <f t="shared" si="0"/>
        <v>6.116730940528857E-2</v>
      </c>
      <c r="F13" s="353">
        <f>'6.4'!H20</f>
        <v>-0.20100989140208911</v>
      </c>
      <c r="G13" s="347">
        <v>2.8714285714285714</v>
      </c>
      <c r="H13" s="348">
        <v>6.9</v>
      </c>
      <c r="I13" s="348">
        <v>-1.4</v>
      </c>
      <c r="J13" s="348">
        <v>-1.2</v>
      </c>
      <c r="K13" s="347">
        <v>4.0714285714285712</v>
      </c>
    </row>
    <row r="14" spans="1:11" ht="14.1" customHeight="1">
      <c r="A14" s="155" t="s">
        <v>14</v>
      </c>
      <c r="B14" s="130">
        <f>'6.4'!D50</f>
        <v>136574</v>
      </c>
      <c r="C14" s="333">
        <f>'6.4'!E50</f>
        <v>41668.699999999997</v>
      </c>
      <c r="D14" s="130">
        <f>'6.4'!F50</f>
        <v>445637.76092000003</v>
      </c>
      <c r="E14" s="327">
        <f t="shared" si="0"/>
        <v>4.7968023286703257E-2</v>
      </c>
      <c r="F14" s="353">
        <f>'6.4'!H50</f>
        <v>-0.168048636831019</v>
      </c>
      <c r="G14" s="347">
        <v>3.1785714285714284</v>
      </c>
      <c r="H14" s="348">
        <v>7.4</v>
      </c>
      <c r="I14" s="348">
        <v>-1.9</v>
      </c>
      <c r="J14" s="348">
        <v>-0.3</v>
      </c>
      <c r="K14" s="347">
        <v>3.4785714285714282</v>
      </c>
    </row>
    <row r="15" spans="1:11" ht="14.1" customHeight="1">
      <c r="A15" s="155" t="s">
        <v>15</v>
      </c>
      <c r="B15" s="130">
        <f>'6.5'!D20</f>
        <v>159952</v>
      </c>
      <c r="C15" s="333">
        <f>'6.5'!E20</f>
        <v>42496.800000000003</v>
      </c>
      <c r="D15" s="130">
        <f>'6.5'!F20</f>
        <v>454493.27653000009</v>
      </c>
      <c r="E15" s="327">
        <f t="shared" si="0"/>
        <v>4.8921222535616329E-2</v>
      </c>
      <c r="F15" s="353">
        <f>'6.5'!H20</f>
        <v>-0.16014727185411942</v>
      </c>
      <c r="G15" s="347">
        <v>3.2642857142857147</v>
      </c>
      <c r="H15" s="348">
        <v>8.1999999999999993</v>
      </c>
      <c r="I15" s="348">
        <v>-2</v>
      </c>
      <c r="J15" s="348">
        <v>-0.6</v>
      </c>
      <c r="K15" s="347">
        <v>3.8642857142857148</v>
      </c>
    </row>
    <row r="16" spans="1:11" ht="14.1" customHeight="1">
      <c r="A16" s="155" t="s">
        <v>1</v>
      </c>
      <c r="B16" s="130">
        <f>'6.5'!D50</f>
        <v>413996</v>
      </c>
      <c r="C16" s="333">
        <f>'6.5'!E50</f>
        <v>100771.986728381</v>
      </c>
      <c r="D16" s="130">
        <f>'6.5'!F50</f>
        <v>1080729.21725</v>
      </c>
      <c r="E16" s="327">
        <f t="shared" si="0"/>
        <v>0.11632866154036454</v>
      </c>
      <c r="F16" s="353">
        <f>'6.5'!H50</f>
        <v>-0.21517831077780555</v>
      </c>
      <c r="G16" s="347">
        <v>5.1678571428571436</v>
      </c>
      <c r="H16" s="348">
        <v>8.6</v>
      </c>
      <c r="I16" s="348">
        <v>-0.4</v>
      </c>
      <c r="J16" s="348">
        <v>0.69999999999999962</v>
      </c>
      <c r="K16" s="347">
        <v>4.4678571428571443</v>
      </c>
    </row>
    <row r="17" spans="1:16" ht="14.1" customHeight="1">
      <c r="A17" s="155" t="s">
        <v>16</v>
      </c>
      <c r="B17" s="130">
        <f>'6.6'!D20</f>
        <v>260858</v>
      </c>
      <c r="C17" s="333">
        <f>'6.6'!E20</f>
        <v>113122.25499999999</v>
      </c>
      <c r="D17" s="130">
        <f>'6.6'!F20</f>
        <v>1209839.1711969997</v>
      </c>
      <c r="E17" s="327">
        <f t="shared" si="0"/>
        <v>0.13022593376588101</v>
      </c>
      <c r="F17" s="353">
        <f>'6.6'!H20</f>
        <v>-0.19035823629241622</v>
      </c>
      <c r="G17" s="347">
        <v>4.0964285714285715</v>
      </c>
      <c r="H17" s="348">
        <v>7.8</v>
      </c>
      <c r="I17" s="348">
        <v>-2.2000000000000002</v>
      </c>
      <c r="J17" s="348">
        <v>0.20000000000000009</v>
      </c>
      <c r="K17" s="347">
        <v>3.8964285714285714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'6.6'!D50</f>
        <v>222081</v>
      </c>
      <c r="C18" s="333">
        <f>'6.6'!E50</f>
        <v>89484.081999999995</v>
      </c>
      <c r="D18" s="130">
        <f>'6.6'!F50</f>
        <v>957177.56342000014</v>
      </c>
      <c r="E18" s="327">
        <f t="shared" si="0"/>
        <v>0.10302967943482425</v>
      </c>
      <c r="F18" s="353">
        <f>'6.6'!H50</f>
        <v>-0.38942912303054672</v>
      </c>
      <c r="G18" s="347">
        <v>3.8464285714285706</v>
      </c>
      <c r="H18" s="348">
        <v>7.3</v>
      </c>
      <c r="I18" s="348">
        <v>-0.7</v>
      </c>
      <c r="J18" s="348">
        <v>0.40000000000000019</v>
      </c>
      <c r="K18" s="347">
        <v>3.4464285714285703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'6.7'!D20</f>
        <v>120164</v>
      </c>
      <c r="C19" s="333">
        <f>'6.7'!E20</f>
        <v>37061.16085</v>
      </c>
      <c r="D19" s="130">
        <f>'6.7'!F20</f>
        <v>396364.24987000006</v>
      </c>
      <c r="E19" s="327">
        <f t="shared" si="0"/>
        <v>4.2664269581935116E-2</v>
      </c>
      <c r="F19" s="353">
        <f>'6.7'!H20</f>
        <v>-0.1982498226320665</v>
      </c>
      <c r="G19" s="347">
        <v>2.4285714285714284</v>
      </c>
      <c r="H19" s="348">
        <v>6.2</v>
      </c>
      <c r="I19" s="348">
        <v>-2.6</v>
      </c>
      <c r="J19" s="348">
        <v>-1.2999999999999998</v>
      </c>
      <c r="K19" s="347">
        <v>3.7285714285714282</v>
      </c>
      <c r="L19" s="94"/>
      <c r="N19" s="94"/>
      <c r="O19" s="94"/>
      <c r="P19" s="94"/>
    </row>
    <row r="20" spans="1:16" ht="14.1" customHeight="1">
      <c r="A20" s="205" t="s">
        <v>19</v>
      </c>
      <c r="B20" s="330">
        <f>'6.7'!D50</f>
        <v>156353</v>
      </c>
      <c r="C20" s="334">
        <f>'6.7'!E50</f>
        <v>46553.200000000004</v>
      </c>
      <c r="D20" s="330">
        <f>'6.7'!F50</f>
        <v>497876.77665000001</v>
      </c>
      <c r="E20" s="331">
        <f t="shared" si="0"/>
        <v>5.35909810850684E-2</v>
      </c>
      <c r="F20" s="354">
        <f>'6.7'!H50</f>
        <v>-0.19457713448339686</v>
      </c>
      <c r="G20" s="349">
        <v>2.4392857142857141</v>
      </c>
      <c r="H20" s="350">
        <v>5.6</v>
      </c>
      <c r="I20" s="350">
        <v>-1</v>
      </c>
      <c r="J20" s="350">
        <v>-0.10000000000000005</v>
      </c>
      <c r="K20" s="349">
        <v>2.5392857142857141</v>
      </c>
      <c r="L20" s="94"/>
    </row>
    <row r="21" spans="1:16" ht="14.1" customHeight="1">
      <c r="A21" s="155" t="s">
        <v>0</v>
      </c>
      <c r="B21" s="157">
        <f>SUM(B7:B20)</f>
        <v>2816345</v>
      </c>
      <c r="C21" s="333">
        <f>SUM(C7:C20)</f>
        <v>868395.9377283809</v>
      </c>
      <c r="D21" s="130">
        <f>SUM(D7:D20)</f>
        <v>9290309.0514369998</v>
      </c>
      <c r="E21" s="396">
        <f>SUM(E7:E20)</f>
        <v>1</v>
      </c>
      <c r="F21" s="353"/>
      <c r="G21" s="276">
        <v>3.0892857142857144</v>
      </c>
      <c r="H21" s="276">
        <v>6.7</v>
      </c>
      <c r="I21" s="276">
        <v>-2</v>
      </c>
      <c r="J21" s="276">
        <v>-0.15517241379310354</v>
      </c>
      <c r="K21" s="276">
        <v>3.2444581280788181</v>
      </c>
    </row>
    <row r="22" spans="1:16" ht="14.1" customHeight="1">
      <c r="A22" s="205" t="s">
        <v>94</v>
      </c>
      <c r="B22" s="397"/>
      <c r="C22" s="334">
        <f>'5.1'!E20</f>
        <v>22104.462365356801</v>
      </c>
      <c r="D22" s="330">
        <f>'5.1'!F20</f>
        <v>236659.74078100003</v>
      </c>
      <c r="E22" s="397"/>
      <c r="F22" s="354">
        <f>'5.1'!H20</f>
        <v>1.1910028181447724E-2</v>
      </c>
      <c r="G22" s="282">
        <v>3.0892857142857144</v>
      </c>
      <c r="H22" s="282">
        <v>6.7</v>
      </c>
      <c r="I22" s="282">
        <v>-2</v>
      </c>
      <c r="J22" s="282">
        <v>-0.15517241379310354</v>
      </c>
      <c r="K22" s="282">
        <v>3.2444581280788181</v>
      </c>
    </row>
    <row r="23" spans="1:16" ht="14.1" customHeight="1">
      <c r="A23" s="205" t="s">
        <v>55</v>
      </c>
      <c r="B23" s="162">
        <f>B21+B22</f>
        <v>2816345</v>
      </c>
      <c r="C23" s="334">
        <f t="shared" ref="C23:D23" si="1">C21+C22</f>
        <v>890500.40009373776</v>
      </c>
      <c r="D23" s="330">
        <f t="shared" si="1"/>
        <v>9526968.7922179997</v>
      </c>
      <c r="E23" s="397"/>
      <c r="F23" s="354">
        <f>'5.1'!H21</f>
        <v>-0.23575760835301951</v>
      </c>
      <c r="G23" s="282">
        <v>3.0892857142857144</v>
      </c>
      <c r="H23" s="282">
        <v>6.7</v>
      </c>
      <c r="I23" s="282">
        <v>-2</v>
      </c>
      <c r="J23" s="282">
        <v>-0.15517241379310354</v>
      </c>
      <c r="K23" s="282">
        <v>3.2444581280788181</v>
      </c>
    </row>
    <row r="24" spans="1:16" ht="15" customHeight="1">
      <c r="A24" s="102"/>
      <c r="B24" s="95"/>
      <c r="C24" s="512" t="s">
        <v>249</v>
      </c>
      <c r="D24" s="512"/>
      <c r="E24" s="512"/>
      <c r="F24" s="512"/>
      <c r="G24" s="515" t="s">
        <v>247</v>
      </c>
      <c r="H24" s="515"/>
      <c r="I24" s="515"/>
      <c r="J24" s="515"/>
      <c r="K24" s="515"/>
    </row>
    <row r="25" spans="1:16" ht="15" customHeight="1">
      <c r="A25" s="95"/>
      <c r="B25" s="95"/>
      <c r="C25" s="512"/>
      <c r="D25" s="512"/>
      <c r="E25" s="512"/>
      <c r="F25" s="512"/>
      <c r="G25" s="515" t="s">
        <v>248</v>
      </c>
      <c r="H25" s="515"/>
      <c r="I25" s="515"/>
      <c r="J25" s="515"/>
      <c r="K25" s="515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75" t="s">
        <v>262</v>
      </c>
      <c r="B29" s="475"/>
      <c r="C29" s="475"/>
      <c r="D29" s="475"/>
      <c r="E29" s="475"/>
      <c r="F29" s="475" t="s">
        <v>61</v>
      </c>
      <c r="G29" s="475"/>
      <c r="H29" s="475"/>
      <c r="I29" s="475"/>
      <c r="J29" s="475"/>
      <c r="K29" s="475"/>
    </row>
    <row r="30" spans="1:16" ht="15" customHeight="1">
      <c r="A30" s="121"/>
      <c r="B30" s="513"/>
      <c r="C30" s="513"/>
      <c r="D30" s="121"/>
      <c r="E30" s="121"/>
      <c r="F30" s="121"/>
      <c r="G30" s="121"/>
      <c r="H30" s="513"/>
      <c r="I30" s="513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>
      <selection activeCell="C1" sqref="C1"/>
    </sheetView>
  </sheetViews>
  <sheetFormatPr defaultColWidth="9.140625" defaultRowHeight="11.25"/>
  <cols>
    <col min="1" max="1" width="90.28515625" style="4" customWidth="1"/>
    <col min="2" max="2" width="9.140625" style="2" customWidth="1"/>
    <col min="3" max="4" width="9.140625" style="4" customWidth="1"/>
    <col min="5" max="5" width="9.140625" style="4"/>
    <col min="6" max="6" width="9.140625" style="4" customWidth="1"/>
    <col min="7" max="8" width="9.140625" style="4"/>
    <col min="9" max="9" width="9.140625" style="4" customWidth="1"/>
    <col min="10" max="16384" width="9.140625" style="4"/>
  </cols>
  <sheetData>
    <row r="1" spans="1:4" ht="20.25">
      <c r="A1" s="45" t="s">
        <v>251</v>
      </c>
      <c r="C1" s="3"/>
      <c r="D1" s="3"/>
    </row>
    <row r="2" spans="1:4" s="6" customFormat="1" ht="6" customHeight="1">
      <c r="A2" s="5"/>
      <c r="B2" s="5"/>
      <c r="C2" s="5"/>
      <c r="D2" s="5"/>
    </row>
    <row r="3" spans="1:4" ht="11.25" customHeight="1">
      <c r="A3" s="416" t="s">
        <v>298</v>
      </c>
      <c r="B3" s="416"/>
    </row>
    <row r="4" spans="1:4" ht="11.25" customHeight="1">
      <c r="A4" s="416"/>
      <c r="B4" s="416"/>
    </row>
    <row r="5" spans="1:4" ht="11.25" customHeight="1">
      <c r="A5" s="416"/>
      <c r="B5" s="416"/>
      <c r="C5" s="7"/>
      <c r="D5" s="7"/>
    </row>
    <row r="6" spans="1:4" ht="11.25" customHeight="1">
      <c r="A6" s="416"/>
      <c r="B6" s="416"/>
      <c r="C6" s="7"/>
      <c r="D6" s="7"/>
    </row>
    <row r="7" spans="1:4" ht="11.25" customHeight="1">
      <c r="A7" s="416"/>
      <c r="B7" s="416"/>
      <c r="C7" s="8"/>
      <c r="D7" s="7"/>
    </row>
    <row r="8" spans="1:4" ht="11.25" customHeight="1">
      <c r="A8" s="416"/>
      <c r="B8" s="416"/>
      <c r="C8" s="7"/>
      <c r="D8" s="7"/>
    </row>
    <row r="9" spans="1:4" ht="11.25" customHeight="1">
      <c r="A9" s="416"/>
      <c r="B9" s="416"/>
      <c r="C9" s="7"/>
      <c r="D9" s="7"/>
    </row>
    <row r="10" spans="1:4" ht="11.25" customHeight="1">
      <c r="A10" s="416"/>
      <c r="B10" s="416"/>
      <c r="C10" s="7"/>
      <c r="D10" s="7"/>
    </row>
    <row r="11" spans="1:4" ht="11.25" customHeight="1">
      <c r="A11" s="416"/>
      <c r="B11" s="416"/>
      <c r="C11" s="7"/>
      <c r="D11" s="7"/>
    </row>
    <row r="12" spans="1:4" ht="11.25" customHeight="1">
      <c r="A12" s="416"/>
      <c r="B12" s="416"/>
      <c r="C12" s="7"/>
      <c r="D12" s="7"/>
    </row>
    <row r="13" spans="1:4" ht="11.25" customHeight="1">
      <c r="A13" s="416"/>
      <c r="B13" s="416"/>
      <c r="C13" s="7"/>
      <c r="D13" s="7"/>
    </row>
    <row r="14" spans="1:4" ht="11.25" customHeight="1">
      <c r="A14" s="416"/>
      <c r="B14" s="416"/>
      <c r="C14" s="7"/>
      <c r="D14" s="7"/>
    </row>
    <row r="15" spans="1:4" ht="11.25" customHeight="1">
      <c r="A15" s="416"/>
      <c r="B15" s="416"/>
      <c r="C15" s="7"/>
      <c r="D15" s="7"/>
    </row>
    <row r="16" spans="1:4" ht="11.25" customHeight="1">
      <c r="A16" s="416"/>
      <c r="B16" s="416"/>
      <c r="C16" s="7"/>
      <c r="D16" s="7"/>
    </row>
    <row r="17" spans="1:6" ht="11.25" customHeight="1">
      <c r="A17" s="416"/>
      <c r="B17" s="416"/>
      <c r="C17" s="7"/>
      <c r="D17" s="7"/>
    </row>
    <row r="18" spans="1:6" ht="11.25" customHeight="1">
      <c r="A18" s="416"/>
      <c r="B18" s="416"/>
      <c r="C18" s="7"/>
      <c r="D18" s="7"/>
      <c r="F18" s="2"/>
    </row>
    <row r="19" spans="1:6" ht="11.25" customHeight="1">
      <c r="A19" s="416"/>
      <c r="B19" s="416"/>
      <c r="C19" s="7"/>
      <c r="D19" s="7"/>
      <c r="F19" s="2"/>
    </row>
    <row r="20" spans="1:6" ht="11.25" customHeight="1">
      <c r="A20" s="416"/>
      <c r="B20" s="416"/>
      <c r="C20" s="7"/>
      <c r="D20" s="7"/>
      <c r="F20" s="2"/>
    </row>
    <row r="21" spans="1:6" ht="11.25" customHeight="1">
      <c r="A21" s="416"/>
      <c r="B21" s="416"/>
      <c r="C21" s="7"/>
      <c r="D21" s="7"/>
      <c r="F21" s="2"/>
    </row>
    <row r="22" spans="1:6" ht="11.25" customHeight="1">
      <c r="A22" s="416"/>
      <c r="B22" s="416"/>
      <c r="C22" s="7"/>
      <c r="D22" s="7"/>
      <c r="F22" s="2"/>
    </row>
    <row r="23" spans="1:6" ht="11.25" customHeight="1">
      <c r="A23" s="416"/>
      <c r="B23" s="416"/>
      <c r="C23" s="7"/>
      <c r="D23" s="7"/>
      <c r="F23" s="2"/>
    </row>
    <row r="24" spans="1:6" ht="11.25" customHeight="1">
      <c r="A24" s="416"/>
      <c r="B24" s="416"/>
      <c r="C24" s="7"/>
      <c r="D24" s="7"/>
      <c r="F24" s="2"/>
    </row>
    <row r="25" spans="1:6" ht="11.25" customHeight="1">
      <c r="A25" s="416"/>
      <c r="B25" s="416"/>
      <c r="C25" s="7"/>
      <c r="D25" s="7"/>
      <c r="F25" s="2"/>
    </row>
    <row r="26" spans="1:6" ht="11.25" customHeight="1">
      <c r="A26" s="416"/>
      <c r="B26" s="416"/>
      <c r="C26" s="7"/>
      <c r="D26" s="7"/>
      <c r="F26" s="2"/>
    </row>
    <row r="27" spans="1:6" ht="11.25" customHeight="1">
      <c r="A27" s="416"/>
      <c r="B27" s="416"/>
      <c r="C27" s="7"/>
      <c r="D27" s="7"/>
      <c r="F27" s="2"/>
    </row>
    <row r="28" spans="1:6" ht="11.25" customHeight="1">
      <c r="A28" s="416"/>
      <c r="B28" s="416"/>
      <c r="C28" s="9"/>
      <c r="D28" s="9"/>
      <c r="F28" s="2"/>
    </row>
    <row r="29" spans="1:6" ht="11.25" customHeight="1">
      <c r="A29" s="416"/>
      <c r="B29" s="416"/>
      <c r="C29" s="7"/>
      <c r="D29" s="7"/>
      <c r="F29" s="2"/>
    </row>
    <row r="30" spans="1:6" ht="11.25" customHeight="1">
      <c r="A30" s="416"/>
      <c r="B30" s="416"/>
      <c r="C30" s="7"/>
      <c r="D30" s="7"/>
    </row>
    <row r="31" spans="1:6" ht="11.25" customHeight="1">
      <c r="A31" s="416"/>
      <c r="B31" s="416"/>
      <c r="C31" s="7"/>
      <c r="D31" s="7"/>
    </row>
    <row r="32" spans="1:6" ht="11.25" customHeight="1">
      <c r="A32" s="416"/>
      <c r="B32" s="416"/>
      <c r="C32" s="7"/>
      <c r="D32" s="7"/>
    </row>
    <row r="33" spans="1:4" ht="11.25" customHeight="1">
      <c r="A33" s="416"/>
      <c r="B33" s="416"/>
      <c r="C33" s="7"/>
      <c r="D33" s="7"/>
    </row>
    <row r="34" spans="1:4" ht="11.25" customHeight="1">
      <c r="A34" s="416"/>
      <c r="B34" s="416"/>
      <c r="C34" s="7"/>
      <c r="D34" s="7"/>
    </row>
    <row r="35" spans="1:4" ht="11.25" customHeight="1">
      <c r="A35" s="416"/>
      <c r="B35" s="416"/>
      <c r="C35" s="7"/>
      <c r="D35" s="7"/>
    </row>
    <row r="36" spans="1:4" ht="11.25" customHeight="1">
      <c r="A36" s="416"/>
      <c r="B36" s="416"/>
      <c r="C36" s="7"/>
      <c r="D36" s="7"/>
    </row>
    <row r="37" spans="1:4" ht="11.25" customHeight="1">
      <c r="A37" s="416"/>
      <c r="B37" s="416"/>
      <c r="C37" s="10"/>
      <c r="D37" s="10"/>
    </row>
    <row r="38" spans="1:4" ht="11.25" customHeight="1">
      <c r="A38" s="416"/>
      <c r="B38" s="416"/>
    </row>
    <row r="39" spans="1:4" ht="11.25" customHeight="1">
      <c r="A39" s="416"/>
      <c r="B39" s="416"/>
    </row>
    <row r="40" spans="1:4" ht="11.25" customHeight="1">
      <c r="A40" s="416"/>
      <c r="B40" s="416"/>
    </row>
    <row r="41" spans="1:4" ht="11.25" customHeight="1">
      <c r="A41" s="416"/>
      <c r="B41" s="416"/>
    </row>
    <row r="42" spans="1:4" ht="11.25" customHeight="1">
      <c r="A42" s="416"/>
      <c r="B42" s="416"/>
    </row>
    <row r="43" spans="1:4" ht="11.25" customHeight="1">
      <c r="A43" s="416"/>
      <c r="B43" s="416"/>
    </row>
    <row r="44" spans="1:4" ht="11.25" customHeight="1">
      <c r="A44" s="416"/>
      <c r="B44" s="416"/>
    </row>
    <row r="45" spans="1:4" ht="11.25" customHeight="1">
      <c r="A45" s="416"/>
      <c r="B45" s="416"/>
    </row>
    <row r="46" spans="1:4" ht="11.25" customHeight="1">
      <c r="A46" s="416"/>
      <c r="B46" s="416"/>
    </row>
    <row r="47" spans="1:4" ht="11.25" customHeight="1">
      <c r="A47" s="416"/>
      <c r="B47" s="416"/>
    </row>
    <row r="48" spans="1:4" ht="11.25" customHeight="1">
      <c r="A48" s="416"/>
      <c r="B48" s="416"/>
    </row>
    <row r="49" spans="1:2" ht="11.25" customHeight="1">
      <c r="A49" s="416"/>
      <c r="B49" s="416"/>
    </row>
    <row r="50" spans="1:2" ht="11.25" customHeight="1">
      <c r="A50" s="416"/>
      <c r="B50" s="416"/>
    </row>
    <row r="51" spans="1:2" ht="11.25" customHeight="1">
      <c r="A51" s="416"/>
      <c r="B51" s="416"/>
    </row>
    <row r="52" spans="1:2" ht="11.25" customHeight="1">
      <c r="A52" s="416"/>
      <c r="B52" s="416"/>
    </row>
    <row r="53" spans="1:2" ht="11.25" customHeight="1">
      <c r="A53" s="416"/>
      <c r="B53" s="416"/>
    </row>
    <row r="54" spans="1:2" ht="11.25" customHeight="1">
      <c r="A54" s="416"/>
      <c r="B54" s="416"/>
    </row>
    <row r="55" spans="1:2" ht="11.25" customHeight="1">
      <c r="A55" s="416"/>
      <c r="B55" s="416"/>
    </row>
    <row r="56" spans="1:2" ht="11.25" customHeight="1">
      <c r="A56" s="416"/>
      <c r="B56" s="416"/>
    </row>
    <row r="57" spans="1:2" ht="11.25" customHeight="1">
      <c r="A57" s="416"/>
      <c r="B57" s="416"/>
    </row>
    <row r="58" spans="1:2" ht="11.25" customHeight="1">
      <c r="A58" s="416"/>
      <c r="B58" s="416"/>
    </row>
    <row r="59" spans="1:2" ht="11.25" customHeight="1">
      <c r="A59" s="416"/>
      <c r="B59" s="416"/>
    </row>
    <row r="60" spans="1:2" ht="11.25" customHeight="1">
      <c r="A60" s="416"/>
      <c r="B60" s="416"/>
    </row>
    <row r="61" spans="1:2" ht="11.25" customHeight="1">
      <c r="A61" s="416"/>
      <c r="B61" s="416"/>
    </row>
    <row r="62" spans="1:2" ht="11.25" customHeight="1">
      <c r="A62" s="416"/>
      <c r="B62" s="416"/>
    </row>
    <row r="63" spans="1:2" ht="11.25" customHeight="1">
      <c r="A63" s="416"/>
      <c r="B63" s="416"/>
    </row>
    <row r="64" spans="1:2" ht="11.25" customHeight="1">
      <c r="A64" s="416"/>
      <c r="B64" s="416"/>
    </row>
    <row r="65" spans="1:2" ht="11.25" customHeight="1">
      <c r="A65" s="416"/>
      <c r="B65" s="416"/>
    </row>
    <row r="66" spans="1:2" ht="11.25" customHeight="1">
      <c r="A66" s="416"/>
      <c r="B66" s="416"/>
    </row>
    <row r="67" spans="1:2" ht="11.25" customHeight="1">
      <c r="A67" s="416"/>
      <c r="B67" s="416"/>
    </row>
    <row r="68" spans="1:2" ht="11.25" customHeight="1">
      <c r="A68" s="416"/>
      <c r="B68" s="416"/>
    </row>
    <row r="69" spans="1:2" ht="11.25" customHeight="1">
      <c r="A69" s="416"/>
      <c r="B69" s="416"/>
    </row>
    <row r="70" spans="1:2" ht="11.25" customHeight="1">
      <c r="A70" s="416"/>
      <c r="B70" s="416"/>
    </row>
    <row r="71" spans="1:2" ht="11.25" customHeight="1">
      <c r="A71" s="416"/>
      <c r="B71" s="416"/>
    </row>
    <row r="72" spans="1:2" ht="11.25" customHeight="1">
      <c r="A72" s="11"/>
      <c r="B72" s="11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4" t="str">
        <f>"6.10 Spotřeba zemního plynu a teplota ovzduší podle krajů: "&amp;LOWER(A3)</f>
        <v>6.10 Spotřeba zemního plynu a teplota ovzduší podle krajů: březen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ht="6" customHeight="1">
      <c r="A2" s="508"/>
      <c r="B2" s="508"/>
      <c r="C2" s="320"/>
      <c r="D2" s="321"/>
      <c r="E2" s="322"/>
      <c r="F2" s="322"/>
      <c r="G2" s="322"/>
      <c r="H2" s="322"/>
      <c r="I2" s="76"/>
      <c r="J2" s="76"/>
      <c r="K2" s="76"/>
    </row>
    <row r="3" spans="1:11" ht="20.100000000000001" customHeight="1">
      <c r="A3" s="470" t="str">
        <f>'3.1'!F5</f>
        <v>Březen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</row>
    <row r="4" spans="1:11" ht="20.100000000000001" customHeight="1">
      <c r="A4" s="129"/>
      <c r="B4" s="272">
        <f>'3.1'!A4</f>
        <v>2022</v>
      </c>
      <c r="C4" s="527" t="s">
        <v>60</v>
      </c>
      <c r="D4" s="528"/>
      <c r="E4" s="528"/>
      <c r="F4" s="529"/>
      <c r="G4" s="530" t="s">
        <v>187</v>
      </c>
      <c r="H4" s="530"/>
      <c r="I4" s="530"/>
      <c r="J4" s="530"/>
      <c r="K4" s="530"/>
    </row>
    <row r="5" spans="1:11" ht="49.5" customHeight="1">
      <c r="A5" s="292"/>
      <c r="B5" s="487" t="s">
        <v>186</v>
      </c>
      <c r="C5" s="374"/>
      <c r="D5" s="375"/>
      <c r="E5" s="487" t="s">
        <v>285</v>
      </c>
      <c r="F5" s="509" t="s">
        <v>288</v>
      </c>
      <c r="G5" s="398" t="s">
        <v>62</v>
      </c>
      <c r="H5" s="398" t="s">
        <v>174</v>
      </c>
      <c r="I5" s="398" t="s">
        <v>175</v>
      </c>
      <c r="J5" s="398" t="s">
        <v>290</v>
      </c>
      <c r="K5" s="398" t="s">
        <v>291</v>
      </c>
    </row>
    <row r="6" spans="1:11" ht="15" customHeight="1">
      <c r="A6" s="222" t="s">
        <v>188</v>
      </c>
      <c r="B6" s="474"/>
      <c r="C6" s="224" t="s">
        <v>267</v>
      </c>
      <c r="D6" s="222" t="s">
        <v>268</v>
      </c>
      <c r="E6" s="474"/>
      <c r="F6" s="510"/>
      <c r="G6" s="222" t="s">
        <v>235</v>
      </c>
      <c r="H6" s="222" t="s">
        <v>235</v>
      </c>
      <c r="I6" s="222" t="s">
        <v>235</v>
      </c>
      <c r="J6" s="222" t="s">
        <v>235</v>
      </c>
      <c r="K6" s="222" t="s">
        <v>235</v>
      </c>
    </row>
    <row r="7" spans="1:11" ht="14.1" customHeight="1">
      <c r="A7" s="155" t="s">
        <v>8</v>
      </c>
      <c r="B7" s="130">
        <f>'6.1'!D26</f>
        <v>105053</v>
      </c>
      <c r="C7" s="333">
        <f>'6.1'!E26</f>
        <v>31895.59232</v>
      </c>
      <c r="D7" s="130">
        <f>'6.1'!F26</f>
        <v>341010.47382999997</v>
      </c>
      <c r="E7" s="327">
        <f>D7/$D$21</f>
        <v>3.5147607684866737E-2</v>
      </c>
      <c r="F7" s="353">
        <f>'6.1'!H26</f>
        <v>-0.10312893710860092</v>
      </c>
      <c r="G7" s="347">
        <v>2.7548387096774194</v>
      </c>
      <c r="H7" s="348">
        <v>9.3000000000000007</v>
      </c>
      <c r="I7" s="348">
        <v>-2.8</v>
      </c>
      <c r="J7" s="348">
        <v>3.0999999999999988</v>
      </c>
      <c r="K7" s="347">
        <v>-0.34516129032257936</v>
      </c>
    </row>
    <row r="8" spans="1:11" ht="14.1" customHeight="1">
      <c r="A8" s="155" t="s">
        <v>9</v>
      </c>
      <c r="B8" s="130">
        <f>'6.1'!D56</f>
        <v>381820</v>
      </c>
      <c r="C8" s="333">
        <f>'6.1'!E56</f>
        <v>122851.00000000001</v>
      </c>
      <c r="D8" s="130">
        <f>'6.1'!F56</f>
        <v>1318415.1843900003</v>
      </c>
      <c r="E8" s="327">
        <f t="shared" ref="E8:E20" si="0">D8/$D$21</f>
        <v>0.13588773138332369</v>
      </c>
      <c r="F8" s="353">
        <f>'6.1'!H56</f>
        <v>-8.973299792903891E-2</v>
      </c>
      <c r="G8" s="347">
        <v>4.0999999999999996</v>
      </c>
      <c r="H8" s="348">
        <v>11.8</v>
      </c>
      <c r="I8" s="348">
        <v>-2.5</v>
      </c>
      <c r="J8" s="348">
        <v>4.2000000000000011</v>
      </c>
      <c r="K8" s="347">
        <v>-0.10000000000000142</v>
      </c>
    </row>
    <row r="9" spans="1:11" ht="14.1" customHeight="1">
      <c r="A9" s="155" t="s">
        <v>10</v>
      </c>
      <c r="B9" s="130">
        <f>'6.2'!D26</f>
        <v>83964</v>
      </c>
      <c r="C9" s="333">
        <f>'6.2'!E26</f>
        <v>22590</v>
      </c>
      <c r="D9" s="130">
        <f>'6.2'!F26</f>
        <v>242431.91138999996</v>
      </c>
      <c r="E9" s="327">
        <f t="shared" si="0"/>
        <v>2.4987214076233687E-2</v>
      </c>
      <c r="F9" s="353">
        <f>'6.2'!H26</f>
        <v>-0.66952183803790477</v>
      </c>
      <c r="G9" s="347">
        <v>2.3645161290322574</v>
      </c>
      <c r="H9" s="348">
        <v>8.1999999999999993</v>
      </c>
      <c r="I9" s="348">
        <v>-3.4</v>
      </c>
      <c r="J9" s="348">
        <v>2.7000000000000015</v>
      </c>
      <c r="K9" s="347">
        <v>-0.33548387096774412</v>
      </c>
    </row>
    <row r="10" spans="1:11" ht="14.1" customHeight="1">
      <c r="A10" s="155" t="s">
        <v>92</v>
      </c>
      <c r="B10" s="130">
        <f>'6.2'!D56</f>
        <v>117763</v>
      </c>
      <c r="C10" s="333">
        <f>'6.2'!E56</f>
        <v>37381.4</v>
      </c>
      <c r="D10" s="130">
        <f>'6.2'!F56</f>
        <v>401171.19883999991</v>
      </c>
      <c r="E10" s="327">
        <f t="shared" si="0"/>
        <v>4.134831330232161E-2</v>
      </c>
      <c r="F10" s="353">
        <f>'6.2'!H56</f>
        <v>-0.11763692284451126</v>
      </c>
      <c r="G10" s="347">
        <v>2.9387096774193546</v>
      </c>
      <c r="H10" s="348">
        <v>9.4</v>
      </c>
      <c r="I10" s="348">
        <v>-2.2999999999999998</v>
      </c>
      <c r="J10" s="348">
        <v>2.5999999999999992</v>
      </c>
      <c r="K10" s="347">
        <v>0.33870967741935543</v>
      </c>
    </row>
    <row r="11" spans="1:11" ht="14.1" customHeight="1">
      <c r="A11" s="155" t="s">
        <v>11</v>
      </c>
      <c r="B11" s="130">
        <f>'6.3'!D26</f>
        <v>93007</v>
      </c>
      <c r="C11" s="333">
        <f>'6.3'!E26</f>
        <v>36634.699999999997</v>
      </c>
      <c r="D11" s="130">
        <f>'6.3'!F26</f>
        <v>393158.70135999989</v>
      </c>
      <c r="E11" s="327">
        <f t="shared" si="0"/>
        <v>4.0522473219346863E-2</v>
      </c>
      <c r="F11" s="353">
        <f>'6.3'!H26</f>
        <v>-0.11107363578349196</v>
      </c>
      <c r="G11" s="347">
        <v>3.370967741935484</v>
      </c>
      <c r="H11" s="348">
        <v>9.1999999999999993</v>
      </c>
      <c r="I11" s="348">
        <v>-2.2999999999999998</v>
      </c>
      <c r="J11" s="348">
        <v>2.7999999999999985</v>
      </c>
      <c r="K11" s="347">
        <v>0.5709677419354855</v>
      </c>
    </row>
    <row r="12" spans="1:11" ht="14.1" customHeight="1">
      <c r="A12" s="155" t="s">
        <v>12</v>
      </c>
      <c r="B12" s="130">
        <f>'6.3'!D56</f>
        <v>376999</v>
      </c>
      <c r="C12" s="333">
        <f>'6.3'!E56</f>
        <v>93498.948000000004</v>
      </c>
      <c r="D12" s="130">
        <f>'6.3'!F56</f>
        <v>1003168.9508600002</v>
      </c>
      <c r="E12" s="327">
        <f t="shared" si="0"/>
        <v>0.10339561811829834</v>
      </c>
      <c r="F12" s="353">
        <f>'6.3'!H56</f>
        <v>-9.7295572341369624E-2</v>
      </c>
      <c r="G12" s="347">
        <v>2.9129032258064513</v>
      </c>
      <c r="H12" s="348">
        <v>10.1</v>
      </c>
      <c r="I12" s="348">
        <v>-2.2999999999999998</v>
      </c>
      <c r="J12" s="348">
        <v>2.9000000000000008</v>
      </c>
      <c r="K12" s="347">
        <v>1.2903225806450536E-2</v>
      </c>
    </row>
    <row r="13" spans="1:11" ht="14.1" customHeight="1">
      <c r="A13" s="155" t="s">
        <v>13</v>
      </c>
      <c r="B13" s="130">
        <f>'6.4'!D26</f>
        <v>186624</v>
      </c>
      <c r="C13" s="333">
        <f>'6.4'!E26</f>
        <v>55533.3</v>
      </c>
      <c r="D13" s="130">
        <f>'6.4'!F26</f>
        <v>595974.21786999993</v>
      </c>
      <c r="E13" s="327">
        <f t="shared" si="0"/>
        <v>6.1426465189548848E-2</v>
      </c>
      <c r="F13" s="353">
        <f>'6.4'!H26</f>
        <v>-5.6488401766281886E-2</v>
      </c>
      <c r="G13" s="347">
        <v>2.9645161290322584</v>
      </c>
      <c r="H13" s="348">
        <v>10.1</v>
      </c>
      <c r="I13" s="348">
        <v>-2.1</v>
      </c>
      <c r="J13" s="348">
        <v>2.5</v>
      </c>
      <c r="K13" s="347">
        <v>0.46451612903225836</v>
      </c>
    </row>
    <row r="14" spans="1:11" ht="14.1" customHeight="1">
      <c r="A14" s="155" t="s">
        <v>14</v>
      </c>
      <c r="B14" s="130">
        <f>'6.4'!D56</f>
        <v>136475</v>
      </c>
      <c r="C14" s="333">
        <f>'6.4'!E56</f>
        <v>41065.500000000007</v>
      </c>
      <c r="D14" s="130">
        <f>'6.4'!F56</f>
        <v>440708.36151999992</v>
      </c>
      <c r="E14" s="327">
        <f t="shared" si="0"/>
        <v>4.5423369024927225E-2</v>
      </c>
      <c r="F14" s="353">
        <f>'6.4'!H56</f>
        <v>-9.7191688065003917E-2</v>
      </c>
      <c r="G14" s="347">
        <v>3.1258064516129025</v>
      </c>
      <c r="H14" s="348">
        <v>10</v>
      </c>
      <c r="I14" s="348">
        <v>-2.2999999999999998</v>
      </c>
      <c r="J14" s="348">
        <v>3.5999999999999979</v>
      </c>
      <c r="K14" s="347">
        <v>-0.47419354838709538</v>
      </c>
    </row>
    <row r="15" spans="1:11" ht="14.1" customHeight="1">
      <c r="A15" s="155" t="s">
        <v>15</v>
      </c>
      <c r="B15" s="130">
        <f>'6.5'!D26</f>
        <v>159824</v>
      </c>
      <c r="C15" s="333">
        <f>'6.5'!E26</f>
        <v>42773.200000000004</v>
      </c>
      <c r="D15" s="130">
        <f>'6.5'!F26</f>
        <v>459034.11476000008</v>
      </c>
      <c r="E15" s="327">
        <f t="shared" si="0"/>
        <v>4.7312186040355031E-2</v>
      </c>
      <c r="F15" s="353">
        <f>'6.5'!H26</f>
        <v>-7.8271063281428244E-2</v>
      </c>
      <c r="G15" s="347">
        <v>3.2322580645161292</v>
      </c>
      <c r="H15" s="348">
        <v>9.3000000000000007</v>
      </c>
      <c r="I15" s="348">
        <v>-2.4</v>
      </c>
      <c r="J15" s="348">
        <v>3.4000000000000017</v>
      </c>
      <c r="K15" s="347">
        <v>-0.16774193548387251</v>
      </c>
    </row>
    <row r="16" spans="1:11" ht="14.1" customHeight="1">
      <c r="A16" s="155" t="s">
        <v>1</v>
      </c>
      <c r="B16" s="130">
        <f>'6.5'!D56</f>
        <v>413378</v>
      </c>
      <c r="C16" s="333">
        <f>'6.5'!E56</f>
        <v>98145.136536463746</v>
      </c>
      <c r="D16" s="130">
        <f>'6.5'!F56</f>
        <v>1059295.293842833</v>
      </c>
      <c r="E16" s="327">
        <f t="shared" si="0"/>
        <v>0.1091805040245603</v>
      </c>
      <c r="F16" s="353">
        <f>'6.5'!H56</f>
        <v>-0.10839468536223464</v>
      </c>
      <c r="G16" s="347">
        <v>5.4645161290322575</v>
      </c>
      <c r="H16" s="348">
        <v>13.1</v>
      </c>
      <c r="I16" s="348">
        <v>-0.5</v>
      </c>
      <c r="J16" s="348">
        <v>4.599999999999997</v>
      </c>
      <c r="K16" s="347">
        <v>0.86451612903226049</v>
      </c>
    </row>
    <row r="17" spans="1:16" ht="14.1" customHeight="1">
      <c r="A17" s="155" t="s">
        <v>16</v>
      </c>
      <c r="B17" s="130">
        <f>'6.6'!D26</f>
        <v>260643</v>
      </c>
      <c r="C17" s="333">
        <f>'6.6'!E26</f>
        <v>114295.02799999999</v>
      </c>
      <c r="D17" s="130">
        <f>'6.6'!F26</f>
        <v>1226691.8287599995</v>
      </c>
      <c r="E17" s="327">
        <f t="shared" si="0"/>
        <v>0.12643389706845765</v>
      </c>
      <c r="F17" s="353">
        <f>'6.6'!H26</f>
        <v>-0.10482793950560357</v>
      </c>
      <c r="G17" s="347">
        <v>3.8645161290322587</v>
      </c>
      <c r="H17" s="348">
        <v>10.9</v>
      </c>
      <c r="I17" s="348">
        <v>-2.2000000000000002</v>
      </c>
      <c r="J17" s="348">
        <v>4.2999999999999989</v>
      </c>
      <c r="K17" s="347">
        <v>-0.43548387096774022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'6.6'!D56</f>
        <v>221896</v>
      </c>
      <c r="C18" s="333">
        <f>'6.6'!E56</f>
        <v>121996.359</v>
      </c>
      <c r="D18" s="130">
        <f>'6.6'!F56</f>
        <v>1312751.24893</v>
      </c>
      <c r="E18" s="327">
        <f t="shared" si="0"/>
        <v>0.1353039552333872</v>
      </c>
      <c r="F18" s="353">
        <f>'6.6'!H56</f>
        <v>-0.23309230653901028</v>
      </c>
      <c r="G18" s="347">
        <v>3.9903225806451608</v>
      </c>
      <c r="H18" s="348">
        <v>10.8</v>
      </c>
      <c r="I18" s="348">
        <v>-2.1</v>
      </c>
      <c r="J18" s="348">
        <v>4.2999999999999989</v>
      </c>
      <c r="K18" s="347">
        <v>-0.30967741935483817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'6.7'!D26</f>
        <v>120063</v>
      </c>
      <c r="C19" s="333">
        <f>'6.7'!E26</f>
        <v>36987.200680000002</v>
      </c>
      <c r="D19" s="130">
        <f>'6.7'!F26</f>
        <v>396756.70740999997</v>
      </c>
      <c r="E19" s="327">
        <f t="shared" si="0"/>
        <v>4.0893316096027019E-2</v>
      </c>
      <c r="F19" s="353">
        <f>'6.7'!H26</f>
        <v>-0.10878819701539509</v>
      </c>
      <c r="G19" s="347">
        <v>3.0322580645161294</v>
      </c>
      <c r="H19" s="348">
        <v>10</v>
      </c>
      <c r="I19" s="348">
        <v>-3</v>
      </c>
      <c r="J19" s="348">
        <v>2.5</v>
      </c>
      <c r="K19" s="347">
        <v>0.53225806451612945</v>
      </c>
      <c r="L19" s="94"/>
      <c r="N19" s="94"/>
      <c r="O19" s="94"/>
      <c r="P19" s="94"/>
    </row>
    <row r="20" spans="1:16" ht="14.1" customHeight="1">
      <c r="A20" s="205" t="s">
        <v>19</v>
      </c>
      <c r="B20" s="330">
        <f>'6.7'!D56</f>
        <v>156228</v>
      </c>
      <c r="C20" s="334">
        <f>'6.7'!E56</f>
        <v>47677.900000000009</v>
      </c>
      <c r="D20" s="330">
        <f>'6.7'!F56</f>
        <v>511670.34512999997</v>
      </c>
      <c r="E20" s="331">
        <f t="shared" si="0"/>
        <v>5.2737349538345711E-2</v>
      </c>
      <c r="F20" s="354">
        <f>'6.7'!H56</f>
        <v>-0.13759322199451185</v>
      </c>
      <c r="G20" s="349">
        <v>2.4741935483870967</v>
      </c>
      <c r="H20" s="350">
        <v>9.5</v>
      </c>
      <c r="I20" s="350">
        <v>-3</v>
      </c>
      <c r="J20" s="350">
        <v>3.9000000000000021</v>
      </c>
      <c r="K20" s="349">
        <v>-1.4258064516129054</v>
      </c>
      <c r="L20" s="94"/>
    </row>
    <row r="21" spans="1:16" ht="14.1" customHeight="1">
      <c r="A21" s="155" t="s">
        <v>0</v>
      </c>
      <c r="B21" s="157">
        <f>SUM(B7:B20)</f>
        <v>2813737</v>
      </c>
      <c r="C21" s="333">
        <f>SUM(C7:C20)</f>
        <v>903325.26453646377</v>
      </c>
      <c r="D21" s="130">
        <f>SUM(D7:D20)</f>
        <v>9702238.5388928335</v>
      </c>
      <c r="E21" s="396">
        <f>SUM(E7:E20)</f>
        <v>0.99999999999999989</v>
      </c>
      <c r="F21" s="353"/>
      <c r="G21" s="276">
        <v>3.3161290322580643</v>
      </c>
      <c r="H21" s="276">
        <v>9.8000000000000007</v>
      </c>
      <c r="I21" s="276">
        <v>-2.1</v>
      </c>
      <c r="J21" s="276">
        <v>3.512903225806451</v>
      </c>
      <c r="K21" s="276">
        <v>-0.19677419354838666</v>
      </c>
    </row>
    <row r="22" spans="1:16" ht="14.1" customHeight="1">
      <c r="A22" s="205" t="s">
        <v>94</v>
      </c>
      <c r="B22" s="397"/>
      <c r="C22" s="334">
        <f>'5.1'!E27</f>
        <v>19294.2278982315</v>
      </c>
      <c r="D22" s="330">
        <f>'5.1'!F27</f>
        <v>207215.45435699989</v>
      </c>
      <c r="E22" s="397"/>
      <c r="F22" s="354">
        <f>'5.1'!H27</f>
        <v>-7.1118599122900181E-2</v>
      </c>
      <c r="G22" s="282">
        <v>3.3161290322580643</v>
      </c>
      <c r="H22" s="282">
        <v>9.8000000000000007</v>
      </c>
      <c r="I22" s="282">
        <v>-2.1</v>
      </c>
      <c r="J22" s="282">
        <v>3.512903225806451</v>
      </c>
      <c r="K22" s="282">
        <v>-0.19677419354838666</v>
      </c>
    </row>
    <row r="23" spans="1:16" ht="14.1" customHeight="1">
      <c r="A23" s="205" t="s">
        <v>55</v>
      </c>
      <c r="B23" s="162">
        <f>B21+B22</f>
        <v>2813737</v>
      </c>
      <c r="C23" s="334">
        <f t="shared" ref="C23:D23" si="1">C21+C22</f>
        <v>922619.49243469525</v>
      </c>
      <c r="D23" s="330">
        <f t="shared" si="1"/>
        <v>9909453.9932498336</v>
      </c>
      <c r="E23" s="397"/>
      <c r="F23" s="354">
        <f>'5.1'!H28</f>
        <v>-0.15447096877579736</v>
      </c>
      <c r="G23" s="282">
        <v>3.3161290322580643</v>
      </c>
      <c r="H23" s="282">
        <v>9.8000000000000007</v>
      </c>
      <c r="I23" s="282">
        <v>-2.1</v>
      </c>
      <c r="J23" s="282">
        <v>3.512903225806451</v>
      </c>
      <c r="K23" s="282">
        <v>-0.19677419354838666</v>
      </c>
    </row>
    <row r="24" spans="1:16" ht="15" customHeight="1">
      <c r="A24" s="102"/>
      <c r="B24" s="95"/>
      <c r="C24" s="512" t="s">
        <v>249</v>
      </c>
      <c r="D24" s="512"/>
      <c r="E24" s="512"/>
      <c r="F24" s="512"/>
      <c r="G24" s="515" t="s">
        <v>247</v>
      </c>
      <c r="H24" s="515"/>
      <c r="I24" s="515"/>
      <c r="J24" s="515"/>
      <c r="K24" s="515"/>
    </row>
    <row r="25" spans="1:16" ht="15" customHeight="1">
      <c r="A25" s="95"/>
      <c r="B25" s="95"/>
      <c r="C25" s="512"/>
      <c r="D25" s="512"/>
      <c r="E25" s="512"/>
      <c r="F25" s="512"/>
      <c r="G25" s="515" t="s">
        <v>248</v>
      </c>
      <c r="H25" s="515"/>
      <c r="I25" s="515"/>
      <c r="J25" s="515"/>
      <c r="K25" s="515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75" t="s">
        <v>262</v>
      </c>
      <c r="B29" s="475"/>
      <c r="C29" s="475"/>
      <c r="D29" s="475"/>
      <c r="E29" s="475"/>
      <c r="F29" s="475" t="s">
        <v>61</v>
      </c>
      <c r="G29" s="475"/>
      <c r="H29" s="475"/>
      <c r="I29" s="475"/>
      <c r="J29" s="475"/>
      <c r="K29" s="475"/>
    </row>
    <row r="30" spans="1:16" ht="15" customHeight="1">
      <c r="A30" s="121"/>
      <c r="B30" s="513"/>
      <c r="C30" s="513"/>
      <c r="D30" s="121"/>
      <c r="E30" s="121"/>
      <c r="F30" s="121"/>
      <c r="G30" s="121"/>
      <c r="H30" s="513"/>
      <c r="I30" s="513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4" t="str">
        <f>"6.11 Spotřeba zemního plynu a teplota ovzduší podle krajů: "&amp;(A3)</f>
        <v>6.11 Spotřeba zemního plynu a teplota ovzduší podle krajů: I. čtvrtletí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ht="6" customHeight="1">
      <c r="A2" s="508"/>
      <c r="B2" s="508"/>
      <c r="C2" s="320"/>
      <c r="D2" s="321"/>
      <c r="E2" s="322"/>
      <c r="F2" s="322"/>
      <c r="G2" s="322"/>
      <c r="H2" s="322"/>
      <c r="I2" s="76"/>
      <c r="J2" s="76"/>
      <c r="K2" s="76"/>
    </row>
    <row r="3" spans="1:11" ht="20.100000000000001" customHeight="1">
      <c r="A3" s="531" t="str">
        <f>'3.1'!G5</f>
        <v>I. čtvrtletí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</row>
    <row r="4" spans="1:11" ht="20.100000000000001" customHeight="1">
      <c r="A4" s="129"/>
      <c r="B4" s="272">
        <f>'3.1'!A4</f>
        <v>2022</v>
      </c>
      <c r="C4" s="527" t="s">
        <v>60</v>
      </c>
      <c r="D4" s="528"/>
      <c r="E4" s="528"/>
      <c r="F4" s="529"/>
      <c r="G4" s="530" t="s">
        <v>187</v>
      </c>
      <c r="H4" s="530"/>
      <c r="I4" s="530"/>
      <c r="J4" s="530"/>
      <c r="K4" s="530"/>
    </row>
    <row r="5" spans="1:11" ht="49.5" customHeight="1">
      <c r="A5" s="292"/>
      <c r="B5" s="487" t="s">
        <v>186</v>
      </c>
      <c r="C5" s="374"/>
      <c r="D5" s="375"/>
      <c r="E5" s="487" t="s">
        <v>285</v>
      </c>
      <c r="F5" s="509" t="s">
        <v>288</v>
      </c>
      <c r="G5" s="398" t="s">
        <v>62</v>
      </c>
      <c r="H5" s="398" t="s">
        <v>174</v>
      </c>
      <c r="I5" s="398" t="s">
        <v>175</v>
      </c>
      <c r="J5" s="398" t="s">
        <v>290</v>
      </c>
      <c r="K5" s="398" t="s">
        <v>291</v>
      </c>
    </row>
    <row r="6" spans="1:11" ht="15" customHeight="1">
      <c r="A6" s="222" t="s">
        <v>188</v>
      </c>
      <c r="B6" s="474"/>
      <c r="C6" s="224" t="s">
        <v>267</v>
      </c>
      <c r="D6" s="222" t="s">
        <v>268</v>
      </c>
      <c r="E6" s="474"/>
      <c r="F6" s="510"/>
      <c r="G6" s="222" t="s">
        <v>235</v>
      </c>
      <c r="H6" s="222" t="s">
        <v>235</v>
      </c>
      <c r="I6" s="222" t="s">
        <v>235</v>
      </c>
      <c r="J6" s="222" t="s">
        <v>235</v>
      </c>
      <c r="K6" s="222" t="s">
        <v>235</v>
      </c>
    </row>
    <row r="7" spans="1:11" ht="14.1" customHeight="1">
      <c r="A7" s="155" t="s">
        <v>8</v>
      </c>
      <c r="B7" s="130">
        <f>'6.1'!D32</f>
        <v>105053</v>
      </c>
      <c r="C7" s="333">
        <f>'6.1'!E32</f>
        <v>102533.96688000001</v>
      </c>
      <c r="D7" s="130">
        <f>'6.1'!F32</f>
        <v>1095787.2086400001</v>
      </c>
      <c r="E7" s="327">
        <f>D7/$D$21</f>
        <v>3.5508471208257425E-2</v>
      </c>
      <c r="F7" s="353">
        <f>'6.1'!H32</f>
        <v>-0.107279690973357</v>
      </c>
      <c r="G7" s="347">
        <f>AVERAGE('6.8'!G7,'6.9'!G7,'6.10'!G7)</f>
        <v>2.0937019969278037</v>
      </c>
      <c r="H7" s="348">
        <f>MAX('6.8'!H7,'6.9'!H7,'6.10'!H7)</f>
        <v>9.3000000000000007</v>
      </c>
      <c r="I7" s="348">
        <f>MIN('6.8'!I7,'6.9'!I7,'6.10'!I7)</f>
        <v>-4.4000000000000004</v>
      </c>
      <c r="J7" s="348">
        <f>AVERAGE('6.8'!J7,'6.9'!J7,'6.10'!J7)</f>
        <v>0.13333333333333316</v>
      </c>
      <c r="K7" s="347">
        <f>G7-J7</f>
        <v>1.9603686635944706</v>
      </c>
    </row>
    <row r="8" spans="1:11" ht="14.1" customHeight="1">
      <c r="A8" s="155" t="s">
        <v>9</v>
      </c>
      <c r="B8" s="130">
        <f>'6.1'!D62</f>
        <v>381820</v>
      </c>
      <c r="C8" s="333">
        <f>'6.1'!E62</f>
        <v>399634.3</v>
      </c>
      <c r="D8" s="130">
        <f>'6.1'!F62</f>
        <v>4276585.431760001</v>
      </c>
      <c r="E8" s="327">
        <f t="shared" ref="E8:E20" si="0">D8/$D$21</f>
        <v>0.13858074768163514</v>
      </c>
      <c r="F8" s="353">
        <f>'6.1'!H62</f>
        <v>-0.11377382415464259</v>
      </c>
      <c r="G8" s="347">
        <f>AVERAGE('6.8'!G8,'6.9'!G8,'6.10'!G8)</f>
        <v>3.243394777265745</v>
      </c>
      <c r="H8" s="348">
        <f>MAX('6.8'!H8,'6.9'!H8,'6.10'!H8)</f>
        <v>11.8</v>
      </c>
      <c r="I8" s="348">
        <f>MIN('6.8'!I8,'6.9'!I8,'6.10'!I8)</f>
        <v>-3.5</v>
      </c>
      <c r="J8" s="348">
        <f>AVERAGE('6.8'!J8,'6.9'!J8,'6.10'!J8)</f>
        <v>0.80000000000000016</v>
      </c>
      <c r="K8" s="347">
        <f t="shared" ref="K8:K23" si="1">G8-J8</f>
        <v>2.4433947772657447</v>
      </c>
    </row>
    <row r="9" spans="1:11" ht="14.1" customHeight="1">
      <c r="A9" s="155" t="s">
        <v>10</v>
      </c>
      <c r="B9" s="130">
        <f>'6.2'!D32</f>
        <v>83964</v>
      </c>
      <c r="C9" s="333">
        <f>'6.2'!E32</f>
        <v>73246.899999999994</v>
      </c>
      <c r="D9" s="130">
        <f>'6.2'!F32</f>
        <v>783845.57932999998</v>
      </c>
      <c r="E9" s="327">
        <f t="shared" si="0"/>
        <v>2.5400148829902262E-2</v>
      </c>
      <c r="F9" s="353">
        <f>'6.2'!H32</f>
        <v>-0.63179616177123354</v>
      </c>
      <c r="G9" s="347">
        <f>AVERAGE('6.8'!G9,'6.9'!G9,'6.10'!G9)</f>
        <v>1.4633640552995388</v>
      </c>
      <c r="H9" s="348">
        <f>MAX('6.8'!H9,'6.9'!H9,'6.10'!H9)</f>
        <v>8.1999999999999993</v>
      </c>
      <c r="I9" s="348">
        <f>MIN('6.8'!I9,'6.9'!I9,'6.10'!I9)</f>
        <v>-3.6</v>
      </c>
      <c r="J9" s="348">
        <f>AVERAGE('6.8'!J9,'6.9'!J9,'6.10'!J9)</f>
        <v>-0.133333333333333</v>
      </c>
      <c r="K9" s="347">
        <f t="shared" si="1"/>
        <v>1.5966973886328719</v>
      </c>
    </row>
    <row r="10" spans="1:11" ht="14.1" customHeight="1">
      <c r="A10" s="155" t="s">
        <v>92</v>
      </c>
      <c r="B10" s="130">
        <f>'6.2'!D62</f>
        <v>117763</v>
      </c>
      <c r="C10" s="333">
        <f>'6.2'!E62</f>
        <v>123434.8</v>
      </c>
      <c r="D10" s="130">
        <f>'6.2'!F62</f>
        <v>1320882.1233399999</v>
      </c>
      <c r="E10" s="327">
        <f t="shared" si="0"/>
        <v>4.2802566480340469E-2</v>
      </c>
      <c r="F10" s="353">
        <f>'6.2'!H62</f>
        <v>-0.12156616036932207</v>
      </c>
      <c r="G10" s="347">
        <f>AVERAGE('6.8'!G10,'6.9'!G10,'6.10'!G10)</f>
        <v>1.894047619047619</v>
      </c>
      <c r="H10" s="348">
        <f>MAX('6.8'!H10,'6.9'!H10,'6.10'!H10)</f>
        <v>9.4</v>
      </c>
      <c r="I10" s="348">
        <f>MIN('6.8'!I10,'6.9'!I10,'6.10'!I10)</f>
        <v>-5.5</v>
      </c>
      <c r="J10" s="348">
        <f>AVERAGE('6.8'!J10,'6.9'!J10,'6.10'!J10)</f>
        <v>-0.26666666666666661</v>
      </c>
      <c r="K10" s="347">
        <f t="shared" si="1"/>
        <v>2.1607142857142856</v>
      </c>
    </row>
    <row r="11" spans="1:11" ht="14.1" customHeight="1">
      <c r="A11" s="155" t="s">
        <v>11</v>
      </c>
      <c r="B11" s="130">
        <f>'6.3'!D32</f>
        <v>93007</v>
      </c>
      <c r="C11" s="333">
        <f>'6.3'!E32</f>
        <v>118922.7</v>
      </c>
      <c r="D11" s="130">
        <f>'6.3'!F32</f>
        <v>1272637.0012299998</v>
      </c>
      <c r="E11" s="327">
        <f t="shared" si="0"/>
        <v>4.1239205897305398E-2</v>
      </c>
      <c r="F11" s="353">
        <f>'6.3'!H32</f>
        <v>-0.13724288179871938</v>
      </c>
      <c r="G11" s="347">
        <f>AVERAGE('6.8'!G11,'6.9'!G11,'6.10'!G11)</f>
        <v>2.3862135176651305</v>
      </c>
      <c r="H11" s="348">
        <f>MAX('6.8'!H11,'6.9'!H11,'6.10'!H11)</f>
        <v>9.1999999999999993</v>
      </c>
      <c r="I11" s="348">
        <f>MIN('6.8'!I11,'6.9'!I11,'6.10'!I11)</f>
        <v>-5</v>
      </c>
      <c r="J11" s="348">
        <f>AVERAGE('6.8'!J11,'6.9'!J11,'6.10'!J11)</f>
        <v>0.13333333333333272</v>
      </c>
      <c r="K11" s="347">
        <f t="shared" si="1"/>
        <v>2.2528801843317976</v>
      </c>
    </row>
    <row r="12" spans="1:11" ht="14.1" customHeight="1">
      <c r="A12" s="155" t="s">
        <v>12</v>
      </c>
      <c r="B12" s="130">
        <f>'6.3'!D62</f>
        <v>376999</v>
      </c>
      <c r="C12" s="333">
        <f>'6.3'!E62</f>
        <v>299903.723</v>
      </c>
      <c r="D12" s="130">
        <f>'6.3'!F62</f>
        <v>3208756.8683699998</v>
      </c>
      <c r="E12" s="327">
        <f t="shared" si="0"/>
        <v>0.10397826327633886</v>
      </c>
      <c r="F12" s="353">
        <f>'6.3'!H62</f>
        <v>-0.10821359457884343</v>
      </c>
      <c r="G12" s="347">
        <f>AVERAGE('6.8'!G12,'6.9'!G12,'6.10'!G12)</f>
        <v>2.3001536098310287</v>
      </c>
      <c r="H12" s="348">
        <f>MAX('6.8'!H12,'6.9'!H12,'6.10'!H12)</f>
        <v>10.1</v>
      </c>
      <c r="I12" s="348">
        <f>MIN('6.8'!I12,'6.9'!I12,'6.10'!I12)</f>
        <v>-4.5999999999999996</v>
      </c>
      <c r="J12" s="348">
        <f>AVERAGE('6.8'!J12,'6.9'!J12,'6.10'!J12)</f>
        <v>6.6666666666667165E-2</v>
      </c>
      <c r="K12" s="347">
        <f t="shared" si="1"/>
        <v>2.2334869431643614</v>
      </c>
    </row>
    <row r="13" spans="1:11" ht="14.1" customHeight="1">
      <c r="A13" s="155" t="s">
        <v>13</v>
      </c>
      <c r="B13" s="130">
        <f>'6.4'!D32</f>
        <v>186624</v>
      </c>
      <c r="C13" s="333">
        <f>'6.4'!E32</f>
        <v>176958.8</v>
      </c>
      <c r="D13" s="130">
        <f>'6.4'!F32</f>
        <v>1893727.0711699997</v>
      </c>
      <c r="E13" s="327">
        <f t="shared" si="0"/>
        <v>6.13653386832234E-2</v>
      </c>
      <c r="F13" s="353">
        <f>'6.4'!H32</f>
        <v>-0.10819597445722115</v>
      </c>
      <c r="G13" s="347">
        <f>AVERAGE('6.8'!G13,'6.9'!G13,'6.10'!G13)</f>
        <v>2.0399385560675882</v>
      </c>
      <c r="H13" s="348">
        <f>MAX('6.8'!H13,'6.9'!H13,'6.10'!H13)</f>
        <v>10.1</v>
      </c>
      <c r="I13" s="348">
        <f>MIN('6.8'!I13,'6.9'!I13,'6.10'!I13)</f>
        <v>-4.0999999999999996</v>
      </c>
      <c r="J13" s="348">
        <f>AVERAGE('6.8'!J13,'6.9'!J13,'6.10'!J13)</f>
        <v>-0.40000000000000008</v>
      </c>
      <c r="K13" s="347">
        <f t="shared" si="1"/>
        <v>2.4399385560675881</v>
      </c>
    </row>
    <row r="14" spans="1:11" ht="14.1" customHeight="1">
      <c r="A14" s="155" t="s">
        <v>14</v>
      </c>
      <c r="B14" s="130">
        <f>'6.4'!D62</f>
        <v>136475</v>
      </c>
      <c r="C14" s="333">
        <f>'6.4'!E62</f>
        <v>132768.09999999998</v>
      </c>
      <c r="D14" s="130">
        <f>'6.4'!F62</f>
        <v>1420814.2402299999</v>
      </c>
      <c r="E14" s="327">
        <f t="shared" si="0"/>
        <v>4.6040819918042854E-2</v>
      </c>
      <c r="F14" s="353">
        <f>'6.4'!H62</f>
        <v>-0.12448547866146005</v>
      </c>
      <c r="G14" s="347">
        <f>AVERAGE('6.8'!G14,'6.9'!G14,'6.10'!G14)</f>
        <v>2.2896313364055296</v>
      </c>
      <c r="H14" s="348">
        <f>MAX('6.8'!H14,'6.9'!H14,'6.10'!H14)</f>
        <v>10</v>
      </c>
      <c r="I14" s="348">
        <f>MIN('6.8'!I14,'6.9'!I14,'6.10'!I14)</f>
        <v>-5.3</v>
      </c>
      <c r="J14" s="348">
        <f>AVERAGE('6.8'!J14,'6.9'!J14,'6.10'!J14)</f>
        <v>0.56666666666666565</v>
      </c>
      <c r="K14" s="347">
        <f t="shared" si="1"/>
        <v>1.7229646697388641</v>
      </c>
    </row>
    <row r="15" spans="1:11" ht="14.1" customHeight="1">
      <c r="A15" s="155" t="s">
        <v>15</v>
      </c>
      <c r="B15" s="130">
        <f>'6.5'!D32</f>
        <v>159824</v>
      </c>
      <c r="C15" s="333">
        <f>'6.5'!E32</f>
        <v>137312.9</v>
      </c>
      <c r="D15" s="130">
        <f>'6.5'!F32</f>
        <v>1469455.3675600002</v>
      </c>
      <c r="E15" s="327">
        <f t="shared" si="0"/>
        <v>4.7617012864735596E-2</v>
      </c>
      <c r="F15" s="353">
        <f>'6.5'!H32</f>
        <v>-9.5343068626901992E-2</v>
      </c>
      <c r="G15" s="347">
        <f>AVERAGE('6.8'!G15,'6.9'!G15,'6.10'!G15)</f>
        <v>2.6031490015360985</v>
      </c>
      <c r="H15" s="348">
        <f>MAX('6.8'!H15,'6.9'!H15,'6.10'!H15)</f>
        <v>9.3000000000000007</v>
      </c>
      <c r="I15" s="348">
        <f>MIN('6.8'!I15,'6.9'!I15,'6.10'!I15)</f>
        <v>-2.5</v>
      </c>
      <c r="J15" s="348">
        <f>AVERAGE('6.8'!J15,'6.9'!J15,'6.10'!J15)</f>
        <v>0.40000000000000036</v>
      </c>
      <c r="K15" s="347">
        <f t="shared" si="1"/>
        <v>2.2031490015360982</v>
      </c>
    </row>
    <row r="16" spans="1:11" ht="14.1" customHeight="1">
      <c r="A16" s="155" t="s">
        <v>1</v>
      </c>
      <c r="B16" s="130">
        <f>'6.5'!D62</f>
        <v>413378</v>
      </c>
      <c r="C16" s="333">
        <f>'6.5'!E62</f>
        <v>326857.46472489677</v>
      </c>
      <c r="D16" s="130">
        <f>'6.5'!F62</f>
        <v>3508200.3114028331</v>
      </c>
      <c r="E16" s="327">
        <f t="shared" si="0"/>
        <v>0.11368158778277232</v>
      </c>
      <c r="F16" s="353">
        <f>'6.5'!H62</f>
        <v>-0.13374687445356206</v>
      </c>
      <c r="G16" s="347">
        <f>AVERAGE('6.8'!G16,'6.9'!G16,'6.10'!G16)</f>
        <v>4.4667050691244237</v>
      </c>
      <c r="H16" s="348">
        <f>MAX('6.8'!H16,'6.9'!H16,'6.10'!H16)</f>
        <v>13.1</v>
      </c>
      <c r="I16" s="348">
        <f>MIN('6.8'!I16,'6.9'!I16,'6.10'!I16)</f>
        <v>-1.5</v>
      </c>
      <c r="J16" s="348">
        <f>AVERAGE('6.8'!J16,'6.9'!J16,'6.10'!J16)</f>
        <v>1.5666666666666655</v>
      </c>
      <c r="K16" s="347">
        <f t="shared" si="1"/>
        <v>2.9000384024577581</v>
      </c>
    </row>
    <row r="17" spans="1:16" ht="14.1" customHeight="1">
      <c r="A17" s="155" t="s">
        <v>16</v>
      </c>
      <c r="B17" s="130">
        <f>'6.6'!D32</f>
        <v>260643</v>
      </c>
      <c r="C17" s="333">
        <f>'6.6'!E32</f>
        <v>372792.745</v>
      </c>
      <c r="D17" s="130">
        <f>'6.6'!F32</f>
        <v>3989458.0968269999</v>
      </c>
      <c r="E17" s="327">
        <f t="shared" si="0"/>
        <v>0.12927652088907576</v>
      </c>
      <c r="F17" s="353">
        <f>'6.6'!H32</f>
        <v>-0.11846017467848215</v>
      </c>
      <c r="G17" s="347">
        <f>AVERAGE('6.8'!G17,'6.9'!G17,'6.10'!G17)</f>
        <v>3.231067588325653</v>
      </c>
      <c r="H17" s="348">
        <f>MAX('6.8'!H17,'6.9'!H17,'6.10'!H17)</f>
        <v>10.9</v>
      </c>
      <c r="I17" s="348">
        <f>MIN('6.8'!I17,'6.9'!I17,'6.10'!I17)</f>
        <v>-3.1</v>
      </c>
      <c r="J17" s="348">
        <f>AVERAGE('6.8'!J17,'6.9'!J17,'6.10'!J17)</f>
        <v>1.1666666666666663</v>
      </c>
      <c r="K17" s="347">
        <f t="shared" si="1"/>
        <v>2.0644009216589865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'6.6'!D62</f>
        <v>221896</v>
      </c>
      <c r="C18" s="333">
        <f>'6.6'!E62</f>
        <v>343993.08700000006</v>
      </c>
      <c r="D18" s="130">
        <f>'6.6'!F62</f>
        <v>3686568.7166400002</v>
      </c>
      <c r="E18" s="327">
        <f t="shared" si="0"/>
        <v>0.11946153240330451</v>
      </c>
      <c r="F18" s="353">
        <f>'6.6'!H62</f>
        <v>-0.26734266654022948</v>
      </c>
      <c r="G18" s="347">
        <f>AVERAGE('6.8'!G18,'6.9'!G18,'6.10'!G18)</f>
        <v>3.2928955453149</v>
      </c>
      <c r="H18" s="348">
        <f>MAX('6.8'!H18,'6.9'!H18,'6.10'!H18)</f>
        <v>10.8</v>
      </c>
      <c r="I18" s="348">
        <f>MIN('6.8'!I18,'6.9'!I18,'6.10'!I18)</f>
        <v>-3.1</v>
      </c>
      <c r="J18" s="348">
        <f>AVERAGE('6.8'!J18,'6.9'!J18,'6.10'!J18)</f>
        <v>1.2999999999999996</v>
      </c>
      <c r="K18" s="347">
        <f t="shared" si="1"/>
        <v>1.9928955453149004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'6.7'!D32</f>
        <v>120063</v>
      </c>
      <c r="C19" s="333">
        <f>'6.7'!E32</f>
        <v>120875.81812</v>
      </c>
      <c r="D19" s="130">
        <f>'6.7'!F32</f>
        <v>1293305.3837400002</v>
      </c>
      <c r="E19" s="327">
        <f t="shared" si="0"/>
        <v>4.1908955151075629E-2</v>
      </c>
      <c r="F19" s="353">
        <f>'6.7'!H32</f>
        <v>-0.12695786901814327</v>
      </c>
      <c r="G19" s="347">
        <f>AVERAGE('6.8'!G19,'6.9'!G19,'6.10'!G19)</f>
        <v>1.8783410138248851</v>
      </c>
      <c r="H19" s="348">
        <f>MAX('6.8'!H19,'6.9'!H19,'6.10'!H19)</f>
        <v>10</v>
      </c>
      <c r="I19" s="348">
        <f>MIN('6.8'!I19,'6.9'!I19,'6.10'!I19)</f>
        <v>-5.9</v>
      </c>
      <c r="J19" s="348">
        <f>AVERAGE('6.8'!J19,'6.9'!J19,'6.10'!J19)</f>
        <v>-0.43333333333333329</v>
      </c>
      <c r="K19" s="347">
        <f t="shared" si="1"/>
        <v>2.3116743471582182</v>
      </c>
      <c r="L19" s="94"/>
      <c r="N19" s="94"/>
      <c r="O19" s="94"/>
      <c r="P19" s="94"/>
    </row>
    <row r="20" spans="1:16" ht="14.1" customHeight="1">
      <c r="A20" s="205" t="s">
        <v>19</v>
      </c>
      <c r="B20" s="330">
        <f>'6.7'!D62</f>
        <v>156228</v>
      </c>
      <c r="C20" s="334">
        <f>'6.7'!E62</f>
        <v>153237.4</v>
      </c>
      <c r="D20" s="330">
        <f>'6.7'!F62</f>
        <v>1639857.9563299997</v>
      </c>
      <c r="E20" s="331">
        <f t="shared" si="0"/>
        <v>5.3138828933990252E-2</v>
      </c>
      <c r="F20" s="354">
        <f>'6.7'!H62</f>
        <v>-0.13034590391873119</v>
      </c>
      <c r="G20" s="349">
        <f>AVERAGE('6.8'!G20,'6.9'!G20,'6.10'!G20)</f>
        <v>1.5475038402457757</v>
      </c>
      <c r="H20" s="350">
        <f>MAX('6.8'!H20,'6.9'!H20,'6.10'!H20)</f>
        <v>9.5</v>
      </c>
      <c r="I20" s="350">
        <f>MIN('6.8'!I20,'6.9'!I20,'6.10'!I20)</f>
        <v>-5.7</v>
      </c>
      <c r="J20" s="350">
        <f>AVERAGE('6.8'!J20,'6.9'!J20,'6.10'!J20)</f>
        <v>0.73333333333333373</v>
      </c>
      <c r="K20" s="349">
        <f t="shared" si="1"/>
        <v>0.81417050691244197</v>
      </c>
      <c r="L20" s="94"/>
    </row>
    <row r="21" spans="1:16" ht="14.1" customHeight="1">
      <c r="A21" s="155" t="s">
        <v>0</v>
      </c>
      <c r="B21" s="157">
        <f>SUM(B7:B20)</f>
        <v>2813737</v>
      </c>
      <c r="C21" s="333">
        <f>SUM(C7:C20)</f>
        <v>2882472.7047248962</v>
      </c>
      <c r="D21" s="130">
        <f>SUM(D7:D20)</f>
        <v>30859881.356569838</v>
      </c>
      <c r="E21" s="396">
        <f>SUM(E7:E20)</f>
        <v>0.99999999999999989</v>
      </c>
      <c r="F21" s="353"/>
      <c r="G21" s="276">
        <f>AVERAGE('6.8'!G21,'6.9'!G21,'6.10'!G21)</f>
        <v>2.3975038402457756</v>
      </c>
      <c r="H21" s="276">
        <f>MAX('6.8'!H21,'6.9'!H21,'6.10'!H21)</f>
        <v>9.8000000000000007</v>
      </c>
      <c r="I21" s="276">
        <f>MIN('6.8'!I21,'6.9'!I21,'6.10'!I21)</f>
        <v>-3.8</v>
      </c>
      <c r="J21" s="276">
        <f>AVERAGE('6.8'!J21,'6.9'!J21,'6.10'!J21)</f>
        <v>0.71064145346681462</v>
      </c>
      <c r="K21" s="276">
        <f t="shared" si="1"/>
        <v>1.6868623867789609</v>
      </c>
      <c r="M21" s="106"/>
    </row>
    <row r="22" spans="1:16" ht="14.1" customHeight="1">
      <c r="A22" s="205" t="s">
        <v>94</v>
      </c>
      <c r="B22" s="397"/>
      <c r="C22" s="334">
        <f>'5.1'!E34</f>
        <v>64910.021001444547</v>
      </c>
      <c r="D22" s="330">
        <f>'5.1'!F34</f>
        <v>695331.03826399986</v>
      </c>
      <c r="E22" s="397"/>
      <c r="F22" s="354">
        <f>'5.1'!H34</f>
        <v>1.6289274354020857E-2</v>
      </c>
      <c r="G22" s="282">
        <f>AVERAGE('6.8'!G22,'6.9'!G22,'6.10'!G22)</f>
        <v>2.3975038402457756</v>
      </c>
      <c r="H22" s="282">
        <f>MAX('6.8'!H22,'6.9'!H22,'6.10'!H22)</f>
        <v>9.8000000000000007</v>
      </c>
      <c r="I22" s="282">
        <f>MIN('6.8'!I22,'6.9'!I22,'6.10'!I22)</f>
        <v>-3.8</v>
      </c>
      <c r="J22" s="282">
        <f>AVERAGE('6.8'!J22,'6.9'!J22,'6.10'!J22)</f>
        <v>0.71064145346681462</v>
      </c>
      <c r="K22" s="282">
        <f t="shared" si="1"/>
        <v>1.6868623867789609</v>
      </c>
    </row>
    <row r="23" spans="1:16" ht="14.1" customHeight="1">
      <c r="A23" s="205" t="s">
        <v>55</v>
      </c>
      <c r="B23" s="162">
        <f>B21+B22</f>
        <v>2813737</v>
      </c>
      <c r="C23" s="334">
        <f t="shared" ref="C23:D23" si="2">C21+C22</f>
        <v>2947382.7257263409</v>
      </c>
      <c r="D23" s="330">
        <f t="shared" si="2"/>
        <v>31555212.394833837</v>
      </c>
      <c r="E23" s="397"/>
      <c r="F23" s="354">
        <f>'5.1'!H35</f>
        <v>-0.16492677214543189</v>
      </c>
      <c r="G23" s="282">
        <f>AVERAGE('6.8'!G23,'6.9'!G23,'6.10'!G23)</f>
        <v>2.3975038402457756</v>
      </c>
      <c r="H23" s="282">
        <f>MAX('6.8'!H23,'6.9'!H23,'6.10'!H23)</f>
        <v>9.8000000000000007</v>
      </c>
      <c r="I23" s="282">
        <f>MIN('6.8'!I23,'6.9'!I23,'6.10'!I23)</f>
        <v>-3.8</v>
      </c>
      <c r="J23" s="282">
        <f>AVERAGE('6.8'!J23,'6.9'!J23,'6.10'!J23)</f>
        <v>0.71064145346681462</v>
      </c>
      <c r="K23" s="282">
        <f t="shared" si="1"/>
        <v>1.6868623867789609</v>
      </c>
    </row>
    <row r="24" spans="1:16" ht="15" customHeight="1">
      <c r="A24" s="102"/>
      <c r="B24" s="95"/>
      <c r="C24" s="512" t="s">
        <v>249</v>
      </c>
      <c r="D24" s="512"/>
      <c r="E24" s="512"/>
      <c r="F24" s="512"/>
      <c r="G24" s="515" t="s">
        <v>247</v>
      </c>
      <c r="H24" s="515"/>
      <c r="I24" s="515"/>
      <c r="J24" s="515"/>
      <c r="K24" s="515"/>
    </row>
    <row r="25" spans="1:16" ht="15" customHeight="1">
      <c r="A25" s="95"/>
      <c r="B25" s="95"/>
      <c r="C25" s="512"/>
      <c r="D25" s="512"/>
      <c r="E25" s="512"/>
      <c r="F25" s="512"/>
      <c r="G25" s="515" t="s">
        <v>248</v>
      </c>
      <c r="H25" s="515"/>
      <c r="I25" s="515"/>
      <c r="J25" s="515"/>
      <c r="K25" s="515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75" t="s">
        <v>262</v>
      </c>
      <c r="B29" s="475"/>
      <c r="C29" s="475"/>
      <c r="D29" s="475"/>
      <c r="E29" s="475"/>
      <c r="F29" s="475" t="s">
        <v>61</v>
      </c>
      <c r="G29" s="475"/>
      <c r="H29" s="475"/>
      <c r="I29" s="475"/>
      <c r="J29" s="475"/>
      <c r="K29" s="475"/>
    </row>
    <row r="30" spans="1:16" ht="15" customHeight="1">
      <c r="A30" s="121"/>
      <c r="B30" s="518"/>
      <c r="C30" s="518"/>
      <c r="D30" s="121"/>
      <c r="E30" s="121"/>
      <c r="F30" s="121"/>
      <c r="G30" s="121"/>
      <c r="H30" s="518"/>
      <c r="I30" s="513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" style="12" customWidth="1"/>
    <col min="2" max="12" width="7.7109375" style="12" customWidth="1"/>
    <col min="13" max="13" width="8.140625" style="12" customWidth="1"/>
    <col min="14" max="15" width="7.7109375" style="12" customWidth="1"/>
    <col min="16" max="16" width="9.140625" style="12" customWidth="1"/>
    <col min="17" max="17" width="8.28515625" style="12" customWidth="1"/>
    <col min="18" max="18" width="9.42578125" style="12" customWidth="1"/>
    <col min="19" max="19" width="9.28515625" style="12" bestFit="1" customWidth="1"/>
    <col min="20" max="20" width="11.42578125" style="12" bestFit="1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18">
      <c r="A1" s="448" t="s">
        <v>317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</row>
    <row r="2" spans="1:22" ht="6" customHeight="1">
      <c r="A2" s="522"/>
      <c r="B2" s="523"/>
      <c r="C2" s="523"/>
      <c r="D2" s="523"/>
      <c r="E2" s="523"/>
      <c r="F2" s="523"/>
      <c r="G2" s="523"/>
      <c r="H2" s="523"/>
      <c r="I2" s="523"/>
      <c r="J2" s="209"/>
      <c r="K2" s="208"/>
      <c r="L2" s="208"/>
      <c r="M2" s="208"/>
      <c r="N2" s="208"/>
      <c r="O2" s="208"/>
      <c r="P2" s="208"/>
      <c r="Q2" s="208"/>
      <c r="R2" s="208"/>
    </row>
    <row r="3" spans="1:22" ht="35.1" customHeight="1">
      <c r="A3" s="444" t="s">
        <v>282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</row>
    <row r="4" spans="1:22" ht="84.95" customHeight="1">
      <c r="A4" s="221">
        <f>'3.1'!A4</f>
        <v>2022</v>
      </c>
      <c r="B4" s="399" t="s">
        <v>68</v>
      </c>
      <c r="C4" s="399" t="s">
        <v>69</v>
      </c>
      <c r="D4" s="399" t="s">
        <v>70</v>
      </c>
      <c r="E4" s="399" t="s">
        <v>91</v>
      </c>
      <c r="F4" s="399" t="s">
        <v>71</v>
      </c>
      <c r="G4" s="399" t="s">
        <v>72</v>
      </c>
      <c r="H4" s="399" t="s">
        <v>73</v>
      </c>
      <c r="I4" s="399" t="s">
        <v>74</v>
      </c>
      <c r="J4" s="399" t="s">
        <v>75</v>
      </c>
      <c r="K4" s="399" t="s">
        <v>76</v>
      </c>
      <c r="L4" s="399" t="s">
        <v>77</v>
      </c>
      <c r="M4" s="399" t="s">
        <v>78</v>
      </c>
      <c r="N4" s="399" t="s">
        <v>79</v>
      </c>
      <c r="O4" s="399" t="s">
        <v>80</v>
      </c>
      <c r="P4" s="399" t="s">
        <v>81</v>
      </c>
      <c r="Q4" s="399" t="s">
        <v>95</v>
      </c>
      <c r="R4" s="399" t="s">
        <v>82</v>
      </c>
    </row>
    <row r="5" spans="1:22" ht="20.100000000000001" customHeight="1">
      <c r="A5" s="177" t="s">
        <v>161</v>
      </c>
      <c r="B5" s="253">
        <v>38941.378410000005</v>
      </c>
      <c r="C5" s="253">
        <v>155040.59999999998</v>
      </c>
      <c r="D5" s="256">
        <v>27716.7</v>
      </c>
      <c r="E5" s="256">
        <v>48268.799999999996</v>
      </c>
      <c r="F5" s="256">
        <v>45371.500000000007</v>
      </c>
      <c r="G5" s="256">
        <v>113382.61799999999</v>
      </c>
      <c r="H5" s="256">
        <v>68290.900000000009</v>
      </c>
      <c r="I5" s="256">
        <v>50033.899999999994</v>
      </c>
      <c r="J5" s="256">
        <v>52042.9</v>
      </c>
      <c r="K5" s="253">
        <v>127940.34146005199</v>
      </c>
      <c r="L5" s="253">
        <v>145375.462</v>
      </c>
      <c r="M5" s="256">
        <v>132512.64600000001</v>
      </c>
      <c r="N5" s="256">
        <v>46827.456590000002</v>
      </c>
      <c r="O5" s="256">
        <v>59006.3</v>
      </c>
      <c r="P5" s="256">
        <v>1110751.502460052</v>
      </c>
      <c r="Q5" s="256">
        <v>23511.330737856249</v>
      </c>
      <c r="R5" s="256">
        <v>1134262.8331979082</v>
      </c>
      <c r="S5" s="56"/>
      <c r="T5" s="57"/>
      <c r="U5" s="57"/>
      <c r="V5" s="57"/>
    </row>
    <row r="6" spans="1:22" ht="20.100000000000001" customHeight="1">
      <c r="A6" s="177" t="s">
        <v>162</v>
      </c>
      <c r="B6" s="253">
        <v>31696.996150000003</v>
      </c>
      <c r="C6" s="256">
        <v>121742.70000000001</v>
      </c>
      <c r="D6" s="256">
        <v>22940.2</v>
      </c>
      <c r="E6" s="256">
        <v>37784.6</v>
      </c>
      <c r="F6" s="256">
        <v>36916.5</v>
      </c>
      <c r="G6" s="256">
        <v>93022.157000000007</v>
      </c>
      <c r="H6" s="256">
        <v>53134.6</v>
      </c>
      <c r="I6" s="256">
        <v>41668.699999999997</v>
      </c>
      <c r="J6" s="256">
        <v>42496.800000000003</v>
      </c>
      <c r="K6" s="253">
        <v>100771.986728381</v>
      </c>
      <c r="L6" s="256">
        <v>113122.25499999999</v>
      </c>
      <c r="M6" s="256">
        <v>89484.081999999995</v>
      </c>
      <c r="N6" s="256">
        <v>37061.16085</v>
      </c>
      <c r="O6" s="256">
        <v>46553.200000000004</v>
      </c>
      <c r="P6" s="256">
        <v>868395.9377283809</v>
      </c>
      <c r="Q6" s="256">
        <v>22104.462365356801</v>
      </c>
      <c r="R6" s="256">
        <v>890500.40009373776</v>
      </c>
      <c r="S6" s="58"/>
      <c r="T6" s="57"/>
      <c r="U6" s="57"/>
      <c r="V6" s="57"/>
    </row>
    <row r="7" spans="1:22" ht="20.100000000000001" customHeight="1">
      <c r="A7" s="180" t="s">
        <v>163</v>
      </c>
      <c r="B7" s="258">
        <v>31895.59232</v>
      </c>
      <c r="C7" s="259">
        <v>122851.00000000001</v>
      </c>
      <c r="D7" s="259">
        <v>22590</v>
      </c>
      <c r="E7" s="259">
        <v>37381.4</v>
      </c>
      <c r="F7" s="259">
        <v>36634.699999999997</v>
      </c>
      <c r="G7" s="259">
        <v>93498.948000000004</v>
      </c>
      <c r="H7" s="259">
        <v>55533.3</v>
      </c>
      <c r="I7" s="259">
        <v>41065.500000000007</v>
      </c>
      <c r="J7" s="259">
        <v>42773.200000000004</v>
      </c>
      <c r="K7" s="258">
        <v>98145.136536463746</v>
      </c>
      <c r="L7" s="259">
        <v>114295.02799999999</v>
      </c>
      <c r="M7" s="259">
        <v>121996.359</v>
      </c>
      <c r="N7" s="259">
        <v>36987.200680000002</v>
      </c>
      <c r="O7" s="259">
        <v>47677.900000000009</v>
      </c>
      <c r="P7" s="259">
        <v>903325.26453646377</v>
      </c>
      <c r="Q7" s="259">
        <v>19294.2278982315</v>
      </c>
      <c r="R7" s="259">
        <v>922619.49243469525</v>
      </c>
      <c r="S7" s="59"/>
      <c r="T7" s="57"/>
      <c r="U7" s="57"/>
      <c r="V7" s="57"/>
    </row>
    <row r="8" spans="1:22" ht="20.100000000000001" customHeight="1">
      <c r="A8" s="177" t="s">
        <v>164</v>
      </c>
      <c r="B8" s="253"/>
      <c r="C8" s="256"/>
      <c r="D8" s="256"/>
      <c r="E8" s="256"/>
      <c r="F8" s="256"/>
      <c r="G8" s="256"/>
      <c r="H8" s="256"/>
      <c r="I8" s="256"/>
      <c r="J8" s="256"/>
      <c r="K8" s="253"/>
      <c r="L8" s="256"/>
      <c r="M8" s="256"/>
      <c r="N8" s="256"/>
      <c r="O8" s="256"/>
      <c r="P8" s="256"/>
      <c r="Q8" s="256"/>
      <c r="R8" s="256"/>
      <c r="S8" s="58"/>
      <c r="T8" s="57"/>
      <c r="U8" s="57"/>
      <c r="V8" s="57"/>
    </row>
    <row r="9" spans="1:22" ht="20.100000000000001" customHeight="1">
      <c r="A9" s="177" t="s">
        <v>165</v>
      </c>
      <c r="B9" s="253"/>
      <c r="C9" s="256"/>
      <c r="D9" s="256"/>
      <c r="E9" s="256"/>
      <c r="F9" s="256"/>
      <c r="G9" s="256"/>
      <c r="H9" s="256"/>
      <c r="I9" s="256"/>
      <c r="J9" s="256"/>
      <c r="K9" s="253"/>
      <c r="L9" s="256"/>
      <c r="M9" s="256"/>
      <c r="N9" s="256"/>
      <c r="O9" s="256"/>
      <c r="P9" s="256"/>
      <c r="Q9" s="256"/>
      <c r="R9" s="256"/>
      <c r="S9" s="58"/>
      <c r="T9" s="57"/>
      <c r="U9" s="57"/>
      <c r="V9" s="57"/>
    </row>
    <row r="10" spans="1:22" ht="20.100000000000001" customHeight="1">
      <c r="A10" s="180" t="s">
        <v>166</v>
      </c>
      <c r="B10" s="258"/>
      <c r="C10" s="259"/>
      <c r="D10" s="259"/>
      <c r="E10" s="259"/>
      <c r="F10" s="259"/>
      <c r="G10" s="259"/>
      <c r="H10" s="259"/>
      <c r="I10" s="259"/>
      <c r="J10" s="259"/>
      <c r="K10" s="258"/>
      <c r="L10" s="259"/>
      <c r="M10" s="259"/>
      <c r="N10" s="259"/>
      <c r="O10" s="259"/>
      <c r="P10" s="259"/>
      <c r="Q10" s="259"/>
      <c r="R10" s="259"/>
      <c r="S10" s="58"/>
      <c r="T10" s="57"/>
      <c r="U10" s="57"/>
      <c r="V10" s="57"/>
    </row>
    <row r="11" spans="1:22" ht="20.100000000000001" customHeight="1">
      <c r="A11" s="177" t="s">
        <v>167</v>
      </c>
      <c r="B11" s="253"/>
      <c r="C11" s="256"/>
      <c r="D11" s="256"/>
      <c r="E11" s="256"/>
      <c r="F11" s="256"/>
      <c r="G11" s="256"/>
      <c r="H11" s="256"/>
      <c r="I11" s="256"/>
      <c r="J11" s="256"/>
      <c r="K11" s="253"/>
      <c r="L11" s="256"/>
      <c r="M11" s="256"/>
      <c r="N11" s="256"/>
      <c r="O11" s="256"/>
      <c r="P11" s="256"/>
      <c r="Q11" s="256"/>
      <c r="R11" s="256"/>
      <c r="S11" s="58"/>
      <c r="T11" s="57"/>
      <c r="U11" s="57"/>
      <c r="V11" s="57"/>
    </row>
    <row r="12" spans="1:22" ht="20.100000000000001" customHeight="1">
      <c r="A12" s="177" t="s">
        <v>168</v>
      </c>
      <c r="B12" s="253"/>
      <c r="C12" s="256"/>
      <c r="D12" s="256"/>
      <c r="E12" s="256"/>
      <c r="F12" s="256"/>
      <c r="G12" s="256"/>
      <c r="H12" s="256"/>
      <c r="I12" s="256"/>
      <c r="J12" s="256"/>
      <c r="K12" s="253"/>
      <c r="L12" s="256"/>
      <c r="M12" s="256"/>
      <c r="N12" s="256"/>
      <c r="O12" s="256"/>
      <c r="P12" s="256"/>
      <c r="Q12" s="256"/>
      <c r="R12" s="256"/>
      <c r="S12" s="58"/>
      <c r="T12" s="57"/>
      <c r="U12" s="57"/>
      <c r="V12" s="57"/>
    </row>
    <row r="13" spans="1:22" ht="20.100000000000001" customHeight="1">
      <c r="A13" s="180" t="s">
        <v>169</v>
      </c>
      <c r="B13" s="258"/>
      <c r="C13" s="259"/>
      <c r="D13" s="259"/>
      <c r="E13" s="259"/>
      <c r="F13" s="259"/>
      <c r="G13" s="259"/>
      <c r="H13" s="259"/>
      <c r="I13" s="259"/>
      <c r="J13" s="259"/>
      <c r="K13" s="258"/>
      <c r="L13" s="259"/>
      <c r="M13" s="259"/>
      <c r="N13" s="259"/>
      <c r="O13" s="259"/>
      <c r="P13" s="259"/>
      <c r="Q13" s="259"/>
      <c r="R13" s="259"/>
      <c r="S13" s="58"/>
      <c r="T13" s="57"/>
      <c r="U13" s="57"/>
      <c r="V13" s="57"/>
    </row>
    <row r="14" spans="1:22" ht="20.100000000000001" customHeight="1">
      <c r="A14" s="177" t="s">
        <v>170</v>
      </c>
      <c r="B14" s="253"/>
      <c r="C14" s="256"/>
      <c r="D14" s="256"/>
      <c r="E14" s="256"/>
      <c r="F14" s="256"/>
      <c r="G14" s="256"/>
      <c r="H14" s="256"/>
      <c r="I14" s="256"/>
      <c r="J14" s="256"/>
      <c r="K14" s="253"/>
      <c r="L14" s="256"/>
      <c r="M14" s="256"/>
      <c r="N14" s="256"/>
      <c r="O14" s="256"/>
      <c r="P14" s="256"/>
      <c r="Q14" s="256"/>
      <c r="R14" s="256"/>
      <c r="S14" s="58"/>
      <c r="T14" s="57"/>
      <c r="U14" s="57"/>
      <c r="V14" s="57"/>
    </row>
    <row r="15" spans="1:22" ht="20.100000000000001" customHeight="1">
      <c r="A15" s="177" t="s">
        <v>171</v>
      </c>
      <c r="B15" s="253"/>
      <c r="C15" s="256"/>
      <c r="D15" s="256"/>
      <c r="E15" s="256"/>
      <c r="F15" s="256"/>
      <c r="G15" s="256"/>
      <c r="H15" s="256"/>
      <c r="I15" s="256"/>
      <c r="J15" s="256"/>
      <c r="K15" s="253"/>
      <c r="L15" s="256"/>
      <c r="M15" s="256"/>
      <c r="N15" s="256"/>
      <c r="O15" s="256"/>
      <c r="P15" s="256"/>
      <c r="Q15" s="256"/>
      <c r="R15" s="256"/>
      <c r="S15" s="58"/>
      <c r="T15" s="57"/>
      <c r="U15" s="57"/>
      <c r="V15" s="57"/>
    </row>
    <row r="16" spans="1:22" ht="20.100000000000001" customHeight="1">
      <c r="A16" s="180" t="s">
        <v>172</v>
      </c>
      <c r="B16" s="258"/>
      <c r="C16" s="259"/>
      <c r="D16" s="259"/>
      <c r="E16" s="259"/>
      <c r="F16" s="259"/>
      <c r="G16" s="259"/>
      <c r="H16" s="259"/>
      <c r="I16" s="259"/>
      <c r="J16" s="259"/>
      <c r="K16" s="258"/>
      <c r="L16" s="259"/>
      <c r="M16" s="259"/>
      <c r="N16" s="259"/>
      <c r="O16" s="259"/>
      <c r="P16" s="259"/>
      <c r="Q16" s="259"/>
      <c r="R16" s="259"/>
      <c r="S16" s="58"/>
      <c r="T16" s="57"/>
      <c r="U16" s="57"/>
      <c r="V16" s="57"/>
    </row>
    <row r="17" spans="1:22" ht="20.100000000000001" customHeight="1">
      <c r="A17" s="177" t="s">
        <v>48</v>
      </c>
      <c r="B17" s="253">
        <f>SUM(B5:B7)</f>
        <v>102533.96688000001</v>
      </c>
      <c r="C17" s="253">
        <f>SUM(C5:C7)</f>
        <v>399634.3</v>
      </c>
      <c r="D17" s="253">
        <f t="shared" ref="D17:J17" si="0">SUM(D5:D7)</f>
        <v>73246.899999999994</v>
      </c>
      <c r="E17" s="253">
        <f t="shared" si="0"/>
        <v>123434.79999999999</v>
      </c>
      <c r="F17" s="253">
        <f t="shared" si="0"/>
        <v>118922.7</v>
      </c>
      <c r="G17" s="253">
        <f t="shared" si="0"/>
        <v>299903.723</v>
      </c>
      <c r="H17" s="253">
        <f t="shared" si="0"/>
        <v>176958.8</v>
      </c>
      <c r="I17" s="253">
        <f t="shared" si="0"/>
        <v>132768.1</v>
      </c>
      <c r="J17" s="253">
        <f t="shared" si="0"/>
        <v>137312.90000000002</v>
      </c>
      <c r="K17" s="253">
        <f>SUM(K5:K7)</f>
        <v>326857.46472489671</v>
      </c>
      <c r="L17" s="253">
        <f t="shared" ref="L17:R17" si="1">SUM(L5:L7)</f>
        <v>372792.745</v>
      </c>
      <c r="M17" s="253">
        <f t="shared" si="1"/>
        <v>343993.087</v>
      </c>
      <c r="N17" s="253">
        <f t="shared" si="1"/>
        <v>120875.81812000001</v>
      </c>
      <c r="O17" s="253">
        <f t="shared" si="1"/>
        <v>153237.40000000002</v>
      </c>
      <c r="P17" s="253">
        <f t="shared" si="1"/>
        <v>2882472.7047248967</v>
      </c>
      <c r="Q17" s="253">
        <f t="shared" si="1"/>
        <v>64910.021001444547</v>
      </c>
      <c r="R17" s="253">
        <f t="shared" si="1"/>
        <v>2947382.7257263414</v>
      </c>
    </row>
    <row r="18" spans="1:22" ht="20.100000000000001" customHeight="1">
      <c r="A18" s="177" t="s">
        <v>56</v>
      </c>
      <c r="B18" s="254">
        <f>SUM(B8:B10)</f>
        <v>0</v>
      </c>
      <c r="C18" s="254">
        <f>SUM(C8:C10)</f>
        <v>0</v>
      </c>
      <c r="D18" s="254">
        <f t="shared" ref="D18:J18" si="2">SUM(D8:D10)</f>
        <v>0</v>
      </c>
      <c r="E18" s="254">
        <f t="shared" si="2"/>
        <v>0</v>
      </c>
      <c r="F18" s="254">
        <f t="shared" si="2"/>
        <v>0</v>
      </c>
      <c r="G18" s="254">
        <f t="shared" si="2"/>
        <v>0</v>
      </c>
      <c r="H18" s="254">
        <f t="shared" si="2"/>
        <v>0</v>
      </c>
      <c r="I18" s="254">
        <f t="shared" si="2"/>
        <v>0</v>
      </c>
      <c r="J18" s="254">
        <f t="shared" si="2"/>
        <v>0</v>
      </c>
      <c r="K18" s="254">
        <f>SUM(K8:K10)</f>
        <v>0</v>
      </c>
      <c r="L18" s="254">
        <f t="shared" ref="L18:R18" si="3">SUM(L8:L10)</f>
        <v>0</v>
      </c>
      <c r="M18" s="254">
        <f t="shared" si="3"/>
        <v>0</v>
      </c>
      <c r="N18" s="254">
        <f t="shared" si="3"/>
        <v>0</v>
      </c>
      <c r="O18" s="254">
        <f t="shared" si="3"/>
        <v>0</v>
      </c>
      <c r="P18" s="254">
        <f t="shared" si="3"/>
        <v>0</v>
      </c>
      <c r="Q18" s="254">
        <f t="shared" si="3"/>
        <v>0</v>
      </c>
      <c r="R18" s="254">
        <f t="shared" si="3"/>
        <v>0</v>
      </c>
    </row>
    <row r="19" spans="1:22" ht="20.100000000000001" customHeight="1">
      <c r="A19" s="177" t="s">
        <v>63</v>
      </c>
      <c r="B19" s="254">
        <f>SUM(B11:B13)</f>
        <v>0</v>
      </c>
      <c r="C19" s="254">
        <f>SUM(C11:C13)</f>
        <v>0</v>
      </c>
      <c r="D19" s="254">
        <f t="shared" ref="D19:J19" si="4">SUM(D11:D13)</f>
        <v>0</v>
      </c>
      <c r="E19" s="254">
        <f t="shared" si="4"/>
        <v>0</v>
      </c>
      <c r="F19" s="254">
        <f t="shared" si="4"/>
        <v>0</v>
      </c>
      <c r="G19" s="254">
        <f t="shared" si="4"/>
        <v>0</v>
      </c>
      <c r="H19" s="254">
        <f t="shared" si="4"/>
        <v>0</v>
      </c>
      <c r="I19" s="254">
        <f t="shared" si="4"/>
        <v>0</v>
      </c>
      <c r="J19" s="254">
        <f t="shared" si="4"/>
        <v>0</v>
      </c>
      <c r="K19" s="254">
        <f>SUM(K11:K13)</f>
        <v>0</v>
      </c>
      <c r="L19" s="254">
        <f t="shared" ref="L19:R19" si="5">SUM(L11:L13)</f>
        <v>0</v>
      </c>
      <c r="M19" s="254">
        <f t="shared" si="5"/>
        <v>0</v>
      </c>
      <c r="N19" s="254">
        <f t="shared" si="5"/>
        <v>0</v>
      </c>
      <c r="O19" s="254">
        <f t="shared" si="5"/>
        <v>0</v>
      </c>
      <c r="P19" s="254">
        <f t="shared" si="5"/>
        <v>0</v>
      </c>
      <c r="Q19" s="254">
        <f t="shared" si="5"/>
        <v>0</v>
      </c>
      <c r="R19" s="254">
        <f t="shared" si="5"/>
        <v>0</v>
      </c>
    </row>
    <row r="20" spans="1:22" ht="20.100000000000001" customHeight="1">
      <c r="A20" s="180" t="s">
        <v>57</v>
      </c>
      <c r="B20" s="364">
        <f>SUM(B14:B16)</f>
        <v>0</v>
      </c>
      <c r="C20" s="364">
        <f>SUM(C14:C16)</f>
        <v>0</v>
      </c>
      <c r="D20" s="364">
        <f t="shared" ref="D20:J20" si="6">SUM(D14:D16)</f>
        <v>0</v>
      </c>
      <c r="E20" s="364">
        <f t="shared" si="6"/>
        <v>0</v>
      </c>
      <c r="F20" s="364">
        <f t="shared" si="6"/>
        <v>0</v>
      </c>
      <c r="G20" s="364">
        <f t="shared" si="6"/>
        <v>0</v>
      </c>
      <c r="H20" s="364">
        <f t="shared" si="6"/>
        <v>0</v>
      </c>
      <c r="I20" s="364">
        <f t="shared" si="6"/>
        <v>0</v>
      </c>
      <c r="J20" s="364">
        <f t="shared" si="6"/>
        <v>0</v>
      </c>
      <c r="K20" s="364">
        <f>SUM(K14:K16)</f>
        <v>0</v>
      </c>
      <c r="L20" s="364">
        <f t="shared" ref="L20:R20" si="7">SUM(L14:L16)</f>
        <v>0</v>
      </c>
      <c r="M20" s="364">
        <f t="shared" si="7"/>
        <v>0</v>
      </c>
      <c r="N20" s="364">
        <f t="shared" si="7"/>
        <v>0</v>
      </c>
      <c r="O20" s="364">
        <f t="shared" si="7"/>
        <v>0</v>
      </c>
      <c r="P20" s="364">
        <f t="shared" si="7"/>
        <v>0</v>
      </c>
      <c r="Q20" s="364">
        <f t="shared" si="7"/>
        <v>0</v>
      </c>
      <c r="R20" s="364">
        <f t="shared" si="7"/>
        <v>0</v>
      </c>
    </row>
    <row r="21" spans="1:22" ht="20.100000000000001" customHeight="1">
      <c r="A21" s="177" t="s">
        <v>58</v>
      </c>
      <c r="B21" s="254">
        <f>SUM(B5:B10)</f>
        <v>102533.96688000001</v>
      </c>
      <c r="C21" s="254">
        <f>SUM(C5:C10)</f>
        <v>399634.3</v>
      </c>
      <c r="D21" s="254">
        <f t="shared" ref="D21:J21" si="8">SUM(D5:D10)</f>
        <v>73246.899999999994</v>
      </c>
      <c r="E21" s="254">
        <f t="shared" si="8"/>
        <v>123434.79999999999</v>
      </c>
      <c r="F21" s="254">
        <f t="shared" si="8"/>
        <v>118922.7</v>
      </c>
      <c r="G21" s="254">
        <f t="shared" si="8"/>
        <v>299903.723</v>
      </c>
      <c r="H21" s="254">
        <f t="shared" si="8"/>
        <v>176958.8</v>
      </c>
      <c r="I21" s="254">
        <f t="shared" si="8"/>
        <v>132768.1</v>
      </c>
      <c r="J21" s="254">
        <f t="shared" si="8"/>
        <v>137312.90000000002</v>
      </c>
      <c r="K21" s="254">
        <f>SUM(K5:K10)</f>
        <v>326857.46472489671</v>
      </c>
      <c r="L21" s="254">
        <f t="shared" ref="L21:R21" si="9">SUM(L5:L10)</f>
        <v>372792.745</v>
      </c>
      <c r="M21" s="254">
        <f t="shared" si="9"/>
        <v>343993.087</v>
      </c>
      <c r="N21" s="254">
        <f t="shared" si="9"/>
        <v>120875.81812000001</v>
      </c>
      <c r="O21" s="254">
        <f t="shared" si="9"/>
        <v>153237.40000000002</v>
      </c>
      <c r="P21" s="254">
        <f t="shared" si="9"/>
        <v>2882472.7047248967</v>
      </c>
      <c r="Q21" s="254">
        <f t="shared" si="9"/>
        <v>64910.021001444547</v>
      </c>
      <c r="R21" s="254">
        <f t="shared" si="9"/>
        <v>2947382.7257263414</v>
      </c>
    </row>
    <row r="22" spans="1:22" ht="20.100000000000001" customHeight="1">
      <c r="A22" s="180" t="s">
        <v>59</v>
      </c>
      <c r="B22" s="364">
        <f>SUM(B11:B16)</f>
        <v>0</v>
      </c>
      <c r="C22" s="364">
        <f>SUM(C11:C16)</f>
        <v>0</v>
      </c>
      <c r="D22" s="364">
        <f t="shared" ref="D22:J22" si="10">SUM(D11:D16)</f>
        <v>0</v>
      </c>
      <c r="E22" s="364">
        <f t="shared" si="10"/>
        <v>0</v>
      </c>
      <c r="F22" s="364">
        <f t="shared" si="10"/>
        <v>0</v>
      </c>
      <c r="G22" s="364">
        <f t="shared" si="10"/>
        <v>0</v>
      </c>
      <c r="H22" s="364">
        <f t="shared" si="10"/>
        <v>0</v>
      </c>
      <c r="I22" s="364">
        <f t="shared" si="10"/>
        <v>0</v>
      </c>
      <c r="J22" s="364">
        <f t="shared" si="10"/>
        <v>0</v>
      </c>
      <c r="K22" s="364">
        <f>SUM(K11:K16)</f>
        <v>0</v>
      </c>
      <c r="L22" s="364">
        <f t="shared" ref="L22:R22" si="11">SUM(L11:L16)</f>
        <v>0</v>
      </c>
      <c r="M22" s="364">
        <f t="shared" si="11"/>
        <v>0</v>
      </c>
      <c r="N22" s="364">
        <f t="shared" si="11"/>
        <v>0</v>
      </c>
      <c r="O22" s="364">
        <f t="shared" si="11"/>
        <v>0</v>
      </c>
      <c r="P22" s="364">
        <f t="shared" si="11"/>
        <v>0</v>
      </c>
      <c r="Q22" s="364">
        <f t="shared" si="11"/>
        <v>0</v>
      </c>
      <c r="R22" s="364">
        <f t="shared" si="11"/>
        <v>0</v>
      </c>
    </row>
    <row r="23" spans="1:22" ht="20.100000000000001" customHeight="1">
      <c r="A23" s="218" t="s">
        <v>173</v>
      </c>
      <c r="B23" s="367">
        <f>SUM(B5:B16)</f>
        <v>102533.96688000001</v>
      </c>
      <c r="C23" s="367">
        <f>SUM(C5:C16)</f>
        <v>399634.3</v>
      </c>
      <c r="D23" s="367">
        <f t="shared" ref="D23:J23" si="12">SUM(D5:D16)</f>
        <v>73246.899999999994</v>
      </c>
      <c r="E23" s="367">
        <f t="shared" si="12"/>
        <v>123434.79999999999</v>
      </c>
      <c r="F23" s="367">
        <f t="shared" si="12"/>
        <v>118922.7</v>
      </c>
      <c r="G23" s="367">
        <f t="shared" si="12"/>
        <v>299903.723</v>
      </c>
      <c r="H23" s="367">
        <f t="shared" si="12"/>
        <v>176958.8</v>
      </c>
      <c r="I23" s="367">
        <f t="shared" si="12"/>
        <v>132768.1</v>
      </c>
      <c r="J23" s="367">
        <f t="shared" si="12"/>
        <v>137312.90000000002</v>
      </c>
      <c r="K23" s="367">
        <f>SUM(K5:K16)</f>
        <v>326857.46472489671</v>
      </c>
      <c r="L23" s="367">
        <f t="shared" ref="L23:R23" si="13">SUM(L5:L16)</f>
        <v>372792.745</v>
      </c>
      <c r="M23" s="367">
        <f t="shared" si="13"/>
        <v>343993.087</v>
      </c>
      <c r="N23" s="367">
        <f t="shared" si="13"/>
        <v>120875.81812000001</v>
      </c>
      <c r="O23" s="367">
        <f t="shared" si="13"/>
        <v>153237.40000000002</v>
      </c>
      <c r="P23" s="367">
        <f t="shared" si="13"/>
        <v>2882472.7047248967</v>
      </c>
      <c r="Q23" s="367">
        <f t="shared" si="13"/>
        <v>64910.021001444547</v>
      </c>
      <c r="R23" s="367">
        <f t="shared" si="13"/>
        <v>2947382.7257263414</v>
      </c>
    </row>
    <row r="25" spans="1:22" ht="12" customHeight="1">
      <c r="A25" s="60"/>
      <c r="B25" s="60"/>
      <c r="C25" s="60"/>
      <c r="H25" s="60"/>
      <c r="I25" s="60"/>
      <c r="J25" s="60"/>
      <c r="K25" s="60"/>
      <c r="O25" s="60"/>
      <c r="P25" s="60"/>
      <c r="Q25" s="60"/>
      <c r="R25" s="60"/>
    </row>
    <row r="26" spans="1:22" ht="12" customHeight="1">
      <c r="E26" s="63"/>
      <c r="F26" s="63"/>
      <c r="G26" s="63"/>
      <c r="H26" s="63"/>
      <c r="L26" s="63"/>
      <c r="M26" s="63"/>
      <c r="N26" s="63"/>
    </row>
    <row r="27" spans="1:22" ht="12" customHeight="1">
      <c r="E27" s="63"/>
      <c r="F27" s="63"/>
      <c r="G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35.1" customHeight="1">
      <c r="A29" s="444" t="s">
        <v>195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4"/>
      <c r="O29" s="444"/>
      <c r="P29" s="444"/>
      <c r="Q29" s="444"/>
      <c r="R29" s="444"/>
    </row>
    <row r="30" spans="1:22" ht="84.95" customHeight="1">
      <c r="A30" s="221">
        <f>A4</f>
        <v>2022</v>
      </c>
      <c r="B30" s="399" t="s">
        <v>68</v>
      </c>
      <c r="C30" s="399" t="s">
        <v>69</v>
      </c>
      <c r="D30" s="399" t="s">
        <v>70</v>
      </c>
      <c r="E30" s="399" t="s">
        <v>91</v>
      </c>
      <c r="F30" s="399" t="s">
        <v>71</v>
      </c>
      <c r="G30" s="399" t="s">
        <v>72</v>
      </c>
      <c r="H30" s="399" t="s">
        <v>73</v>
      </c>
      <c r="I30" s="399" t="s">
        <v>74</v>
      </c>
      <c r="J30" s="399" t="s">
        <v>75</v>
      </c>
      <c r="K30" s="399" t="s">
        <v>76</v>
      </c>
      <c r="L30" s="399" t="s">
        <v>77</v>
      </c>
      <c r="M30" s="399" t="s">
        <v>78</v>
      </c>
      <c r="N30" s="399" t="s">
        <v>79</v>
      </c>
      <c r="O30" s="399" t="s">
        <v>80</v>
      </c>
      <c r="P30" s="399" t="s">
        <v>81</v>
      </c>
      <c r="Q30" s="399" t="s">
        <v>95</v>
      </c>
      <c r="R30" s="399" t="s">
        <v>82</v>
      </c>
    </row>
    <row r="31" spans="1:22" ht="20.100000000000001" customHeight="1">
      <c r="A31" s="177" t="s">
        <v>161</v>
      </c>
      <c r="B31" s="253">
        <v>415762.53735999996</v>
      </c>
      <c r="C31" s="253">
        <v>1656158.39053</v>
      </c>
      <c r="D31" s="256">
        <v>296073.45328000002</v>
      </c>
      <c r="E31" s="256">
        <v>515612.36231000011</v>
      </c>
      <c r="F31" s="256">
        <v>484662.49001999991</v>
      </c>
      <c r="G31" s="256">
        <v>1210940.7311200001</v>
      </c>
      <c r="H31" s="256">
        <v>729489.64507999993</v>
      </c>
      <c r="I31" s="256">
        <v>534468.11779000005</v>
      </c>
      <c r="J31" s="256">
        <v>555927.97626999998</v>
      </c>
      <c r="K31" s="253">
        <v>1368175.8003100001</v>
      </c>
      <c r="L31" s="253">
        <v>1552927.0968700002</v>
      </c>
      <c r="M31" s="256">
        <v>1416639.9042900002</v>
      </c>
      <c r="N31" s="256">
        <v>500184.4264600001</v>
      </c>
      <c r="O31" s="256">
        <v>630310.83455000003</v>
      </c>
      <c r="P31" s="256">
        <v>11867333.766240001</v>
      </c>
      <c r="Q31" s="256">
        <v>251455.84312599999</v>
      </c>
      <c r="R31" s="256">
        <v>12118789.609366002</v>
      </c>
      <c r="S31" s="56"/>
      <c r="T31" s="57"/>
      <c r="U31" s="57"/>
      <c r="V31" s="57"/>
    </row>
    <row r="32" spans="1:22" ht="20.100000000000001" customHeight="1">
      <c r="A32" s="177" t="s">
        <v>162</v>
      </c>
      <c r="B32" s="253">
        <v>339014.19744999998</v>
      </c>
      <c r="C32" s="256">
        <v>1302011.8568399998</v>
      </c>
      <c r="D32" s="256">
        <v>245340.21466000003</v>
      </c>
      <c r="E32" s="256">
        <v>404098.56219000008</v>
      </c>
      <c r="F32" s="256">
        <v>394815.80985000002</v>
      </c>
      <c r="G32" s="256">
        <v>994647.18639000005</v>
      </c>
      <c r="H32" s="256">
        <v>568263.20821999991</v>
      </c>
      <c r="I32" s="256">
        <v>445637.76092000003</v>
      </c>
      <c r="J32" s="256">
        <v>454493.27653000009</v>
      </c>
      <c r="K32" s="253">
        <v>1080729.21725</v>
      </c>
      <c r="L32" s="256">
        <v>1209839.1711969997</v>
      </c>
      <c r="M32" s="256">
        <v>957177.56342000014</v>
      </c>
      <c r="N32" s="256">
        <v>396364.24987000006</v>
      </c>
      <c r="O32" s="256">
        <v>497876.77665000001</v>
      </c>
      <c r="P32" s="256">
        <v>9290309.0514369998</v>
      </c>
      <c r="Q32" s="256">
        <v>236659.74078100003</v>
      </c>
      <c r="R32" s="256">
        <v>9526968.7922179997</v>
      </c>
      <c r="S32" s="58"/>
      <c r="T32" s="57"/>
      <c r="U32" s="57"/>
      <c r="V32" s="57"/>
    </row>
    <row r="33" spans="1:22" ht="20.100000000000001" customHeight="1">
      <c r="A33" s="180" t="s">
        <v>163</v>
      </c>
      <c r="B33" s="258">
        <v>341010.47382999997</v>
      </c>
      <c r="C33" s="259">
        <v>1318415.1843900003</v>
      </c>
      <c r="D33" s="259">
        <v>242431.91138999996</v>
      </c>
      <c r="E33" s="259">
        <v>401171.19883999991</v>
      </c>
      <c r="F33" s="259">
        <v>393158.70135999989</v>
      </c>
      <c r="G33" s="259">
        <v>1003168.9508600002</v>
      </c>
      <c r="H33" s="259">
        <v>595974.21786999993</v>
      </c>
      <c r="I33" s="259">
        <v>440708.36151999992</v>
      </c>
      <c r="J33" s="259">
        <v>459034.11476000008</v>
      </c>
      <c r="K33" s="258">
        <v>1059295.293842833</v>
      </c>
      <c r="L33" s="259">
        <v>1226691.8287599995</v>
      </c>
      <c r="M33" s="259">
        <v>1312751.24893</v>
      </c>
      <c r="N33" s="259">
        <v>396756.70740999997</v>
      </c>
      <c r="O33" s="259">
        <v>511670.34512999997</v>
      </c>
      <c r="P33" s="259">
        <v>9702238.5388928335</v>
      </c>
      <c r="Q33" s="259">
        <v>207215.45435699989</v>
      </c>
      <c r="R33" s="259">
        <v>9909453.9932498336</v>
      </c>
      <c r="S33" s="59"/>
      <c r="T33" s="57"/>
      <c r="U33" s="57"/>
      <c r="V33" s="57"/>
    </row>
    <row r="34" spans="1:22" ht="20.100000000000001" customHeight="1">
      <c r="A34" s="177" t="s">
        <v>164</v>
      </c>
      <c r="B34" s="253"/>
      <c r="C34" s="256"/>
      <c r="D34" s="256"/>
      <c r="E34" s="256"/>
      <c r="F34" s="256"/>
      <c r="G34" s="256"/>
      <c r="H34" s="256"/>
      <c r="I34" s="256"/>
      <c r="J34" s="256"/>
      <c r="K34" s="253"/>
      <c r="L34" s="256"/>
      <c r="M34" s="256"/>
      <c r="N34" s="256"/>
      <c r="O34" s="256"/>
      <c r="P34" s="256"/>
      <c r="Q34" s="256"/>
      <c r="R34" s="256"/>
      <c r="S34" s="58"/>
      <c r="T34" s="57"/>
      <c r="U34" s="57"/>
      <c r="V34" s="57"/>
    </row>
    <row r="35" spans="1:22" ht="20.100000000000001" customHeight="1">
      <c r="A35" s="177" t="s">
        <v>165</v>
      </c>
      <c r="B35" s="253"/>
      <c r="C35" s="256"/>
      <c r="D35" s="256"/>
      <c r="E35" s="256"/>
      <c r="F35" s="256"/>
      <c r="G35" s="256"/>
      <c r="H35" s="256"/>
      <c r="I35" s="256"/>
      <c r="J35" s="256"/>
      <c r="K35" s="253"/>
      <c r="L35" s="256"/>
      <c r="M35" s="256"/>
      <c r="N35" s="256"/>
      <c r="O35" s="256"/>
      <c r="P35" s="256"/>
      <c r="Q35" s="256"/>
      <c r="R35" s="256"/>
      <c r="S35" s="58"/>
      <c r="T35" s="57"/>
      <c r="U35" s="57"/>
      <c r="V35" s="57"/>
    </row>
    <row r="36" spans="1:22" ht="20.100000000000001" customHeight="1">
      <c r="A36" s="180" t="s">
        <v>166</v>
      </c>
      <c r="B36" s="258"/>
      <c r="C36" s="259"/>
      <c r="D36" s="259"/>
      <c r="E36" s="259"/>
      <c r="F36" s="259"/>
      <c r="G36" s="259"/>
      <c r="H36" s="259"/>
      <c r="I36" s="259"/>
      <c r="J36" s="259"/>
      <c r="K36" s="258"/>
      <c r="L36" s="259"/>
      <c r="M36" s="259"/>
      <c r="N36" s="259"/>
      <c r="O36" s="259"/>
      <c r="P36" s="259"/>
      <c r="Q36" s="259"/>
      <c r="R36" s="259"/>
      <c r="S36" s="58"/>
      <c r="T36" s="57"/>
      <c r="U36" s="57"/>
      <c r="V36" s="57"/>
    </row>
    <row r="37" spans="1:22" ht="20.100000000000001" customHeight="1">
      <c r="A37" s="177" t="s">
        <v>167</v>
      </c>
      <c r="B37" s="253"/>
      <c r="C37" s="256"/>
      <c r="D37" s="256"/>
      <c r="E37" s="256"/>
      <c r="F37" s="256"/>
      <c r="G37" s="256"/>
      <c r="H37" s="256"/>
      <c r="I37" s="256"/>
      <c r="J37" s="256"/>
      <c r="K37" s="253"/>
      <c r="L37" s="256"/>
      <c r="M37" s="256"/>
      <c r="N37" s="256"/>
      <c r="O37" s="256"/>
      <c r="P37" s="256"/>
      <c r="Q37" s="256"/>
      <c r="R37" s="256"/>
      <c r="S37" s="58"/>
      <c r="T37" s="57"/>
      <c r="U37" s="57"/>
      <c r="V37" s="57"/>
    </row>
    <row r="38" spans="1:22" ht="20.100000000000001" customHeight="1">
      <c r="A38" s="177" t="s">
        <v>168</v>
      </c>
      <c r="B38" s="253"/>
      <c r="C38" s="256"/>
      <c r="D38" s="256"/>
      <c r="E38" s="256"/>
      <c r="F38" s="256"/>
      <c r="G38" s="256"/>
      <c r="H38" s="256"/>
      <c r="I38" s="256"/>
      <c r="J38" s="256"/>
      <c r="K38" s="253"/>
      <c r="L38" s="256"/>
      <c r="M38" s="256"/>
      <c r="N38" s="256"/>
      <c r="O38" s="256"/>
      <c r="P38" s="256"/>
      <c r="Q38" s="256"/>
      <c r="R38" s="256"/>
      <c r="S38" s="58"/>
      <c r="T38" s="57"/>
      <c r="U38" s="57"/>
      <c r="V38" s="57"/>
    </row>
    <row r="39" spans="1:22" ht="20.100000000000001" customHeight="1">
      <c r="A39" s="180" t="s">
        <v>169</v>
      </c>
      <c r="B39" s="258"/>
      <c r="C39" s="259"/>
      <c r="D39" s="259"/>
      <c r="E39" s="259"/>
      <c r="F39" s="259"/>
      <c r="G39" s="259"/>
      <c r="H39" s="259"/>
      <c r="I39" s="259"/>
      <c r="J39" s="259"/>
      <c r="K39" s="258"/>
      <c r="L39" s="259"/>
      <c r="M39" s="259"/>
      <c r="N39" s="259"/>
      <c r="O39" s="259"/>
      <c r="P39" s="259"/>
      <c r="Q39" s="259"/>
      <c r="R39" s="259"/>
      <c r="S39" s="58"/>
      <c r="T39" s="57"/>
      <c r="U39" s="57"/>
      <c r="V39" s="57"/>
    </row>
    <row r="40" spans="1:22" ht="20.100000000000001" customHeight="1">
      <c r="A40" s="177" t="s">
        <v>170</v>
      </c>
      <c r="B40" s="253"/>
      <c r="C40" s="256"/>
      <c r="D40" s="256"/>
      <c r="E40" s="256"/>
      <c r="F40" s="256"/>
      <c r="G40" s="256"/>
      <c r="H40" s="256"/>
      <c r="I40" s="256"/>
      <c r="J40" s="256"/>
      <c r="K40" s="253"/>
      <c r="L40" s="256"/>
      <c r="M40" s="256"/>
      <c r="N40" s="256"/>
      <c r="O40" s="256"/>
      <c r="P40" s="256"/>
      <c r="Q40" s="256"/>
      <c r="R40" s="256"/>
      <c r="S40" s="58"/>
      <c r="T40" s="57"/>
      <c r="U40" s="57"/>
      <c r="V40" s="57"/>
    </row>
    <row r="41" spans="1:22" ht="20.100000000000001" customHeight="1">
      <c r="A41" s="177" t="s">
        <v>171</v>
      </c>
      <c r="B41" s="253"/>
      <c r="C41" s="256"/>
      <c r="D41" s="256"/>
      <c r="E41" s="256"/>
      <c r="F41" s="256"/>
      <c r="G41" s="256"/>
      <c r="H41" s="256"/>
      <c r="I41" s="256"/>
      <c r="J41" s="256"/>
      <c r="K41" s="253"/>
      <c r="L41" s="256"/>
      <c r="M41" s="256"/>
      <c r="N41" s="256"/>
      <c r="O41" s="256"/>
      <c r="P41" s="256"/>
      <c r="Q41" s="256"/>
      <c r="R41" s="256"/>
      <c r="S41" s="58"/>
      <c r="T41" s="57"/>
      <c r="U41" s="57"/>
      <c r="V41" s="57"/>
    </row>
    <row r="42" spans="1:22" ht="20.100000000000001" customHeight="1">
      <c r="A42" s="180" t="s">
        <v>172</v>
      </c>
      <c r="B42" s="258"/>
      <c r="C42" s="259"/>
      <c r="D42" s="259"/>
      <c r="E42" s="259"/>
      <c r="F42" s="259"/>
      <c r="G42" s="259"/>
      <c r="H42" s="259"/>
      <c r="I42" s="259"/>
      <c r="J42" s="259"/>
      <c r="K42" s="258"/>
      <c r="L42" s="259"/>
      <c r="M42" s="259"/>
      <c r="N42" s="259"/>
      <c r="O42" s="259"/>
      <c r="P42" s="259"/>
      <c r="Q42" s="259"/>
      <c r="R42" s="259"/>
      <c r="S42" s="58"/>
      <c r="T42" s="57"/>
      <c r="U42" s="57"/>
      <c r="V42" s="57"/>
    </row>
    <row r="43" spans="1:22" ht="20.100000000000001" customHeight="1">
      <c r="A43" s="177" t="s">
        <v>48</v>
      </c>
      <c r="B43" s="253">
        <f>SUM(B31:B33)</f>
        <v>1095787.2086399999</v>
      </c>
      <c r="C43" s="253">
        <f>SUM(C31:C33)</f>
        <v>4276585.4317600001</v>
      </c>
      <c r="D43" s="253">
        <f t="shared" ref="D43:J43" si="14">SUM(D31:D33)</f>
        <v>783845.5793300001</v>
      </c>
      <c r="E43" s="253">
        <f t="shared" si="14"/>
        <v>1320882.1233400002</v>
      </c>
      <c r="F43" s="253">
        <f t="shared" si="14"/>
        <v>1272637.0012299998</v>
      </c>
      <c r="G43" s="253">
        <f t="shared" si="14"/>
        <v>3208756.8683700003</v>
      </c>
      <c r="H43" s="253">
        <f t="shared" si="14"/>
        <v>1893727.0711699999</v>
      </c>
      <c r="I43" s="253">
        <f t="shared" si="14"/>
        <v>1420814.2402300001</v>
      </c>
      <c r="J43" s="253">
        <f t="shared" si="14"/>
        <v>1469455.3675600002</v>
      </c>
      <c r="K43" s="253">
        <f>SUM(K31:K33)</f>
        <v>3508200.3114028331</v>
      </c>
      <c r="L43" s="253">
        <f t="shared" ref="L43:R43" si="15">SUM(L31:L33)</f>
        <v>3989458.0968269994</v>
      </c>
      <c r="M43" s="253">
        <f t="shared" si="15"/>
        <v>3686568.7166400002</v>
      </c>
      <c r="N43" s="253">
        <f t="shared" si="15"/>
        <v>1293305.3837400002</v>
      </c>
      <c r="O43" s="253">
        <f t="shared" si="15"/>
        <v>1639857.9563300002</v>
      </c>
      <c r="P43" s="253">
        <f t="shared" si="15"/>
        <v>30859881.356569834</v>
      </c>
      <c r="Q43" s="253">
        <f t="shared" si="15"/>
        <v>695331.03826399986</v>
      </c>
      <c r="R43" s="253">
        <f t="shared" si="15"/>
        <v>31555212.394833833</v>
      </c>
    </row>
    <row r="44" spans="1:22" ht="20.100000000000001" customHeight="1">
      <c r="A44" s="177" t="s">
        <v>56</v>
      </c>
      <c r="B44" s="254">
        <f>SUM(B34:B36)</f>
        <v>0</v>
      </c>
      <c r="C44" s="254">
        <f>SUM(C34:C36)</f>
        <v>0</v>
      </c>
      <c r="D44" s="254">
        <f t="shared" ref="D44:J44" si="16">SUM(D34:D36)</f>
        <v>0</v>
      </c>
      <c r="E44" s="254">
        <f t="shared" si="16"/>
        <v>0</v>
      </c>
      <c r="F44" s="254">
        <f t="shared" si="16"/>
        <v>0</v>
      </c>
      <c r="G44" s="254">
        <f t="shared" si="16"/>
        <v>0</v>
      </c>
      <c r="H44" s="254">
        <f t="shared" si="16"/>
        <v>0</v>
      </c>
      <c r="I44" s="254">
        <f t="shared" si="16"/>
        <v>0</v>
      </c>
      <c r="J44" s="254">
        <f t="shared" si="16"/>
        <v>0</v>
      </c>
      <c r="K44" s="254">
        <f>SUM(K34:K36)</f>
        <v>0</v>
      </c>
      <c r="L44" s="254">
        <f t="shared" ref="L44:R44" si="17">SUM(L34:L36)</f>
        <v>0</v>
      </c>
      <c r="M44" s="254">
        <f t="shared" si="17"/>
        <v>0</v>
      </c>
      <c r="N44" s="254">
        <f t="shared" si="17"/>
        <v>0</v>
      </c>
      <c r="O44" s="254">
        <f t="shared" si="17"/>
        <v>0</v>
      </c>
      <c r="P44" s="254">
        <f t="shared" si="17"/>
        <v>0</v>
      </c>
      <c r="Q44" s="254">
        <f t="shared" si="17"/>
        <v>0</v>
      </c>
      <c r="R44" s="254">
        <f t="shared" si="17"/>
        <v>0</v>
      </c>
    </row>
    <row r="45" spans="1:22" ht="20.100000000000001" customHeight="1">
      <c r="A45" s="177" t="s">
        <v>63</v>
      </c>
      <c r="B45" s="254">
        <f>SUM(B37:B39)</f>
        <v>0</v>
      </c>
      <c r="C45" s="254">
        <f>SUM(C37:C39)</f>
        <v>0</v>
      </c>
      <c r="D45" s="254">
        <f t="shared" ref="D45:J45" si="18">SUM(D37:D39)</f>
        <v>0</v>
      </c>
      <c r="E45" s="254">
        <f t="shared" si="18"/>
        <v>0</v>
      </c>
      <c r="F45" s="254">
        <f t="shared" si="18"/>
        <v>0</v>
      </c>
      <c r="G45" s="254">
        <f t="shared" si="18"/>
        <v>0</v>
      </c>
      <c r="H45" s="254">
        <f t="shared" si="18"/>
        <v>0</v>
      </c>
      <c r="I45" s="254">
        <f t="shared" si="18"/>
        <v>0</v>
      </c>
      <c r="J45" s="254">
        <f t="shared" si="18"/>
        <v>0</v>
      </c>
      <c r="K45" s="254">
        <f>SUM(K37:K39)</f>
        <v>0</v>
      </c>
      <c r="L45" s="254">
        <f t="shared" ref="L45:R45" si="19">SUM(L37:L39)</f>
        <v>0</v>
      </c>
      <c r="M45" s="254">
        <f t="shared" si="19"/>
        <v>0</v>
      </c>
      <c r="N45" s="254">
        <f t="shared" si="19"/>
        <v>0</v>
      </c>
      <c r="O45" s="254">
        <f t="shared" si="19"/>
        <v>0</v>
      </c>
      <c r="P45" s="254">
        <f t="shared" si="19"/>
        <v>0</v>
      </c>
      <c r="Q45" s="254">
        <f t="shared" si="19"/>
        <v>0</v>
      </c>
      <c r="R45" s="254">
        <f t="shared" si="19"/>
        <v>0</v>
      </c>
    </row>
    <row r="46" spans="1:22" ht="20.100000000000001" customHeight="1">
      <c r="A46" s="180" t="s">
        <v>57</v>
      </c>
      <c r="B46" s="364">
        <f>SUM(B40:B42)</f>
        <v>0</v>
      </c>
      <c r="C46" s="364">
        <f>SUM(C40:C42)</f>
        <v>0</v>
      </c>
      <c r="D46" s="364">
        <f t="shared" ref="D46:J46" si="20">SUM(D40:D42)</f>
        <v>0</v>
      </c>
      <c r="E46" s="364">
        <f t="shared" si="20"/>
        <v>0</v>
      </c>
      <c r="F46" s="364">
        <f t="shared" si="20"/>
        <v>0</v>
      </c>
      <c r="G46" s="364">
        <f t="shared" si="20"/>
        <v>0</v>
      </c>
      <c r="H46" s="364">
        <f t="shared" si="20"/>
        <v>0</v>
      </c>
      <c r="I46" s="364">
        <f t="shared" si="20"/>
        <v>0</v>
      </c>
      <c r="J46" s="364">
        <f t="shared" si="20"/>
        <v>0</v>
      </c>
      <c r="K46" s="364">
        <f>SUM(K40:K42)</f>
        <v>0</v>
      </c>
      <c r="L46" s="364">
        <f t="shared" ref="L46:R46" si="21">SUM(L40:L42)</f>
        <v>0</v>
      </c>
      <c r="M46" s="364">
        <f t="shared" si="21"/>
        <v>0</v>
      </c>
      <c r="N46" s="364">
        <f t="shared" si="21"/>
        <v>0</v>
      </c>
      <c r="O46" s="364">
        <f t="shared" si="21"/>
        <v>0</v>
      </c>
      <c r="P46" s="364">
        <f t="shared" si="21"/>
        <v>0</v>
      </c>
      <c r="Q46" s="364">
        <f t="shared" si="21"/>
        <v>0</v>
      </c>
      <c r="R46" s="364">
        <f t="shared" si="21"/>
        <v>0</v>
      </c>
    </row>
    <row r="47" spans="1:22" ht="20.100000000000001" customHeight="1">
      <c r="A47" s="177" t="s">
        <v>58</v>
      </c>
      <c r="B47" s="254">
        <f>SUM(B31:B36)</f>
        <v>1095787.2086399999</v>
      </c>
      <c r="C47" s="254">
        <f>SUM(C31:C36)</f>
        <v>4276585.4317600001</v>
      </c>
      <c r="D47" s="254">
        <f t="shared" ref="D47:J47" si="22">SUM(D31:D36)</f>
        <v>783845.5793300001</v>
      </c>
      <c r="E47" s="254">
        <f t="shared" si="22"/>
        <v>1320882.1233400002</v>
      </c>
      <c r="F47" s="254">
        <f t="shared" si="22"/>
        <v>1272637.0012299998</v>
      </c>
      <c r="G47" s="254">
        <f t="shared" si="22"/>
        <v>3208756.8683700003</v>
      </c>
      <c r="H47" s="254">
        <f t="shared" si="22"/>
        <v>1893727.0711699999</v>
      </c>
      <c r="I47" s="254">
        <f t="shared" si="22"/>
        <v>1420814.2402300001</v>
      </c>
      <c r="J47" s="254">
        <f t="shared" si="22"/>
        <v>1469455.3675600002</v>
      </c>
      <c r="K47" s="254">
        <f>SUM(K31:K36)</f>
        <v>3508200.3114028331</v>
      </c>
      <c r="L47" s="254">
        <f t="shared" ref="L47:R47" si="23">SUM(L31:L36)</f>
        <v>3989458.0968269994</v>
      </c>
      <c r="M47" s="254">
        <f t="shared" si="23"/>
        <v>3686568.7166400002</v>
      </c>
      <c r="N47" s="254">
        <f t="shared" si="23"/>
        <v>1293305.3837400002</v>
      </c>
      <c r="O47" s="254">
        <f t="shared" si="23"/>
        <v>1639857.9563300002</v>
      </c>
      <c r="P47" s="254">
        <f t="shared" si="23"/>
        <v>30859881.356569834</v>
      </c>
      <c r="Q47" s="254">
        <f t="shared" si="23"/>
        <v>695331.03826399986</v>
      </c>
      <c r="R47" s="254">
        <f t="shared" si="23"/>
        <v>31555212.394833833</v>
      </c>
    </row>
    <row r="48" spans="1:22" ht="20.100000000000001" customHeight="1">
      <c r="A48" s="180" t="s">
        <v>59</v>
      </c>
      <c r="B48" s="364">
        <f>SUM(B37:B42)</f>
        <v>0</v>
      </c>
      <c r="C48" s="364">
        <f>SUM(C37:C42)</f>
        <v>0</v>
      </c>
      <c r="D48" s="364">
        <f t="shared" ref="D48:J48" si="24">SUM(D37:D42)</f>
        <v>0</v>
      </c>
      <c r="E48" s="364">
        <f t="shared" si="24"/>
        <v>0</v>
      </c>
      <c r="F48" s="364">
        <f t="shared" si="24"/>
        <v>0</v>
      </c>
      <c r="G48" s="364">
        <f t="shared" si="24"/>
        <v>0</v>
      </c>
      <c r="H48" s="364">
        <f t="shared" si="24"/>
        <v>0</v>
      </c>
      <c r="I48" s="364">
        <f t="shared" si="24"/>
        <v>0</v>
      </c>
      <c r="J48" s="364">
        <f t="shared" si="24"/>
        <v>0</v>
      </c>
      <c r="K48" s="364">
        <f>SUM(K37:K42)</f>
        <v>0</v>
      </c>
      <c r="L48" s="364">
        <f t="shared" ref="L48:R48" si="25">SUM(L37:L42)</f>
        <v>0</v>
      </c>
      <c r="M48" s="364">
        <f t="shared" si="25"/>
        <v>0</v>
      </c>
      <c r="N48" s="364">
        <f t="shared" si="25"/>
        <v>0</v>
      </c>
      <c r="O48" s="364">
        <f t="shared" si="25"/>
        <v>0</v>
      </c>
      <c r="P48" s="364">
        <f t="shared" si="25"/>
        <v>0</v>
      </c>
      <c r="Q48" s="364">
        <f t="shared" si="25"/>
        <v>0</v>
      </c>
      <c r="R48" s="364">
        <f t="shared" si="25"/>
        <v>0</v>
      </c>
    </row>
    <row r="49" spans="1:18" ht="20.100000000000001" customHeight="1">
      <c r="A49" s="180" t="s">
        <v>173</v>
      </c>
      <c r="B49" s="364">
        <f>SUM(B31:B42)</f>
        <v>1095787.2086399999</v>
      </c>
      <c r="C49" s="364">
        <f>SUM(C31:C42)</f>
        <v>4276585.4317600001</v>
      </c>
      <c r="D49" s="364">
        <f t="shared" ref="D49:J49" si="26">SUM(D31:D42)</f>
        <v>783845.5793300001</v>
      </c>
      <c r="E49" s="364">
        <f t="shared" si="26"/>
        <v>1320882.1233400002</v>
      </c>
      <c r="F49" s="364">
        <f t="shared" si="26"/>
        <v>1272637.0012299998</v>
      </c>
      <c r="G49" s="364">
        <f t="shared" si="26"/>
        <v>3208756.8683700003</v>
      </c>
      <c r="H49" s="364">
        <f t="shared" si="26"/>
        <v>1893727.0711699999</v>
      </c>
      <c r="I49" s="364">
        <f t="shared" si="26"/>
        <v>1420814.2402300001</v>
      </c>
      <c r="J49" s="364">
        <f t="shared" si="26"/>
        <v>1469455.3675600002</v>
      </c>
      <c r="K49" s="364">
        <f>SUM(K31:K42)</f>
        <v>3508200.3114028331</v>
      </c>
      <c r="L49" s="364">
        <f t="shared" ref="L49:R49" si="27">SUM(L31:L42)</f>
        <v>3989458.0968269994</v>
      </c>
      <c r="M49" s="364">
        <f t="shared" si="27"/>
        <v>3686568.7166400002</v>
      </c>
      <c r="N49" s="364">
        <f t="shared" si="27"/>
        <v>1293305.3837400002</v>
      </c>
      <c r="O49" s="364">
        <f t="shared" si="27"/>
        <v>1639857.9563300002</v>
      </c>
      <c r="P49" s="364">
        <f t="shared" si="27"/>
        <v>30859881.356569834</v>
      </c>
      <c r="Q49" s="364">
        <f t="shared" si="27"/>
        <v>695331.03826399986</v>
      </c>
      <c r="R49" s="364">
        <f t="shared" si="27"/>
        <v>31555212.394833833</v>
      </c>
    </row>
    <row r="50" spans="1:18" ht="12" customHeight="1">
      <c r="E50" s="63"/>
      <c r="F50" s="63"/>
      <c r="G50" s="63"/>
      <c r="L50" s="63"/>
      <c r="M50" s="63"/>
      <c r="N50" s="63"/>
    </row>
    <row r="51" spans="1:18" ht="12" customHeight="1">
      <c r="E51" s="63"/>
      <c r="F51" s="63"/>
      <c r="G51" s="63"/>
      <c r="L51" s="63"/>
      <c r="M51" s="63"/>
      <c r="N51" s="63"/>
    </row>
    <row r="52" spans="1:18" ht="12" customHeight="1">
      <c r="E52" s="63"/>
      <c r="F52" s="63"/>
      <c r="G52" s="63"/>
      <c r="L52" s="63"/>
      <c r="M52" s="63"/>
      <c r="N52" s="63"/>
    </row>
    <row r="53" spans="1:18" ht="12" customHeight="1">
      <c r="E53" s="63"/>
      <c r="F53" s="63"/>
      <c r="G53" s="63"/>
      <c r="L53" s="63"/>
      <c r="M53" s="63"/>
      <c r="N53" s="63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R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6.42578125" style="108" customWidth="1"/>
    <col min="2" max="6" width="4.7109375" style="108" customWidth="1"/>
    <col min="7" max="9" width="4.85546875" style="108" customWidth="1"/>
    <col min="10" max="14" width="4.7109375" style="108" customWidth="1"/>
    <col min="15" max="15" width="3.7109375" style="108" customWidth="1"/>
    <col min="16" max="19" width="4.7109375" style="108" customWidth="1"/>
    <col min="20" max="20" width="3.7109375" style="108" customWidth="1"/>
    <col min="21" max="21" width="5" style="108" customWidth="1"/>
    <col min="22" max="16384" width="9.140625" style="108"/>
  </cols>
  <sheetData>
    <row r="1" spans="1:20" ht="20.25">
      <c r="A1" s="118" t="s">
        <v>297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" customHeight="1">
      <c r="E2" s="109"/>
      <c r="F2" s="109"/>
    </row>
    <row r="3" spans="1:20" ht="15" customHeight="1">
      <c r="A3" s="532" t="s">
        <v>189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</row>
    <row r="4" spans="1:20" ht="15" customHeight="1">
      <c r="A4" s="72"/>
      <c r="C4" s="110"/>
      <c r="D4" s="110"/>
      <c r="E4" s="110"/>
      <c r="F4" s="110"/>
      <c r="G4" s="110"/>
      <c r="H4" s="61"/>
      <c r="I4" s="61"/>
    </row>
    <row r="5" spans="1:20" ht="15" customHeight="1">
      <c r="A5" s="72"/>
      <c r="C5" s="110"/>
      <c r="D5" s="110"/>
      <c r="E5" s="110"/>
      <c r="F5" s="110"/>
      <c r="G5" s="110"/>
      <c r="H5" s="61"/>
      <c r="I5" s="61"/>
    </row>
    <row r="6" spans="1:20" ht="15" customHeight="1">
      <c r="A6" s="72"/>
      <c r="B6" s="111"/>
      <c r="C6" s="111"/>
      <c r="D6" s="110"/>
      <c r="E6" s="110"/>
      <c r="F6" s="110"/>
      <c r="G6" s="111"/>
      <c r="H6" s="12"/>
      <c r="I6" s="61"/>
    </row>
    <row r="7" spans="1:20" ht="15" customHeight="1">
      <c r="A7" s="72"/>
      <c r="B7" s="111"/>
      <c r="C7" s="111"/>
      <c r="D7" s="110"/>
      <c r="E7" s="110"/>
      <c r="F7" s="110"/>
      <c r="G7" s="111"/>
      <c r="H7" s="12"/>
      <c r="I7" s="61"/>
    </row>
    <row r="8" spans="1:20" ht="15" customHeight="1">
      <c r="A8" s="72"/>
      <c r="B8" s="111"/>
      <c r="C8" s="111"/>
      <c r="D8" s="110"/>
      <c r="E8" s="110"/>
      <c r="F8" s="110"/>
      <c r="G8" s="111"/>
      <c r="H8" s="12"/>
      <c r="I8" s="61"/>
    </row>
    <row r="9" spans="1:20" ht="15" customHeight="1">
      <c r="A9" s="72"/>
      <c r="B9" s="110"/>
      <c r="C9" s="110"/>
      <c r="D9" s="110"/>
      <c r="E9" s="110"/>
      <c r="F9" s="110"/>
      <c r="G9" s="111"/>
      <c r="H9" s="12"/>
      <c r="I9" s="61"/>
    </row>
    <row r="10" spans="1:20" ht="15" customHeight="1">
      <c r="A10" s="72"/>
      <c r="B10" s="110"/>
      <c r="C10" s="110"/>
      <c r="D10" s="110"/>
      <c r="E10" s="110"/>
      <c r="F10" s="110"/>
      <c r="G10" s="110"/>
      <c r="H10" s="61"/>
      <c r="I10" s="61"/>
    </row>
    <row r="11" spans="1:20" ht="15" customHeight="1">
      <c r="A11" s="72"/>
      <c r="B11" s="110"/>
      <c r="C11" s="110"/>
      <c r="D11" s="110"/>
      <c r="E11" s="110"/>
      <c r="F11" s="110"/>
      <c r="G11" s="110"/>
      <c r="H11" s="61"/>
      <c r="I11" s="61"/>
    </row>
    <row r="12" spans="1:20" ht="15" customHeight="1">
      <c r="A12" s="72"/>
      <c r="B12" s="110"/>
      <c r="C12" s="110"/>
      <c r="D12" s="110"/>
      <c r="E12" s="110"/>
      <c r="F12" s="110"/>
      <c r="G12" s="110"/>
      <c r="H12" s="61"/>
      <c r="I12" s="61"/>
    </row>
    <row r="13" spans="1:20" ht="15" customHeight="1">
      <c r="A13" s="72"/>
      <c r="B13" s="110"/>
      <c r="C13" s="110"/>
      <c r="D13" s="110"/>
      <c r="E13" s="110"/>
      <c r="F13" s="110"/>
      <c r="G13" s="110"/>
      <c r="H13" s="61"/>
      <c r="I13" s="61"/>
    </row>
    <row r="14" spans="1:20" ht="15" customHeight="1">
      <c r="A14" s="72"/>
      <c r="B14" s="110"/>
      <c r="C14" s="110"/>
      <c r="D14" s="110"/>
      <c r="E14" s="110"/>
      <c r="F14" s="110"/>
      <c r="G14" s="110"/>
      <c r="H14" s="112"/>
      <c r="I14" s="112"/>
    </row>
    <row r="15" spans="1:20" ht="15" customHeight="1">
      <c r="A15" s="113"/>
      <c r="B15" s="113"/>
      <c r="C15" s="113"/>
      <c r="D15" s="113"/>
      <c r="E15" s="113"/>
      <c r="F15" s="113"/>
      <c r="G15" s="114"/>
      <c r="H15" s="115"/>
      <c r="I15" s="115"/>
    </row>
    <row r="16" spans="1:20" ht="15" customHeight="1">
      <c r="A16" s="113"/>
      <c r="B16" s="113"/>
      <c r="C16" s="113"/>
      <c r="D16" s="113"/>
      <c r="E16" s="113"/>
      <c r="F16" s="113"/>
    </row>
    <row r="17" spans="1:21" ht="15" customHeight="1">
      <c r="A17" s="113"/>
      <c r="B17" s="113"/>
      <c r="C17" s="113"/>
      <c r="D17" s="113"/>
      <c r="E17" s="113"/>
      <c r="F17" s="113"/>
    </row>
    <row r="18" spans="1:21" ht="15" customHeight="1">
      <c r="A18" s="113"/>
      <c r="B18" s="113"/>
      <c r="C18" s="113"/>
      <c r="D18" s="113"/>
      <c r="E18" s="113"/>
      <c r="F18" s="113"/>
    </row>
    <row r="19" spans="1:21" ht="15" customHeight="1">
      <c r="A19" s="113"/>
      <c r="B19" s="113"/>
      <c r="C19" s="113"/>
      <c r="D19" s="113"/>
      <c r="E19" s="113"/>
      <c r="F19" s="113"/>
    </row>
    <row r="20" spans="1:21" ht="15" customHeight="1">
      <c r="A20" s="113"/>
      <c r="B20" s="113"/>
      <c r="C20" s="113"/>
      <c r="D20" s="113"/>
      <c r="E20" s="113"/>
      <c r="F20" s="113"/>
    </row>
    <row r="21" spans="1:21" ht="12.95" customHeight="1">
      <c r="B21" s="116"/>
      <c r="C21" s="116"/>
      <c r="D21" s="116"/>
      <c r="E21" s="113"/>
      <c r="F21" s="114"/>
      <c r="G21" s="114"/>
      <c r="H21" s="114"/>
    </row>
    <row r="22" spans="1:21" ht="12.95" customHeight="1">
      <c r="B22" s="116"/>
      <c r="C22" s="116"/>
      <c r="D22" s="116"/>
      <c r="G22" s="533"/>
      <c r="H22" s="533"/>
      <c r="I22" s="533"/>
      <c r="K22" s="533"/>
      <c r="L22" s="533"/>
      <c r="M22" s="533"/>
      <c r="N22" s="533"/>
      <c r="P22" s="533"/>
      <c r="Q22" s="533"/>
      <c r="R22" s="533"/>
      <c r="S22" s="533"/>
      <c r="T22" s="533"/>
      <c r="U22" s="533"/>
    </row>
    <row r="23" spans="1:21" ht="12.95" customHeight="1">
      <c r="B23" s="116"/>
      <c r="C23" s="116"/>
      <c r="D23" s="116"/>
      <c r="G23" s="533"/>
      <c r="H23" s="533"/>
      <c r="I23" s="533"/>
      <c r="K23" s="534"/>
      <c r="L23" s="534"/>
      <c r="M23" s="534"/>
      <c r="N23" s="534"/>
      <c r="P23" s="533"/>
      <c r="Q23" s="533"/>
      <c r="R23" s="533"/>
      <c r="S23" s="533"/>
      <c r="T23" s="533"/>
      <c r="U23" s="533"/>
    </row>
    <row r="24" spans="1:21" ht="12.95" customHeight="1">
      <c r="B24" s="116"/>
      <c r="C24" s="116"/>
      <c r="D24" s="116"/>
      <c r="G24" s="533"/>
      <c r="H24" s="533"/>
      <c r="I24" s="533"/>
      <c r="K24" s="534"/>
      <c r="L24" s="534"/>
      <c r="M24" s="534"/>
      <c r="N24" s="534"/>
      <c r="P24" s="534"/>
      <c r="Q24" s="534"/>
      <c r="R24" s="534"/>
      <c r="S24" s="534"/>
      <c r="T24" s="534"/>
      <c r="U24" s="534"/>
    </row>
    <row r="25" spans="1:21" ht="12" customHeight="1">
      <c r="A25" s="113"/>
      <c r="B25" s="113"/>
      <c r="C25" s="113"/>
      <c r="D25" s="113"/>
      <c r="E25" s="113"/>
      <c r="F25" s="113"/>
      <c r="H25" s="117"/>
      <c r="I25" s="117"/>
      <c r="P25" s="534"/>
      <c r="Q25" s="534"/>
      <c r="R25" s="534"/>
      <c r="S25" s="534"/>
      <c r="T25" s="534"/>
      <c r="U25" s="534"/>
    </row>
    <row r="26" spans="1:21" ht="15" customHeight="1"/>
    <row r="27" spans="1:21" ht="15" customHeight="1"/>
    <row r="28" spans="1:21" ht="15" customHeight="1"/>
    <row r="29" spans="1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zoomScaleNormal="100" zoomScaleSheetLayoutView="100" workbookViewId="0">
      <selection activeCell="C1" sqref="C1"/>
    </sheetView>
  </sheetViews>
  <sheetFormatPr defaultColWidth="9.140625" defaultRowHeight="14.25"/>
  <cols>
    <col min="1" max="1" width="20.28515625" style="1" customWidth="1"/>
    <col min="2" max="2" width="79" style="24" customWidth="1"/>
    <col min="3" max="3" width="6.5703125" style="22" customWidth="1"/>
    <col min="4" max="4" width="11.7109375" style="22" customWidth="1"/>
    <col min="5" max="6" width="9.140625" style="22"/>
    <col min="7" max="7" width="11.7109375" style="22" customWidth="1"/>
    <col min="8" max="16384" width="9.140625" style="22"/>
  </cols>
  <sheetData>
    <row r="1" spans="1:2" ht="20.25">
      <c r="A1" s="54" t="s">
        <v>292</v>
      </c>
      <c r="B1" s="21"/>
    </row>
    <row r="2" spans="1:2" ht="6" customHeight="1">
      <c r="B2" s="21"/>
    </row>
    <row r="3" spans="1:2" ht="39.950000000000003" customHeight="1">
      <c r="A3" s="13" t="s">
        <v>245</v>
      </c>
      <c r="B3" s="14" t="s">
        <v>158</v>
      </c>
    </row>
    <row r="4" spans="1:2" ht="24.95" customHeight="1">
      <c r="A4" s="15" t="s">
        <v>93</v>
      </c>
      <c r="B4" s="16" t="s">
        <v>98</v>
      </c>
    </row>
    <row r="5" spans="1:2" ht="24.95" customHeight="1">
      <c r="A5" s="15" t="s">
        <v>99</v>
      </c>
      <c r="B5" s="17" t="s">
        <v>100</v>
      </c>
    </row>
    <row r="6" spans="1:2" ht="24.95" customHeight="1">
      <c r="A6" s="15" t="s">
        <v>7</v>
      </c>
      <c r="B6" s="16" t="s">
        <v>101</v>
      </c>
    </row>
    <row r="7" spans="1:2" ht="24.95" customHeight="1">
      <c r="A7" s="15" t="s">
        <v>102</v>
      </c>
      <c r="B7" s="16" t="s">
        <v>103</v>
      </c>
    </row>
    <row r="8" spans="1:2" ht="24.95" customHeight="1">
      <c r="A8" s="15" t="s">
        <v>104</v>
      </c>
      <c r="B8" s="16" t="s">
        <v>105</v>
      </c>
    </row>
    <row r="9" spans="1:2" ht="24.95" customHeight="1">
      <c r="A9" s="15" t="s">
        <v>215</v>
      </c>
      <c r="B9" s="16" t="s">
        <v>214</v>
      </c>
    </row>
    <row r="10" spans="1:2" ht="24.95" customHeight="1">
      <c r="A10" s="15" t="s">
        <v>87</v>
      </c>
      <c r="B10" s="18" t="s">
        <v>207</v>
      </c>
    </row>
    <row r="11" spans="1:2" ht="24.95" customHeight="1">
      <c r="A11" s="15" t="s">
        <v>106</v>
      </c>
      <c r="B11" s="16" t="s">
        <v>107</v>
      </c>
    </row>
    <row r="12" spans="1:2" ht="24.95" customHeight="1">
      <c r="A12" s="15" t="s">
        <v>108</v>
      </c>
      <c r="B12" s="16" t="s">
        <v>109</v>
      </c>
    </row>
    <row r="13" spans="1:2" ht="24.95" customHeight="1">
      <c r="A13" s="15" t="s">
        <v>110</v>
      </c>
      <c r="B13" s="16" t="s">
        <v>111</v>
      </c>
    </row>
    <row r="14" spans="1:2" ht="24.95" customHeight="1">
      <c r="A14" s="15" t="s">
        <v>217</v>
      </c>
      <c r="B14" s="16" t="s">
        <v>218</v>
      </c>
    </row>
    <row r="15" spans="1:2" ht="24.95" customHeight="1">
      <c r="A15" s="15" t="s">
        <v>6</v>
      </c>
      <c r="B15" s="16" t="s">
        <v>112</v>
      </c>
    </row>
    <row r="16" spans="1:2" ht="24.95" customHeight="1">
      <c r="A16" s="15" t="s">
        <v>65</v>
      </c>
      <c r="B16" s="16" t="s">
        <v>208</v>
      </c>
    </row>
    <row r="17" spans="1:2" ht="24.95" customHeight="1">
      <c r="A17" s="15" t="s">
        <v>113</v>
      </c>
      <c r="B17" s="16" t="s">
        <v>209</v>
      </c>
    </row>
    <row r="18" spans="1:2" ht="24.95" customHeight="1">
      <c r="A18" s="15" t="s">
        <v>114</v>
      </c>
      <c r="B18" s="19" t="s">
        <v>115</v>
      </c>
    </row>
    <row r="19" spans="1:2" ht="24.95" customHeight="1">
      <c r="A19" s="13" t="s">
        <v>116</v>
      </c>
      <c r="B19" s="19" t="s">
        <v>117</v>
      </c>
    </row>
    <row r="20" spans="1:2" ht="39.950000000000003" customHeight="1">
      <c r="A20" s="15" t="s">
        <v>118</v>
      </c>
      <c r="B20" s="19" t="s">
        <v>119</v>
      </c>
    </row>
    <row r="21" spans="1:2" ht="24.75" customHeight="1">
      <c r="A21" s="15" t="s">
        <v>32</v>
      </c>
      <c r="B21" s="20" t="s">
        <v>120</v>
      </c>
    </row>
    <row r="22" spans="1:2" ht="24.95" customHeight="1">
      <c r="A22" s="15" t="s">
        <v>121</v>
      </c>
      <c r="B22" s="19" t="s">
        <v>122</v>
      </c>
    </row>
    <row r="23" spans="1:2" ht="24.95" customHeight="1">
      <c r="A23" s="15" t="s">
        <v>123</v>
      </c>
      <c r="B23" s="16" t="s">
        <v>124</v>
      </c>
    </row>
    <row r="24" spans="1:2" ht="24.95" customHeight="1">
      <c r="A24" s="15" t="s">
        <v>151</v>
      </c>
      <c r="B24" s="16" t="s">
        <v>152</v>
      </c>
    </row>
    <row r="25" spans="1:2" ht="24.95" customHeight="1">
      <c r="A25" s="15" t="s">
        <v>125</v>
      </c>
      <c r="B25" s="16" t="s">
        <v>126</v>
      </c>
    </row>
    <row r="26" spans="1:2" ht="39.950000000000003" customHeight="1">
      <c r="A26" s="15" t="s">
        <v>20</v>
      </c>
      <c r="B26" s="16" t="s">
        <v>210</v>
      </c>
    </row>
    <row r="27" spans="1:2" ht="24.95" customHeight="1">
      <c r="A27" s="15" t="s">
        <v>127</v>
      </c>
      <c r="B27" s="16" t="s">
        <v>128</v>
      </c>
    </row>
    <row r="28" spans="1:2" ht="24.95" customHeight="1">
      <c r="A28" s="15" t="s">
        <v>129</v>
      </c>
      <c r="B28" s="16" t="s">
        <v>130</v>
      </c>
    </row>
    <row r="29" spans="1:2" ht="24.95" customHeight="1">
      <c r="A29" s="15" t="s">
        <v>131</v>
      </c>
      <c r="B29" s="16" t="s">
        <v>132</v>
      </c>
    </row>
    <row r="30" spans="1:2" ht="39.950000000000003" customHeight="1">
      <c r="A30" s="15" t="s">
        <v>133</v>
      </c>
      <c r="B30" s="19" t="s">
        <v>149</v>
      </c>
    </row>
    <row r="31" spans="1:2" ht="24.95" customHeight="1">
      <c r="A31" s="15" t="s">
        <v>134</v>
      </c>
      <c r="B31" s="16" t="s">
        <v>135</v>
      </c>
    </row>
    <row r="32" spans="1:2" ht="24.95" customHeight="1">
      <c r="A32" s="15" t="s">
        <v>136</v>
      </c>
      <c r="B32" s="16" t="s">
        <v>137</v>
      </c>
    </row>
    <row r="33" spans="1:2" ht="24.95" customHeight="1">
      <c r="A33" s="15" t="s">
        <v>205</v>
      </c>
      <c r="B33" s="16" t="s">
        <v>211</v>
      </c>
    </row>
    <row r="34" spans="1:2" ht="24.95" customHeight="1">
      <c r="A34" s="15" t="s">
        <v>138</v>
      </c>
      <c r="B34" s="19" t="s">
        <v>139</v>
      </c>
    </row>
    <row r="35" spans="1:2" ht="24.95" customHeight="1">
      <c r="A35" s="15" t="s">
        <v>5</v>
      </c>
      <c r="B35" s="16" t="s">
        <v>140</v>
      </c>
    </row>
    <row r="36" spans="1:2" ht="24.95" customHeight="1">
      <c r="A36" s="15" t="s">
        <v>4</v>
      </c>
      <c r="B36" s="16" t="s">
        <v>141</v>
      </c>
    </row>
    <row r="37" spans="1:2" ht="24.95" customHeight="1">
      <c r="A37" s="15" t="s">
        <v>142</v>
      </c>
      <c r="B37" s="16" t="s">
        <v>143</v>
      </c>
    </row>
    <row r="38" spans="1:2" ht="24.95" customHeight="1">
      <c r="A38" s="15" t="s">
        <v>31</v>
      </c>
      <c r="B38" s="16" t="s">
        <v>144</v>
      </c>
    </row>
    <row r="39" spans="1:2" ht="24.95" customHeight="1">
      <c r="A39" s="15" t="s">
        <v>145</v>
      </c>
      <c r="B39" s="19" t="s">
        <v>146</v>
      </c>
    </row>
    <row r="40" spans="1:2" ht="24.95" customHeight="1">
      <c r="A40" s="15" t="s">
        <v>147</v>
      </c>
      <c r="B40" s="16" t="s">
        <v>148</v>
      </c>
    </row>
    <row r="41" spans="1:2" ht="24.95" customHeight="1">
      <c r="A41" s="23"/>
      <c r="B41" s="19"/>
    </row>
    <row r="42" spans="1:2" ht="24.95" customHeight="1">
      <c r="A42" s="23"/>
      <c r="B42" s="16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zoomScaleNormal="100" zoomScaleSheetLayoutView="100" workbookViewId="0">
      <selection activeCell="C1" sqref="C1"/>
    </sheetView>
  </sheetViews>
  <sheetFormatPr defaultColWidth="9.140625" defaultRowHeight="14.25"/>
  <cols>
    <col min="1" max="1" width="14.7109375" style="25" customWidth="1"/>
    <col min="2" max="3" width="10.7109375" style="25" customWidth="1"/>
    <col min="4" max="4" width="31.5703125" style="25" customWidth="1"/>
    <col min="5" max="5" width="8" style="25" customWidth="1"/>
    <col min="6" max="6" width="7.28515625" style="25" customWidth="1"/>
    <col min="7" max="7" width="1.7109375" style="25" customWidth="1"/>
    <col min="8" max="8" width="9" style="25" customWidth="1"/>
    <col min="9" max="9" width="5.7109375" style="25" customWidth="1"/>
    <col min="10" max="10" width="9.140625" style="25" customWidth="1"/>
    <col min="11" max="16384" width="9.140625" style="25"/>
  </cols>
  <sheetData>
    <row r="1" spans="1:10" ht="20.25">
      <c r="A1" s="45" t="str">
        <f>"2 STRUČNÝ PŘEHLED ZA "&amp;UPPER('3.1'!G5)&amp;" "&amp;'3.1'!A4</f>
        <v>2 STRUČNÝ PŘEHLED ZA I. ČTVRTLETÍ 2022</v>
      </c>
      <c r="C1" s="26"/>
      <c r="D1" s="26"/>
    </row>
    <row r="2" spans="1:10" s="28" customFormat="1" ht="6" customHeight="1">
      <c r="A2" s="27"/>
      <c r="B2" s="27"/>
      <c r="C2" s="27"/>
      <c r="D2" s="27"/>
    </row>
    <row r="3" spans="1:10" ht="15" customHeight="1">
      <c r="A3" s="423" t="s">
        <v>220</v>
      </c>
      <c r="B3" s="423"/>
      <c r="C3" s="423"/>
      <c r="D3" s="423"/>
      <c r="E3" s="423"/>
      <c r="F3" s="423"/>
      <c r="G3" s="423"/>
      <c r="H3" s="423"/>
      <c r="I3" s="423"/>
    </row>
    <row r="4" spans="1:10" ht="15" customHeight="1">
      <c r="A4" s="423"/>
      <c r="B4" s="423"/>
      <c r="C4" s="423"/>
      <c r="D4" s="423"/>
      <c r="E4" s="423"/>
      <c r="F4" s="423"/>
      <c r="G4" s="423"/>
      <c r="H4" s="423"/>
      <c r="I4" s="423"/>
    </row>
    <row r="5" spans="1:10" ht="15" customHeight="1">
      <c r="A5" s="423"/>
      <c r="B5" s="423"/>
      <c r="C5" s="423"/>
      <c r="D5" s="423"/>
      <c r="E5" s="423"/>
      <c r="F5" s="423"/>
      <c r="G5" s="423"/>
      <c r="H5" s="423"/>
      <c r="I5" s="423"/>
    </row>
    <row r="6" spans="1:10" ht="15" customHeight="1">
      <c r="A6" s="423"/>
      <c r="B6" s="423"/>
      <c r="C6" s="423"/>
      <c r="D6" s="423"/>
      <c r="E6" s="423"/>
      <c r="F6" s="423"/>
      <c r="G6" s="423"/>
      <c r="H6" s="423"/>
      <c r="I6" s="423"/>
    </row>
    <row r="7" spans="1:10" ht="30" customHeight="1">
      <c r="A7" s="424" t="s">
        <v>256</v>
      </c>
      <c r="B7" s="424"/>
      <c r="C7" s="424"/>
      <c r="D7" s="424"/>
      <c r="E7" s="424"/>
      <c r="F7" s="424"/>
      <c r="G7" s="424"/>
      <c r="H7" s="424"/>
      <c r="I7" s="424"/>
      <c r="J7" s="29"/>
    </row>
    <row r="8" spans="1:10" ht="9.9499999999999993" customHeight="1">
      <c r="A8" s="29"/>
      <c r="B8" s="29"/>
      <c r="C8" s="30"/>
      <c r="D8" s="30"/>
    </row>
    <row r="9" spans="1:10" ht="15.95" customHeight="1">
      <c r="A9" s="419" t="s">
        <v>221</v>
      </c>
      <c r="B9" s="419"/>
      <c r="C9" s="419"/>
      <c r="D9" s="419"/>
      <c r="E9" s="31">
        <f>'3.1'!G8/1000</f>
        <v>10139.377200999597</v>
      </c>
      <c r="F9" s="32" t="s">
        <v>263</v>
      </c>
      <c r="G9" s="32" t="s">
        <v>222</v>
      </c>
      <c r="H9" s="31">
        <f>'3.1'!K8/1000</f>
        <v>108259.82823933879</v>
      </c>
      <c r="I9" s="32" t="s">
        <v>223</v>
      </c>
    </row>
    <row r="10" spans="1:10" ht="15.95" customHeight="1">
      <c r="A10" s="420" t="s">
        <v>224</v>
      </c>
      <c r="B10" s="420"/>
      <c r="C10" s="420"/>
      <c r="D10" s="420"/>
      <c r="E10" s="31">
        <f>'3.1'!G11/1000</f>
        <v>8505.8906993445617</v>
      </c>
      <c r="F10" s="32" t="s">
        <v>263</v>
      </c>
      <c r="G10" s="32" t="s">
        <v>222</v>
      </c>
      <c r="H10" s="31">
        <f>'3.1'!K11/1000</f>
        <v>90806.271670755596</v>
      </c>
      <c r="I10" s="32" t="s">
        <v>223</v>
      </c>
    </row>
    <row r="11" spans="1:10" ht="9.9499999999999993" customHeight="1">
      <c r="A11" s="33"/>
      <c r="B11" s="33"/>
      <c r="C11" s="34"/>
      <c r="D11" s="34"/>
      <c r="E11" s="35"/>
    </row>
    <row r="12" spans="1:10" ht="15.95" customHeight="1">
      <c r="A12" s="420" t="s">
        <v>225</v>
      </c>
      <c r="B12" s="420"/>
      <c r="C12" s="420"/>
      <c r="D12" s="420"/>
      <c r="E12" s="31">
        <f>'3.1'!G18/1000</f>
        <v>1330.846033</v>
      </c>
      <c r="F12" s="32" t="s">
        <v>263</v>
      </c>
      <c r="G12" s="32" t="s">
        <v>222</v>
      </c>
      <c r="H12" s="31">
        <f>'3.1'!K18/1000</f>
        <v>14210.521988999999</v>
      </c>
      <c r="I12" s="32" t="s">
        <v>223</v>
      </c>
    </row>
    <row r="13" spans="1:10" ht="15.95" customHeight="1">
      <c r="A13" s="420" t="s">
        <v>226</v>
      </c>
      <c r="B13" s="420"/>
      <c r="C13" s="420"/>
      <c r="D13" s="420"/>
      <c r="E13" s="31">
        <f>'3.1'!G22/1000</f>
        <v>98.787162999999993</v>
      </c>
      <c r="F13" s="32" t="s">
        <v>263</v>
      </c>
      <c r="G13" s="32" t="s">
        <v>222</v>
      </c>
      <c r="H13" s="31">
        <f>'3.1'!K22/1000</f>
        <v>1056.2487536159999</v>
      </c>
      <c r="I13" s="32" t="s">
        <v>223</v>
      </c>
    </row>
    <row r="14" spans="1:10" ht="15.95" customHeight="1">
      <c r="A14" s="420" t="s">
        <v>227</v>
      </c>
      <c r="B14" s="420"/>
      <c r="C14" s="420"/>
      <c r="D14" s="420"/>
      <c r="E14" s="31">
        <f>'3.1'!G27/1000</f>
        <v>459.14981873249076</v>
      </c>
      <c r="F14" s="32" t="s">
        <v>263</v>
      </c>
      <c r="G14" s="32" t="s">
        <v>222</v>
      </c>
      <c r="H14" s="31">
        <f>'3.1'!K27/1000</f>
        <v>5022.2764505096184</v>
      </c>
      <c r="I14" s="32" t="s">
        <v>223</v>
      </c>
    </row>
    <row r="15" spans="1:10" ht="9.9499999999999993" customHeight="1">
      <c r="A15" s="33"/>
      <c r="B15" s="33"/>
      <c r="C15" s="34"/>
      <c r="D15" s="34"/>
      <c r="E15" s="35"/>
    </row>
    <row r="16" spans="1:10" ht="15.95" customHeight="1">
      <c r="A16" s="420" t="s">
        <v>228</v>
      </c>
      <c r="B16" s="420"/>
      <c r="C16" s="420"/>
      <c r="D16" s="420"/>
      <c r="E16" s="31">
        <f>'3.1'!G36/1000</f>
        <v>35.589660000000002</v>
      </c>
      <c r="F16" s="32" t="s">
        <v>263</v>
      </c>
      <c r="G16" s="32" t="s">
        <v>222</v>
      </c>
      <c r="H16" s="31">
        <f>'3.1'!K36/1000</f>
        <v>385.72603857640001</v>
      </c>
      <c r="I16" s="32" t="s">
        <v>223</v>
      </c>
    </row>
    <row r="17" spans="1:9" ht="30" customHeight="1">
      <c r="A17" s="424" t="s">
        <v>257</v>
      </c>
      <c r="B17" s="424"/>
      <c r="C17" s="424"/>
      <c r="D17" s="424"/>
      <c r="E17" s="424"/>
      <c r="F17" s="424"/>
      <c r="G17" s="424"/>
      <c r="H17" s="424"/>
      <c r="I17" s="424"/>
    </row>
    <row r="18" spans="1:9" ht="9.9499999999999993" customHeight="1">
      <c r="A18" s="29"/>
      <c r="B18" s="29"/>
      <c r="C18" s="30"/>
      <c r="D18" s="30"/>
    </row>
    <row r="19" spans="1:9" ht="15.95" customHeight="1">
      <c r="A19" s="419" t="s">
        <v>229</v>
      </c>
      <c r="B19" s="419"/>
      <c r="C19" s="419"/>
      <c r="D19" s="419"/>
      <c r="E19" s="31">
        <f>'4.1'!B19</f>
        <v>2947.382771674103</v>
      </c>
      <c r="F19" s="32" t="s">
        <v>263</v>
      </c>
      <c r="G19" s="32" t="s">
        <v>222</v>
      </c>
      <c r="H19" s="31">
        <f>'4.1'!I19</f>
        <v>31555.213101813995</v>
      </c>
      <c r="I19" s="32" t="s">
        <v>223</v>
      </c>
    </row>
    <row r="20" spans="1:9" ht="15.95" customHeight="1">
      <c r="A20" s="420" t="s">
        <v>230</v>
      </c>
      <c r="B20" s="420"/>
      <c r="C20" s="420"/>
      <c r="D20" s="420"/>
      <c r="E20" s="36">
        <f>'4.1'!D19*100</f>
        <v>-16.492675912718859</v>
      </c>
      <c r="F20" s="32" t="s">
        <v>231</v>
      </c>
      <c r="G20" s="32"/>
      <c r="H20" s="31"/>
      <c r="I20" s="32"/>
    </row>
    <row r="21" spans="1:9" ht="9.9499999999999993" customHeight="1">
      <c r="A21" s="37"/>
      <c r="B21" s="37"/>
      <c r="C21" s="37"/>
      <c r="D21" s="37"/>
      <c r="E21" s="36"/>
      <c r="F21" s="32"/>
      <c r="G21" s="32"/>
      <c r="H21" s="31"/>
      <c r="I21" s="32"/>
    </row>
    <row r="22" spans="1:9" ht="15.95" customHeight="1">
      <c r="A22" s="420" t="s">
        <v>232</v>
      </c>
      <c r="B22" s="420"/>
      <c r="C22" s="420"/>
      <c r="D22" s="420"/>
      <c r="E22" s="31">
        <f>'4.1'!E19</f>
        <v>3113.5819232431504</v>
      </c>
      <c r="F22" s="32" t="s">
        <v>263</v>
      </c>
      <c r="G22" s="32" t="s">
        <v>222</v>
      </c>
      <c r="H22" s="31">
        <f>'4.1'!K19</f>
        <v>33331.973459874614</v>
      </c>
      <c r="I22" s="32" t="s">
        <v>223</v>
      </c>
    </row>
    <row r="23" spans="1:9" ht="15.95" customHeight="1">
      <c r="A23" s="420" t="s">
        <v>233</v>
      </c>
      <c r="B23" s="420"/>
      <c r="C23" s="420"/>
      <c r="D23" s="420"/>
      <c r="E23" s="36">
        <f>'4.1'!G19*100</f>
        <v>-11.08808169810851</v>
      </c>
      <c r="F23" s="32" t="s">
        <v>231</v>
      </c>
    </row>
    <row r="24" spans="1:9" ht="9.9499999999999993" customHeight="1">
      <c r="A24" s="37"/>
      <c r="B24" s="37"/>
      <c r="C24" s="37"/>
      <c r="D24" s="37"/>
      <c r="E24" s="36"/>
      <c r="F24" s="32"/>
      <c r="G24" s="32"/>
      <c r="H24" s="31"/>
      <c r="I24" s="32"/>
    </row>
    <row r="25" spans="1:9" ht="15.95" customHeight="1">
      <c r="A25" s="420" t="s">
        <v>234</v>
      </c>
      <c r="B25" s="420"/>
      <c r="C25" s="420"/>
      <c r="D25" s="420"/>
      <c r="E25" s="36">
        <f>'4.1'!N19</f>
        <v>2.3975038402457756</v>
      </c>
      <c r="F25" s="32" t="s">
        <v>235</v>
      </c>
      <c r="G25" s="32"/>
      <c r="H25" s="31"/>
      <c r="I25" s="32"/>
    </row>
    <row r="26" spans="1:9" ht="15.95" customHeight="1">
      <c r="A26" s="420" t="s">
        <v>236</v>
      </c>
      <c r="B26" s="420"/>
      <c r="C26" s="420"/>
      <c r="D26" s="420"/>
      <c r="E26" s="36">
        <f>'4.1'!Q19</f>
        <v>0.71064145346681462</v>
      </c>
      <c r="F26" s="32" t="s">
        <v>235</v>
      </c>
      <c r="G26" s="32"/>
      <c r="H26" s="31"/>
      <c r="I26" s="32"/>
    </row>
    <row r="27" spans="1:9" ht="15.95" customHeight="1">
      <c r="A27" s="420" t="s">
        <v>237</v>
      </c>
      <c r="B27" s="420"/>
      <c r="C27" s="420"/>
      <c r="D27" s="420"/>
      <c r="E27" s="36">
        <f>'4.1'!R19</f>
        <v>1.6868623867789609</v>
      </c>
      <c r="F27" s="32" t="s">
        <v>235</v>
      </c>
      <c r="G27" s="32"/>
      <c r="H27" s="31"/>
      <c r="I27" s="32"/>
    </row>
    <row r="28" spans="1:9" ht="9.9499999999999993" customHeight="1">
      <c r="A28" s="37"/>
      <c r="B28" s="37"/>
      <c r="C28" s="37"/>
      <c r="D28" s="37"/>
      <c r="E28" s="31"/>
      <c r="F28" s="32"/>
      <c r="G28" s="32"/>
      <c r="H28" s="31"/>
      <c r="I28" s="32"/>
    </row>
    <row r="29" spans="1:9" ht="15.95" customHeight="1">
      <c r="A29" s="420" t="s">
        <v>238</v>
      </c>
      <c r="B29" s="420"/>
      <c r="C29" s="420"/>
      <c r="D29" s="420"/>
      <c r="E29" s="38">
        <f>MAX('4.3'!B38,'4.3'!E38,'4.3'!H38)/1000</f>
        <v>44.045334403713248</v>
      </c>
      <c r="F29" s="32" t="s">
        <v>263</v>
      </c>
      <c r="G29" s="32" t="s">
        <v>222</v>
      </c>
      <c r="H29" s="38">
        <f>MAX('4.3'!C38,'4.3'!F38,'4.3'!I38)/1000</f>
        <v>470.5378870240645</v>
      </c>
      <c r="I29" s="32" t="s">
        <v>223</v>
      </c>
    </row>
    <row r="30" spans="1:9" ht="15.95" customHeight="1">
      <c r="A30" s="420" t="s">
        <v>239</v>
      </c>
      <c r="B30" s="420"/>
      <c r="C30" s="420"/>
      <c r="D30" s="420"/>
      <c r="E30" s="38">
        <f>MIN('4.3'!B39,'4.3'!E39,'4.3'!H39)/1000</f>
        <v>17.427747586285701</v>
      </c>
      <c r="F30" s="32" t="s">
        <v>263</v>
      </c>
      <c r="G30" s="32" t="s">
        <v>222</v>
      </c>
      <c r="H30" s="38">
        <f>MIN('4.3'!C39,'4.3'!F39,'4.3'!I39)/1000</f>
        <v>187.13223419474195</v>
      </c>
      <c r="I30" s="32" t="s">
        <v>223</v>
      </c>
    </row>
    <row r="31" spans="1:9" ht="30" customHeight="1">
      <c r="A31" s="418" t="s">
        <v>258</v>
      </c>
      <c r="B31" s="418"/>
      <c r="C31" s="418"/>
      <c r="D31" s="418"/>
      <c r="E31" s="418"/>
      <c r="F31" s="418"/>
      <c r="G31" s="418"/>
      <c r="H31" s="418"/>
      <c r="I31" s="418"/>
    </row>
    <row r="32" spans="1:9" ht="9.9499999999999993" customHeight="1"/>
    <row r="33" spans="1:9" ht="15.95" customHeight="1">
      <c r="A33" s="419" t="s">
        <v>240</v>
      </c>
      <c r="B33" s="419"/>
      <c r="C33" s="419"/>
      <c r="D33" s="419"/>
      <c r="E33" s="38">
        <f>'5.9'!E7*100</f>
        <v>11.315325832376931</v>
      </c>
      <c r="F33" s="32" t="s">
        <v>231</v>
      </c>
      <c r="H33" s="38">
        <f>'5.9'!F7*100</f>
        <v>-13.162749339937438</v>
      </c>
      <c r="I33" s="32" t="s">
        <v>231</v>
      </c>
    </row>
    <row r="34" spans="1:9" ht="15.95" customHeight="1">
      <c r="A34" s="420" t="s">
        <v>241</v>
      </c>
      <c r="B34" s="420"/>
      <c r="C34" s="420"/>
      <c r="D34" s="420"/>
      <c r="E34" s="38">
        <f>'5.9'!E8*100</f>
        <v>80.730107355393983</v>
      </c>
      <c r="F34" s="32" t="s">
        <v>231</v>
      </c>
      <c r="H34" s="38">
        <f>'5.9'!F8*100</f>
        <v>-15.106631167565897</v>
      </c>
      <c r="I34" s="32" t="s">
        <v>231</v>
      </c>
    </row>
    <row r="35" spans="1:9" ht="15.95" customHeight="1">
      <c r="A35" s="420" t="s">
        <v>242</v>
      </c>
      <c r="B35" s="420"/>
      <c r="C35" s="420"/>
      <c r="D35" s="420"/>
      <c r="E35" s="38">
        <f>'5.9'!E9*100</f>
        <v>4.0220226224874267</v>
      </c>
      <c r="F35" s="32" t="s">
        <v>231</v>
      </c>
      <c r="H35" s="38">
        <f>'5.9'!F9*100</f>
        <v>-10.458176806357249</v>
      </c>
      <c r="I35" s="32" t="s">
        <v>231</v>
      </c>
    </row>
    <row r="36" spans="1:9" ht="15.95" customHeight="1">
      <c r="A36" s="420" t="s">
        <v>243</v>
      </c>
      <c r="B36" s="420"/>
      <c r="C36" s="420"/>
      <c r="D36" s="420"/>
      <c r="E36" s="38">
        <f>'5.9'!E10*100</f>
        <v>3.9325441897416389</v>
      </c>
      <c r="F36" s="32" t="s">
        <v>231</v>
      </c>
      <c r="H36" s="38">
        <f>'5.9'!F10*100</f>
        <v>-44.859065022059461</v>
      </c>
      <c r="I36" s="32" t="s">
        <v>231</v>
      </c>
    </row>
    <row r="37" spans="1:9" ht="15" customHeight="1">
      <c r="A37" s="37"/>
      <c r="B37" s="37"/>
      <c r="C37" s="37"/>
      <c r="D37" s="37"/>
      <c r="E37" s="38"/>
      <c r="F37" s="32"/>
      <c r="H37" s="38"/>
      <c r="I37" s="32"/>
    </row>
    <row r="38" spans="1:9" ht="15.95" customHeight="1">
      <c r="A38" s="420" t="s">
        <v>244</v>
      </c>
      <c r="B38" s="420"/>
      <c r="C38" s="420"/>
      <c r="D38" s="420"/>
      <c r="E38" s="417">
        <f>'5.1'!D35</f>
        <v>2813737</v>
      </c>
      <c r="F38" s="417"/>
      <c r="H38" s="38"/>
      <c r="I38" s="32"/>
    </row>
    <row r="39" spans="1:9" ht="30" customHeight="1">
      <c r="A39" s="421"/>
      <c r="B39" s="421"/>
      <c r="C39" s="421"/>
      <c r="D39" s="421"/>
      <c r="E39" s="421"/>
      <c r="F39" s="421"/>
      <c r="G39" s="421"/>
      <c r="H39" s="421"/>
      <c r="I39" s="421"/>
    </row>
    <row r="40" spans="1:9" ht="15.95" customHeight="1">
      <c r="A40" s="29"/>
      <c r="B40" s="29"/>
    </row>
    <row r="41" spans="1:9" ht="15.95" customHeight="1">
      <c r="A41" s="422"/>
      <c r="B41" s="422"/>
      <c r="C41" s="422"/>
      <c r="D41" s="422"/>
    </row>
    <row r="42" spans="1:9" ht="15.95" customHeight="1">
      <c r="A42" s="29"/>
      <c r="B42" s="29"/>
    </row>
    <row r="43" spans="1:9" ht="15.95" customHeight="1">
      <c r="A43" s="29"/>
      <c r="B43" s="29"/>
    </row>
    <row r="44" spans="1:9" ht="15.95" customHeight="1">
      <c r="A44" s="29"/>
      <c r="B44" s="29"/>
    </row>
    <row r="45" spans="1:9" ht="15.95" customHeight="1">
      <c r="A45" s="29"/>
      <c r="B45" s="29"/>
    </row>
    <row r="46" spans="1:9" ht="15.95" customHeight="1">
      <c r="A46" s="29"/>
      <c r="B46" s="29"/>
    </row>
    <row r="47" spans="1:9" ht="15.95" customHeight="1">
      <c r="A47" s="29"/>
      <c r="B47" s="29"/>
    </row>
    <row r="48" spans="1:9" ht="15" customHeight="1">
      <c r="A48" s="29"/>
      <c r="B48" s="29"/>
    </row>
    <row r="49" spans="1:2" ht="15" customHeight="1">
      <c r="A49" s="29"/>
      <c r="B49" s="29"/>
    </row>
    <row r="50" spans="1:2" ht="15" customHeight="1">
      <c r="A50" s="29"/>
      <c r="B50" s="29"/>
    </row>
    <row r="51" spans="1:2" ht="15.95" customHeight="1">
      <c r="A51" s="29"/>
      <c r="B51" s="29"/>
    </row>
    <row r="52" spans="1:2" ht="15.95" customHeight="1">
      <c r="A52" s="29"/>
      <c r="B52" s="29"/>
    </row>
    <row r="53" spans="1:2" ht="15.95" customHeight="1">
      <c r="A53" s="29"/>
      <c r="B53" s="29"/>
    </row>
    <row r="54" spans="1:2" ht="15.95" customHeight="1">
      <c r="A54" s="29"/>
      <c r="B54" s="29"/>
    </row>
    <row r="55" spans="1:2" ht="15" customHeight="1">
      <c r="A55" s="29"/>
      <c r="B55" s="29"/>
    </row>
    <row r="56" spans="1:2" ht="15" customHeight="1">
      <c r="A56" s="29"/>
      <c r="B56" s="29"/>
    </row>
    <row r="57" spans="1:2" ht="15" customHeight="1">
      <c r="A57" s="29"/>
      <c r="B57" s="29"/>
    </row>
    <row r="58" spans="1:2" ht="15" customHeight="1">
      <c r="A58" s="29"/>
      <c r="B58" s="29"/>
    </row>
    <row r="59" spans="1:2" ht="15" customHeight="1">
      <c r="A59" s="29"/>
      <c r="B59" s="29"/>
    </row>
    <row r="60" spans="1:2" ht="11.45" customHeight="1">
      <c r="A60" s="29"/>
      <c r="B60" s="29"/>
    </row>
    <row r="61" spans="1:2" ht="10.9" customHeight="1"/>
  </sheetData>
  <mergeCells count="27">
    <mergeCell ref="A39:I39"/>
    <mergeCell ref="A41:D41"/>
    <mergeCell ref="A13:D13"/>
    <mergeCell ref="A3:I6"/>
    <mergeCell ref="A7:I7"/>
    <mergeCell ref="A9:D9"/>
    <mergeCell ref="A10:D10"/>
    <mergeCell ref="A12:D12"/>
    <mergeCell ref="A30:D30"/>
    <mergeCell ref="A14:D14"/>
    <mergeCell ref="A16:D16"/>
    <mergeCell ref="A17:I17"/>
    <mergeCell ref="A19:D19"/>
    <mergeCell ref="A20:D20"/>
    <mergeCell ref="A22:D22"/>
    <mergeCell ref="A23:D23"/>
    <mergeCell ref="A25:D25"/>
    <mergeCell ref="A26:D26"/>
    <mergeCell ref="A27:D27"/>
    <mergeCell ref="A29:D29"/>
    <mergeCell ref="A38:D38"/>
    <mergeCell ref="E38:F38"/>
    <mergeCell ref="A31:I31"/>
    <mergeCell ref="A33:D33"/>
    <mergeCell ref="A34:D34"/>
    <mergeCell ref="A35:D35"/>
    <mergeCell ref="A36:D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6"/>
  <sheetViews>
    <sheetView showGridLines="0" zoomScaleNormal="100" zoomScaleSheetLayoutView="100" workbookViewId="0">
      <selection activeCell="C1" sqref="C1"/>
    </sheetView>
  </sheetViews>
  <sheetFormatPr defaultColWidth="9.140625" defaultRowHeight="11.25"/>
  <cols>
    <col min="1" max="1" width="6.85546875" style="39" customWidth="1"/>
    <col min="2" max="2" width="8.42578125" style="39" customWidth="1"/>
    <col min="3" max="3" width="13.140625" style="39" customWidth="1"/>
    <col min="4" max="6" width="8.28515625" style="39" customWidth="1"/>
    <col min="7" max="7" width="9.7109375" style="39" customWidth="1"/>
    <col min="8" max="10" width="8.7109375" style="39" customWidth="1"/>
    <col min="11" max="11" width="9.7109375" style="39" customWidth="1"/>
    <col min="12" max="16384" width="9.140625" style="39"/>
  </cols>
  <sheetData>
    <row r="1" spans="1:18" ht="20.25">
      <c r="A1" s="55" t="s">
        <v>293</v>
      </c>
    </row>
    <row r="2" spans="1:18" ht="18">
      <c r="A2" s="434" t="s">
        <v>299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</row>
    <row r="3" spans="1:18" ht="6" customHeight="1">
      <c r="A3" s="247"/>
      <c r="B3" s="247"/>
      <c r="C3" s="248"/>
      <c r="D3" s="435"/>
      <c r="E3" s="436"/>
      <c r="F3" s="436"/>
      <c r="G3" s="436"/>
      <c r="H3" s="436"/>
      <c r="I3" s="436"/>
      <c r="J3" s="436"/>
      <c r="K3" s="436"/>
    </row>
    <row r="4" spans="1:18" s="40" customFormat="1" ht="20.100000000000001" customHeight="1">
      <c r="A4" s="246">
        <v>2022</v>
      </c>
      <c r="B4" s="151"/>
      <c r="C4" s="199"/>
      <c r="D4" s="437" t="s">
        <v>267</v>
      </c>
      <c r="E4" s="438"/>
      <c r="F4" s="438"/>
      <c r="G4" s="439"/>
      <c r="H4" s="437" t="s">
        <v>268</v>
      </c>
      <c r="I4" s="438"/>
      <c r="J4" s="438"/>
      <c r="K4" s="438"/>
    </row>
    <row r="5" spans="1:18" ht="20.100000000000001" customHeight="1">
      <c r="A5" s="154"/>
      <c r="B5" s="154"/>
      <c r="C5" s="200"/>
      <c r="D5" s="201" t="s">
        <v>161</v>
      </c>
      <c r="E5" s="202" t="s">
        <v>162</v>
      </c>
      <c r="F5" s="202" t="s">
        <v>163</v>
      </c>
      <c r="G5" s="203" t="s">
        <v>48</v>
      </c>
      <c r="H5" s="201" t="str">
        <f>D5</f>
        <v>Leden</v>
      </c>
      <c r="I5" s="202" t="str">
        <f>E5</f>
        <v>Únor</v>
      </c>
      <c r="J5" s="202" t="str">
        <f>F5</f>
        <v>Březen</v>
      </c>
      <c r="K5" s="204" t="str">
        <f>G5</f>
        <v>I. čtvrtletí</v>
      </c>
    </row>
    <row r="6" spans="1:18" ht="15" customHeight="1">
      <c r="A6" s="427" t="s">
        <v>49</v>
      </c>
      <c r="B6" s="440" t="s">
        <v>21</v>
      </c>
      <c r="C6" s="155" t="s">
        <v>23</v>
      </c>
      <c r="D6" s="156">
        <v>3368200.4283152232</v>
      </c>
      <c r="E6" s="157">
        <v>3030686.5871083448</v>
      </c>
      <c r="F6" s="157">
        <v>3739851.0096001695</v>
      </c>
      <c r="G6" s="158">
        <f>SUM(D6:F6)</f>
        <v>10138738.025023738</v>
      </c>
      <c r="H6" s="156">
        <v>35944119.549000002</v>
      </c>
      <c r="I6" s="157">
        <v>32342242.429373998</v>
      </c>
      <c r="J6" s="157">
        <v>39966754.119000003</v>
      </c>
      <c r="K6" s="159">
        <f>SUM(H6:J6)</f>
        <v>108253116.09737401</v>
      </c>
      <c r="L6" s="42"/>
      <c r="M6" s="42"/>
      <c r="N6" s="42"/>
      <c r="O6" s="42"/>
      <c r="P6" s="42"/>
      <c r="Q6" s="42"/>
      <c r="R6" s="42"/>
    </row>
    <row r="7" spans="1:18" ht="15" customHeight="1">
      <c r="A7" s="427"/>
      <c r="B7" s="440"/>
      <c r="C7" s="155" t="s">
        <v>24</v>
      </c>
      <c r="D7" s="156">
        <v>231.40929196023009</v>
      </c>
      <c r="E7" s="157">
        <v>201.03083009674705</v>
      </c>
      <c r="F7" s="157">
        <v>206.73585380298601</v>
      </c>
      <c r="G7" s="158">
        <f>SUM(D7:F7)</f>
        <v>639.17597585996316</v>
      </c>
      <c r="H7" s="156">
        <v>2429.7324250000006</v>
      </c>
      <c r="I7" s="157">
        <v>2111.3036830000001</v>
      </c>
      <c r="J7" s="157">
        <v>2171.1058568000003</v>
      </c>
      <c r="K7" s="159">
        <f t="shared" ref="K7:K47" si="0">SUM(H7:J7)</f>
        <v>6712.141964800001</v>
      </c>
      <c r="L7" s="42"/>
      <c r="M7" s="42"/>
      <c r="N7" s="42"/>
      <c r="O7" s="42"/>
      <c r="P7" s="42"/>
      <c r="Q7" s="42"/>
    </row>
    <row r="8" spans="1:18" ht="15" customHeight="1">
      <c r="A8" s="427"/>
      <c r="B8" s="441"/>
      <c r="C8" s="160" t="s">
        <v>25</v>
      </c>
      <c r="D8" s="161">
        <v>3368431.8376071835</v>
      </c>
      <c r="E8" s="162">
        <v>3030887.6179384417</v>
      </c>
      <c r="F8" s="162">
        <v>3740057.7454539724</v>
      </c>
      <c r="G8" s="163">
        <f t="shared" ref="G8" si="1">SUM(D8:F8)</f>
        <v>10139377.200999597</v>
      </c>
      <c r="H8" s="161">
        <v>35946549.281424999</v>
      </c>
      <c r="I8" s="162">
        <v>32344353.733057</v>
      </c>
      <c r="J8" s="162">
        <v>39968925.224856801</v>
      </c>
      <c r="K8" s="164">
        <f t="shared" si="0"/>
        <v>108259828.23933879</v>
      </c>
      <c r="L8" s="42"/>
      <c r="M8" s="42"/>
      <c r="N8" s="42"/>
      <c r="O8" s="42"/>
      <c r="P8" s="42"/>
      <c r="Q8" s="42"/>
    </row>
    <row r="9" spans="1:18" ht="15" customHeight="1">
      <c r="A9" s="427"/>
      <c r="B9" s="442" t="s">
        <v>22</v>
      </c>
      <c r="C9" s="165" t="s">
        <v>23</v>
      </c>
      <c r="D9" s="166">
        <v>2936825.1967507126</v>
      </c>
      <c r="E9" s="167">
        <v>2527755.2980272183</v>
      </c>
      <c r="F9" s="167">
        <v>3041176.2158455532</v>
      </c>
      <c r="G9" s="168">
        <f>SUM(D9:F9)</f>
        <v>8505756.7106234841</v>
      </c>
      <c r="H9" s="166">
        <v>31349629.931999996</v>
      </c>
      <c r="I9" s="167">
        <v>26980779.471905999</v>
      </c>
      <c r="J9" s="167">
        <v>32474428.375470996</v>
      </c>
      <c r="K9" s="169">
        <f t="shared" si="0"/>
        <v>90804837.779376984</v>
      </c>
      <c r="L9" s="42"/>
      <c r="M9" s="42"/>
      <c r="N9" s="42"/>
      <c r="O9" s="42"/>
      <c r="P9" s="42"/>
      <c r="Q9" s="42"/>
    </row>
    <row r="10" spans="1:18" ht="15" customHeight="1">
      <c r="A10" s="427"/>
      <c r="B10" s="440"/>
      <c r="C10" s="155" t="s">
        <v>24</v>
      </c>
      <c r="D10" s="156">
        <v>50.723645532305085</v>
      </c>
      <c r="E10" s="157">
        <v>41.302717745025006</v>
      </c>
      <c r="F10" s="157">
        <v>41.962357800246885</v>
      </c>
      <c r="G10" s="158">
        <f>SUM(D10:F10)</f>
        <v>133.98872107757697</v>
      </c>
      <c r="H10" s="156">
        <v>541.83486589999995</v>
      </c>
      <c r="I10" s="157">
        <v>441.7239088</v>
      </c>
      <c r="J10" s="157">
        <v>450.33260389999998</v>
      </c>
      <c r="K10" s="159">
        <f t="shared" si="0"/>
        <v>1433.8913785999998</v>
      </c>
      <c r="L10" s="42"/>
      <c r="M10" s="42"/>
      <c r="N10" s="42"/>
      <c r="O10" s="42"/>
      <c r="P10" s="42"/>
      <c r="Q10" s="42"/>
    </row>
    <row r="11" spans="1:18" ht="15" customHeight="1">
      <c r="A11" s="427"/>
      <c r="B11" s="441"/>
      <c r="C11" s="160" t="s">
        <v>25</v>
      </c>
      <c r="D11" s="161">
        <v>2936875.9203962451</v>
      </c>
      <c r="E11" s="162">
        <v>2527796.6007449632</v>
      </c>
      <c r="F11" s="162">
        <v>3041218.1782033537</v>
      </c>
      <c r="G11" s="163">
        <f t="shared" ref="G11" si="2">SUM(D11:F11)</f>
        <v>8505890.6993445624</v>
      </c>
      <c r="H11" s="161">
        <v>31350171.766865898</v>
      </c>
      <c r="I11" s="162">
        <v>26981221.1958148</v>
      </c>
      <c r="J11" s="162">
        <v>32474878.708074898</v>
      </c>
      <c r="K11" s="164">
        <f t="shared" si="0"/>
        <v>90806271.670755595</v>
      </c>
      <c r="L11" s="42"/>
      <c r="M11" s="42"/>
      <c r="N11" s="42"/>
      <c r="O11" s="42"/>
      <c r="P11" s="42"/>
      <c r="Q11" s="42"/>
    </row>
    <row r="12" spans="1:18" ht="15" customHeight="1">
      <c r="A12" s="427"/>
      <c r="B12" s="430" t="s">
        <v>51</v>
      </c>
      <c r="C12" s="155" t="s">
        <v>23</v>
      </c>
      <c r="D12" s="156">
        <v>431375.23156451061</v>
      </c>
      <c r="E12" s="157">
        <v>502931.28908112645</v>
      </c>
      <c r="F12" s="157">
        <v>698674.79375461629</v>
      </c>
      <c r="G12" s="158">
        <f>SUM(D12:F12)</f>
        <v>1632981.3144002534</v>
      </c>
      <c r="H12" s="156">
        <v>4594489.6170000061</v>
      </c>
      <c r="I12" s="157">
        <v>5361462.9574679993</v>
      </c>
      <c r="J12" s="157">
        <v>7492325.7435290068</v>
      </c>
      <c r="K12" s="159">
        <f t="shared" si="0"/>
        <v>17448278.317997012</v>
      </c>
      <c r="L12" s="42"/>
      <c r="M12" s="42"/>
      <c r="N12" s="42"/>
      <c r="O12" s="42"/>
      <c r="P12" s="42"/>
      <c r="Q12" s="42"/>
    </row>
    <row r="13" spans="1:18" ht="15" customHeight="1">
      <c r="A13" s="427"/>
      <c r="B13" s="440"/>
      <c r="C13" s="155" t="s">
        <v>24</v>
      </c>
      <c r="D13" s="156">
        <v>180.68564642792501</v>
      </c>
      <c r="E13" s="157">
        <v>159.72811235172205</v>
      </c>
      <c r="F13" s="157">
        <v>164.77349600273914</v>
      </c>
      <c r="G13" s="158">
        <f>SUM(D13:F13)</f>
        <v>505.18725478238622</v>
      </c>
      <c r="H13" s="156">
        <v>1887.8975591000008</v>
      </c>
      <c r="I13" s="157">
        <v>1669.5797742</v>
      </c>
      <c r="J13" s="157">
        <v>1720.7732529000004</v>
      </c>
      <c r="K13" s="159">
        <f t="shared" si="0"/>
        <v>5278.2505862000016</v>
      </c>
      <c r="L13" s="42"/>
      <c r="M13" s="42"/>
      <c r="N13" s="42"/>
      <c r="O13" s="42"/>
      <c r="P13" s="42"/>
      <c r="Q13" s="42"/>
    </row>
    <row r="14" spans="1:18" ht="15" customHeight="1">
      <c r="A14" s="428"/>
      <c r="B14" s="441"/>
      <c r="C14" s="160" t="s">
        <v>25</v>
      </c>
      <c r="D14" s="161">
        <v>431555.91721093853</v>
      </c>
      <c r="E14" s="162">
        <v>503091.01719347818</v>
      </c>
      <c r="F14" s="162">
        <v>698839.56725061906</v>
      </c>
      <c r="G14" s="163">
        <f t="shared" ref="G14:G51" si="3">SUM(D14:F14)</f>
        <v>1633486.5016550357</v>
      </c>
      <c r="H14" s="161">
        <v>4596377.514559106</v>
      </c>
      <c r="I14" s="162">
        <v>5363132.5372421993</v>
      </c>
      <c r="J14" s="162">
        <v>7494046.5167819066</v>
      </c>
      <c r="K14" s="164">
        <f t="shared" si="0"/>
        <v>17453556.568583213</v>
      </c>
      <c r="L14" s="42"/>
      <c r="M14" s="42"/>
      <c r="N14" s="42"/>
      <c r="O14" s="42"/>
      <c r="P14" s="42"/>
      <c r="Q14" s="42"/>
    </row>
    <row r="15" spans="1:18" ht="15" customHeight="1">
      <c r="A15" s="426" t="s">
        <v>150</v>
      </c>
      <c r="B15" s="442" t="s">
        <v>26</v>
      </c>
      <c r="C15" s="165" t="s">
        <v>205</v>
      </c>
      <c r="D15" s="166">
        <v>610284.42000000004</v>
      </c>
      <c r="E15" s="167">
        <v>352249.12300000002</v>
      </c>
      <c r="F15" s="167">
        <v>131154.611</v>
      </c>
      <c r="G15" s="168">
        <f t="shared" si="3"/>
        <v>1093688.1540000001</v>
      </c>
      <c r="H15" s="166">
        <v>6509633.3219999997</v>
      </c>
      <c r="I15" s="167">
        <v>3759346.173</v>
      </c>
      <c r="J15" s="167">
        <v>1397951.909</v>
      </c>
      <c r="K15" s="169">
        <f t="shared" si="0"/>
        <v>11666931.403999999</v>
      </c>
      <c r="L15" s="42"/>
      <c r="M15" s="42"/>
      <c r="N15" s="42"/>
      <c r="O15" s="42"/>
      <c r="P15" s="42"/>
      <c r="Q15" s="42"/>
    </row>
    <row r="16" spans="1:18" ht="15" customHeight="1">
      <c r="A16" s="427"/>
      <c r="B16" s="440"/>
      <c r="C16" s="155" t="s">
        <v>217</v>
      </c>
      <c r="D16" s="156">
        <v>53559.081000000013</v>
      </c>
      <c r="E16" s="157">
        <v>32654.574000000001</v>
      </c>
      <c r="F16" s="157">
        <v>40289.914999999986</v>
      </c>
      <c r="G16" s="158">
        <f>SUM(D16:F16)</f>
        <v>126503.57</v>
      </c>
      <c r="H16" s="156">
        <v>572995.07400000002</v>
      </c>
      <c r="I16" s="157">
        <v>349515.90299999999</v>
      </c>
      <c r="J16" s="157">
        <v>430775.06174909987</v>
      </c>
      <c r="K16" s="159">
        <f t="shared" si="0"/>
        <v>1353286.0387490997</v>
      </c>
      <c r="L16" s="42"/>
      <c r="M16" s="42"/>
      <c r="N16" s="42"/>
      <c r="O16" s="42"/>
      <c r="P16" s="42"/>
      <c r="Q16" s="42"/>
    </row>
    <row r="17" spans="1:17" ht="15" customHeight="1">
      <c r="A17" s="427"/>
      <c r="B17" s="440"/>
      <c r="C17" s="155" t="s">
        <v>65</v>
      </c>
      <c r="D17" s="156">
        <v>14762.068999999981</v>
      </c>
      <c r="E17" s="157">
        <v>0</v>
      </c>
      <c r="F17" s="157">
        <v>95892.24000000002</v>
      </c>
      <c r="G17" s="158">
        <f>SUM(D17:F17)</f>
        <v>110654.30900000001</v>
      </c>
      <c r="H17" s="156">
        <v>158101.43099999998</v>
      </c>
      <c r="I17" s="157">
        <v>0</v>
      </c>
      <c r="J17" s="157">
        <v>1032203.1152509</v>
      </c>
      <c r="K17" s="159">
        <f t="shared" si="0"/>
        <v>1190304.5462509</v>
      </c>
      <c r="L17" s="42"/>
      <c r="M17" s="42"/>
      <c r="N17" s="42"/>
      <c r="O17" s="42"/>
      <c r="P17" s="42"/>
      <c r="Q17" s="42"/>
    </row>
    <row r="18" spans="1:17" ht="15" customHeight="1">
      <c r="A18" s="427"/>
      <c r="B18" s="441"/>
      <c r="C18" s="160" t="s">
        <v>25</v>
      </c>
      <c r="D18" s="161">
        <v>678605.57000000007</v>
      </c>
      <c r="E18" s="162">
        <v>384903.69700000004</v>
      </c>
      <c r="F18" s="162">
        <v>267336.766</v>
      </c>
      <c r="G18" s="163">
        <f>SUM(D18:F18)</f>
        <v>1330846.0330000001</v>
      </c>
      <c r="H18" s="161">
        <v>7240729.8269999996</v>
      </c>
      <c r="I18" s="162">
        <v>4108862.0759999999</v>
      </c>
      <c r="J18" s="162">
        <v>2860930.0859999997</v>
      </c>
      <c r="K18" s="164">
        <f>SUM(H18:J18)</f>
        <v>14210521.988999998</v>
      </c>
      <c r="L18" s="42"/>
      <c r="M18" s="42"/>
      <c r="N18" s="42"/>
      <c r="O18" s="42"/>
      <c r="P18" s="42"/>
      <c r="Q18" s="42"/>
    </row>
    <row r="19" spans="1:17" ht="15" customHeight="1">
      <c r="A19" s="427"/>
      <c r="B19" s="442" t="s">
        <v>27</v>
      </c>
      <c r="C19" s="165" t="s">
        <v>205</v>
      </c>
      <c r="D19" s="166">
        <v>1912.4259999999999</v>
      </c>
      <c r="E19" s="167">
        <v>13530.973999999998</v>
      </c>
      <c r="F19" s="167">
        <v>78468.72099999999</v>
      </c>
      <c r="G19" s="168">
        <f t="shared" si="3"/>
        <v>93912.120999999985</v>
      </c>
      <c r="H19" s="166">
        <v>20340.070282000004</v>
      </c>
      <c r="I19" s="167">
        <v>144664.50278699998</v>
      </c>
      <c r="J19" s="167">
        <v>839176.05554699991</v>
      </c>
      <c r="K19" s="169">
        <f t="shared" si="0"/>
        <v>1004180.6286159998</v>
      </c>
      <c r="L19" s="42"/>
      <c r="M19" s="42"/>
      <c r="N19" s="42"/>
      <c r="O19" s="42"/>
      <c r="P19" s="42"/>
      <c r="Q19" s="42"/>
    </row>
    <row r="20" spans="1:17" ht="15" customHeight="1">
      <c r="A20" s="427"/>
      <c r="B20" s="440"/>
      <c r="C20" s="155" t="s">
        <v>217</v>
      </c>
      <c r="D20" s="156">
        <v>299.89100000000002</v>
      </c>
      <c r="E20" s="157">
        <v>199.25399999999999</v>
      </c>
      <c r="F20" s="157">
        <v>4375.8969999999999</v>
      </c>
      <c r="G20" s="158">
        <f t="shared" si="3"/>
        <v>4875.0419999999995</v>
      </c>
      <c r="H20" s="156">
        <v>3200.9690000000001</v>
      </c>
      <c r="I20" s="157">
        <v>2128.2779999999998</v>
      </c>
      <c r="J20" s="157">
        <v>46738.877999999997</v>
      </c>
      <c r="K20" s="159">
        <f t="shared" si="0"/>
        <v>52068.125</v>
      </c>
      <c r="L20" s="42"/>
      <c r="M20" s="42"/>
      <c r="N20" s="42"/>
      <c r="O20" s="42"/>
      <c r="P20" s="42"/>
      <c r="Q20" s="42"/>
    </row>
    <row r="21" spans="1:17" ht="15" customHeight="1">
      <c r="A21" s="427"/>
      <c r="B21" s="440"/>
      <c r="C21" s="155" t="s">
        <v>65</v>
      </c>
      <c r="D21" s="156">
        <v>0</v>
      </c>
      <c r="E21" s="157">
        <v>0</v>
      </c>
      <c r="F21" s="157">
        <v>0</v>
      </c>
      <c r="G21" s="158">
        <f t="shared" si="3"/>
        <v>0</v>
      </c>
      <c r="H21" s="156">
        <v>0</v>
      </c>
      <c r="I21" s="157">
        <v>0</v>
      </c>
      <c r="J21" s="157">
        <v>0</v>
      </c>
      <c r="K21" s="159">
        <f t="shared" si="0"/>
        <v>0</v>
      </c>
      <c r="L21" s="42"/>
      <c r="M21" s="42"/>
      <c r="N21" s="42"/>
      <c r="O21" s="42"/>
      <c r="P21" s="42"/>
      <c r="Q21" s="42"/>
    </row>
    <row r="22" spans="1:17" ht="15" customHeight="1">
      <c r="A22" s="427"/>
      <c r="B22" s="441"/>
      <c r="C22" s="160" t="s">
        <v>25</v>
      </c>
      <c r="D22" s="161">
        <v>2212.317</v>
      </c>
      <c r="E22" s="162">
        <v>13730.227999999999</v>
      </c>
      <c r="F22" s="162">
        <v>82844.617999999988</v>
      </c>
      <c r="G22" s="163">
        <f t="shared" si="3"/>
        <v>98787.162999999986</v>
      </c>
      <c r="H22" s="161">
        <v>23541.039282000005</v>
      </c>
      <c r="I22" s="162">
        <v>146792.78078699997</v>
      </c>
      <c r="J22" s="162">
        <v>885914.93354699994</v>
      </c>
      <c r="K22" s="164">
        <f t="shared" si="0"/>
        <v>1056248.7536159998</v>
      </c>
      <c r="L22" s="42"/>
      <c r="M22" s="42"/>
      <c r="N22" s="42"/>
      <c r="O22" s="42"/>
      <c r="P22" s="42"/>
      <c r="Q22" s="42"/>
    </row>
    <row r="23" spans="1:17" ht="15" customHeight="1">
      <c r="A23" s="427"/>
      <c r="B23" s="430" t="s">
        <v>52</v>
      </c>
      <c r="C23" s="155" t="s">
        <v>205</v>
      </c>
      <c r="D23" s="156">
        <v>608371.99400000006</v>
      </c>
      <c r="E23" s="157">
        <v>338718.14900000003</v>
      </c>
      <c r="F23" s="157">
        <v>52685.890000000014</v>
      </c>
      <c r="G23" s="158">
        <f t="shared" si="3"/>
        <v>999776.03300000017</v>
      </c>
      <c r="H23" s="156">
        <v>6489293.2517179996</v>
      </c>
      <c r="I23" s="157">
        <v>3614681.6702129999</v>
      </c>
      <c r="J23" s="157">
        <v>558775.85345300008</v>
      </c>
      <c r="K23" s="159">
        <f t="shared" si="0"/>
        <v>10662750.775383998</v>
      </c>
      <c r="L23" s="42"/>
      <c r="M23" s="42"/>
      <c r="N23" s="42"/>
      <c r="O23" s="42"/>
      <c r="P23" s="42"/>
      <c r="Q23" s="42"/>
    </row>
    <row r="24" spans="1:17" ht="15" customHeight="1">
      <c r="A24" s="427"/>
      <c r="B24" s="440"/>
      <c r="C24" s="155" t="s">
        <v>217</v>
      </c>
      <c r="D24" s="156">
        <v>53259.19000000001</v>
      </c>
      <c r="E24" s="157">
        <v>32455.32</v>
      </c>
      <c r="F24" s="157">
        <v>35914.017999999989</v>
      </c>
      <c r="G24" s="158">
        <f t="shared" si="3"/>
        <v>121628.52799999999</v>
      </c>
      <c r="H24" s="156">
        <v>569794.10499999998</v>
      </c>
      <c r="I24" s="157">
        <v>347387.625</v>
      </c>
      <c r="J24" s="157">
        <v>384036.18374909984</v>
      </c>
      <c r="K24" s="159">
        <f t="shared" si="0"/>
        <v>1301217.9137490997</v>
      </c>
      <c r="L24" s="42"/>
      <c r="M24" s="42"/>
      <c r="N24" s="42"/>
      <c r="O24" s="42"/>
      <c r="P24" s="42"/>
      <c r="Q24" s="42"/>
    </row>
    <row r="25" spans="1:17" ht="15" customHeight="1">
      <c r="A25" s="427"/>
      <c r="B25" s="440"/>
      <c r="C25" s="155" t="s">
        <v>65</v>
      </c>
      <c r="D25" s="156">
        <v>14762.068999999981</v>
      </c>
      <c r="E25" s="157">
        <v>0</v>
      </c>
      <c r="F25" s="157">
        <v>95892.24000000002</v>
      </c>
      <c r="G25" s="158">
        <f t="shared" si="3"/>
        <v>110654.30900000001</v>
      </c>
      <c r="H25" s="156">
        <v>158101.43099999998</v>
      </c>
      <c r="I25" s="157">
        <v>0</v>
      </c>
      <c r="J25" s="157">
        <v>1032203.1152509</v>
      </c>
      <c r="K25" s="159">
        <f t="shared" si="0"/>
        <v>1190304.5462509</v>
      </c>
      <c r="L25" s="42"/>
      <c r="M25" s="42"/>
      <c r="N25" s="42"/>
      <c r="O25" s="42"/>
      <c r="P25" s="42"/>
      <c r="Q25" s="42"/>
    </row>
    <row r="26" spans="1:17" ht="15" customHeight="1">
      <c r="A26" s="427"/>
      <c r="B26" s="441"/>
      <c r="C26" s="160" t="s">
        <v>25</v>
      </c>
      <c r="D26" s="161">
        <v>676393.25300000014</v>
      </c>
      <c r="E26" s="162">
        <v>371173.46900000004</v>
      </c>
      <c r="F26" s="162">
        <v>184492.14800000002</v>
      </c>
      <c r="G26" s="163">
        <f t="shared" si="3"/>
        <v>1232058.8700000001</v>
      </c>
      <c r="H26" s="161">
        <v>7217188.7877179999</v>
      </c>
      <c r="I26" s="162">
        <v>3962069.2952129999</v>
      </c>
      <c r="J26" s="162">
        <v>1975015.152453</v>
      </c>
      <c r="K26" s="164">
        <f t="shared" si="0"/>
        <v>13154273.235384</v>
      </c>
      <c r="L26" s="42"/>
      <c r="M26" s="42"/>
      <c r="N26" s="42"/>
      <c r="O26" s="42"/>
      <c r="P26" s="42"/>
      <c r="Q26" s="42"/>
    </row>
    <row r="27" spans="1:17" ht="15" customHeight="1">
      <c r="A27" s="428"/>
      <c r="B27" s="425" t="s">
        <v>54</v>
      </c>
      <c r="C27" s="425"/>
      <c r="D27" s="161">
        <v>1016538.9247324907</v>
      </c>
      <c r="E27" s="162">
        <v>644292.18873249076</v>
      </c>
      <c r="F27" s="162">
        <v>459149.81873249076</v>
      </c>
      <c r="G27" s="163">
        <f>F27</f>
        <v>459149.81873249076</v>
      </c>
      <c r="H27" s="161">
        <v>10977738.931044919</v>
      </c>
      <c r="I27" s="162">
        <v>7004218.6168439193</v>
      </c>
      <c r="J27" s="162">
        <v>5022276.450509618</v>
      </c>
      <c r="K27" s="164">
        <f>J27</f>
        <v>5022276.450509618</v>
      </c>
      <c r="L27" s="42"/>
      <c r="M27" s="42"/>
      <c r="N27" s="42"/>
      <c r="O27" s="42"/>
      <c r="P27" s="42"/>
      <c r="Q27" s="42"/>
    </row>
    <row r="28" spans="1:17" ht="15" customHeight="1">
      <c r="A28" s="426" t="s">
        <v>50</v>
      </c>
      <c r="B28" s="429" t="s">
        <v>197</v>
      </c>
      <c r="C28" s="165" t="s">
        <v>28</v>
      </c>
      <c r="D28" s="166">
        <v>11166.138000000001</v>
      </c>
      <c r="E28" s="167">
        <v>9859.8070000000007</v>
      </c>
      <c r="F28" s="167">
        <v>11016.581</v>
      </c>
      <c r="G28" s="168">
        <f t="shared" si="3"/>
        <v>32042.525999999998</v>
      </c>
      <c r="H28" s="166">
        <v>121260.3015306</v>
      </c>
      <c r="I28" s="167">
        <v>107112.28149339999</v>
      </c>
      <c r="J28" s="167">
        <v>119538.82265240001</v>
      </c>
      <c r="K28" s="169">
        <f t="shared" si="0"/>
        <v>347911.4056764</v>
      </c>
      <c r="L28" s="42"/>
      <c r="M28" s="42"/>
      <c r="N28" s="42"/>
      <c r="O28" s="42"/>
      <c r="P28" s="42"/>
      <c r="Q28" s="42"/>
    </row>
    <row r="29" spans="1:17" ht="15" customHeight="1">
      <c r="A29" s="427"/>
      <c r="B29" s="430"/>
      <c r="C29" s="155" t="s">
        <v>31</v>
      </c>
      <c r="D29" s="156">
        <v>210.91699999999946</v>
      </c>
      <c r="E29" s="157">
        <v>176.80600000000049</v>
      </c>
      <c r="F29" s="157">
        <v>192.89999999999964</v>
      </c>
      <c r="G29" s="158">
        <f t="shared" si="3"/>
        <v>580.62299999999959</v>
      </c>
      <c r="H29" s="156">
        <v>2535.5350999999937</v>
      </c>
      <c r="I29" s="157">
        <v>2083.4048000000039</v>
      </c>
      <c r="J29" s="157">
        <v>2126.8050000000221</v>
      </c>
      <c r="K29" s="159">
        <f t="shared" si="0"/>
        <v>6745.7449000000197</v>
      </c>
      <c r="L29" s="42"/>
      <c r="M29" s="42"/>
      <c r="N29" s="42"/>
      <c r="O29" s="42"/>
      <c r="P29" s="42"/>
      <c r="Q29" s="42"/>
    </row>
    <row r="30" spans="1:17" ht="15" customHeight="1">
      <c r="A30" s="427"/>
      <c r="B30" s="431"/>
      <c r="C30" s="160" t="s">
        <v>25</v>
      </c>
      <c r="D30" s="161">
        <v>11377.055</v>
      </c>
      <c r="E30" s="162">
        <v>10036.613000000001</v>
      </c>
      <c r="F30" s="162">
        <v>11209.481</v>
      </c>
      <c r="G30" s="163">
        <f t="shared" si="3"/>
        <v>32623.149000000001</v>
      </c>
      <c r="H30" s="161">
        <v>123795.8366306</v>
      </c>
      <c r="I30" s="162">
        <v>109195.68629339999</v>
      </c>
      <c r="J30" s="162">
        <v>121665.62765240003</v>
      </c>
      <c r="K30" s="164">
        <f t="shared" si="0"/>
        <v>354657.15057639999</v>
      </c>
      <c r="L30" s="42"/>
      <c r="M30" s="42"/>
      <c r="N30" s="42"/>
      <c r="O30" s="42"/>
      <c r="P30" s="42"/>
      <c r="Q30" s="42"/>
    </row>
    <row r="31" spans="1:17" ht="15" customHeight="1">
      <c r="A31" s="427"/>
      <c r="B31" s="430" t="s">
        <v>198</v>
      </c>
      <c r="C31" s="155" t="s">
        <v>28</v>
      </c>
      <c r="D31" s="156">
        <v>1060.6310000000001</v>
      </c>
      <c r="E31" s="157">
        <v>905.79600000000005</v>
      </c>
      <c r="F31" s="157">
        <v>1000.0839999999999</v>
      </c>
      <c r="G31" s="158">
        <f t="shared" si="3"/>
        <v>2966.511</v>
      </c>
      <c r="H31" s="156">
        <v>11100.885</v>
      </c>
      <c r="I31" s="157">
        <v>9480.518</v>
      </c>
      <c r="J31" s="157">
        <v>10487.484999999999</v>
      </c>
      <c r="K31" s="159">
        <f t="shared" si="0"/>
        <v>31068.887999999999</v>
      </c>
      <c r="L31" s="42"/>
      <c r="M31" s="42"/>
      <c r="N31" s="42"/>
      <c r="O31" s="42"/>
      <c r="P31" s="42"/>
      <c r="Q31" s="42"/>
    </row>
    <row r="32" spans="1:17" ht="15" customHeight="1">
      <c r="A32" s="427"/>
      <c r="B32" s="430"/>
      <c r="C32" s="155" t="s">
        <v>31</v>
      </c>
      <c r="D32" s="156">
        <v>0</v>
      </c>
      <c r="E32" s="157">
        <v>0</v>
      </c>
      <c r="F32" s="157">
        <v>0</v>
      </c>
      <c r="G32" s="158">
        <f t="shared" si="3"/>
        <v>0</v>
      </c>
      <c r="H32" s="156">
        <v>0</v>
      </c>
      <c r="I32" s="157">
        <v>0</v>
      </c>
      <c r="J32" s="157">
        <v>0</v>
      </c>
      <c r="K32" s="159">
        <f t="shared" si="0"/>
        <v>0</v>
      </c>
      <c r="L32" s="42"/>
      <c r="M32" s="42"/>
      <c r="N32" s="42"/>
      <c r="O32" s="42"/>
      <c r="P32" s="42"/>
      <c r="Q32" s="42"/>
    </row>
    <row r="33" spans="1:17" ht="15" customHeight="1">
      <c r="A33" s="427"/>
      <c r="B33" s="431"/>
      <c r="C33" s="160" t="s">
        <v>25</v>
      </c>
      <c r="D33" s="161">
        <v>1060.6310000000001</v>
      </c>
      <c r="E33" s="162">
        <v>905.79600000000005</v>
      </c>
      <c r="F33" s="162">
        <v>1000.0839999999999</v>
      </c>
      <c r="G33" s="163">
        <f t="shared" si="3"/>
        <v>2966.511</v>
      </c>
      <c r="H33" s="161">
        <v>11100.885</v>
      </c>
      <c r="I33" s="162">
        <v>9480.518</v>
      </c>
      <c r="J33" s="162">
        <v>10487.484999999999</v>
      </c>
      <c r="K33" s="164">
        <f t="shared" si="0"/>
        <v>31068.887999999999</v>
      </c>
      <c r="L33" s="42"/>
      <c r="M33" s="42"/>
      <c r="N33" s="42"/>
      <c r="O33" s="42"/>
      <c r="P33" s="42"/>
      <c r="Q33" s="42"/>
    </row>
    <row r="34" spans="1:17" ht="15" customHeight="1">
      <c r="A34" s="427"/>
      <c r="B34" s="430" t="s">
        <v>25</v>
      </c>
      <c r="C34" s="155" t="s">
        <v>28</v>
      </c>
      <c r="D34" s="156">
        <v>12226.769</v>
      </c>
      <c r="E34" s="157">
        <v>10765.603000000001</v>
      </c>
      <c r="F34" s="157">
        <v>12016.665000000001</v>
      </c>
      <c r="G34" s="158">
        <f t="shared" si="3"/>
        <v>35009.037000000004</v>
      </c>
      <c r="H34" s="156">
        <v>132361.18653060001</v>
      </c>
      <c r="I34" s="157">
        <v>116592.79949339999</v>
      </c>
      <c r="J34" s="157">
        <v>130026.30765240001</v>
      </c>
      <c r="K34" s="159">
        <f t="shared" si="0"/>
        <v>378980.29367639998</v>
      </c>
      <c r="L34" s="42"/>
      <c r="M34" s="42"/>
      <c r="N34" s="42"/>
      <c r="O34" s="42"/>
      <c r="P34" s="42"/>
      <c r="Q34" s="42"/>
    </row>
    <row r="35" spans="1:17" ht="15" customHeight="1">
      <c r="A35" s="427"/>
      <c r="B35" s="430"/>
      <c r="C35" s="155" t="s">
        <v>31</v>
      </c>
      <c r="D35" s="156">
        <v>210.91699999999946</v>
      </c>
      <c r="E35" s="157">
        <v>176.80600000000049</v>
      </c>
      <c r="F35" s="157">
        <v>192.89999999999964</v>
      </c>
      <c r="G35" s="158">
        <f t="shared" si="3"/>
        <v>580.62299999999959</v>
      </c>
      <c r="H35" s="156">
        <v>2535.5350999999937</v>
      </c>
      <c r="I35" s="157">
        <v>2083.4048000000039</v>
      </c>
      <c r="J35" s="157">
        <v>2126.8050000000221</v>
      </c>
      <c r="K35" s="159">
        <f t="shared" si="0"/>
        <v>6745.7449000000197</v>
      </c>
      <c r="L35" s="42"/>
      <c r="M35" s="42"/>
      <c r="N35" s="42"/>
      <c r="O35" s="42"/>
      <c r="P35" s="42"/>
      <c r="Q35" s="42"/>
    </row>
    <row r="36" spans="1:17" ht="15" customHeight="1">
      <c r="A36" s="428"/>
      <c r="B36" s="431"/>
      <c r="C36" s="160" t="s">
        <v>25</v>
      </c>
      <c r="D36" s="161">
        <v>12437.686</v>
      </c>
      <c r="E36" s="162">
        <v>10942.409000000001</v>
      </c>
      <c r="F36" s="162">
        <v>12209.565000000001</v>
      </c>
      <c r="G36" s="163">
        <f t="shared" si="3"/>
        <v>35589.660000000003</v>
      </c>
      <c r="H36" s="161">
        <v>134896.72163059999</v>
      </c>
      <c r="I36" s="162">
        <v>118676.20429339999</v>
      </c>
      <c r="J36" s="162">
        <v>132153.11265240004</v>
      </c>
      <c r="K36" s="164">
        <f t="shared" si="0"/>
        <v>385726.03857640002</v>
      </c>
      <c r="L36" s="42"/>
      <c r="M36" s="42"/>
      <c r="N36" s="42"/>
      <c r="O36" s="42"/>
      <c r="P36" s="42"/>
      <c r="Q36" s="42"/>
    </row>
    <row r="37" spans="1:17" ht="15" customHeight="1">
      <c r="A37" s="426" t="s">
        <v>64</v>
      </c>
      <c r="B37" s="429" t="s">
        <v>53</v>
      </c>
      <c r="C37" s="165" t="s">
        <v>67</v>
      </c>
      <c r="D37" s="166">
        <v>1062760.1634600521</v>
      </c>
      <c r="E37" s="167">
        <v>849802.10472838092</v>
      </c>
      <c r="F37" s="167">
        <v>855979.0935364638</v>
      </c>
      <c r="G37" s="168">
        <f t="shared" si="3"/>
        <v>2768541.3617248968</v>
      </c>
      <c r="H37" s="166">
        <v>11353767.572890002</v>
      </c>
      <c r="I37" s="167">
        <v>9091474.5128099993</v>
      </c>
      <c r="J37" s="167">
        <v>9190764.3223128319</v>
      </c>
      <c r="K37" s="169">
        <f t="shared" si="0"/>
        <v>29636006.408012833</v>
      </c>
      <c r="L37" s="42"/>
      <c r="M37" s="42"/>
      <c r="N37" s="42"/>
      <c r="O37" s="42"/>
      <c r="P37" s="42"/>
      <c r="Q37" s="42"/>
    </row>
    <row r="38" spans="1:17" ht="15" customHeight="1">
      <c r="A38" s="427"/>
      <c r="B38" s="430"/>
      <c r="C38" s="155" t="s">
        <v>29</v>
      </c>
      <c r="D38" s="156">
        <v>23017.672707856251</v>
      </c>
      <c r="E38" s="157">
        <v>21576.717355356803</v>
      </c>
      <c r="F38" s="157">
        <v>18339.845808231501</v>
      </c>
      <c r="G38" s="158">
        <f t="shared" si="3"/>
        <v>62934.235871444558</v>
      </c>
      <c r="H38" s="156">
        <v>245900.95838000003</v>
      </c>
      <c r="I38" s="157">
        <v>230821.81475000002</v>
      </c>
      <c r="J38" s="157">
        <v>196922.97531999988</v>
      </c>
      <c r="K38" s="159">
        <f t="shared" si="0"/>
        <v>673645.74844999996</v>
      </c>
      <c r="L38" s="42"/>
      <c r="M38" s="42"/>
      <c r="N38" s="42"/>
      <c r="O38" s="42"/>
      <c r="P38" s="42"/>
      <c r="Q38" s="42"/>
    </row>
    <row r="39" spans="1:17" ht="15" customHeight="1">
      <c r="A39" s="427"/>
      <c r="B39" s="431"/>
      <c r="C39" s="160" t="s">
        <v>25</v>
      </c>
      <c r="D39" s="161">
        <v>1085777.8361679083</v>
      </c>
      <c r="E39" s="162">
        <v>871378.8220837377</v>
      </c>
      <c r="F39" s="162">
        <v>874318.9393446953</v>
      </c>
      <c r="G39" s="163">
        <f t="shared" si="3"/>
        <v>2831475.5975963413</v>
      </c>
      <c r="H39" s="161">
        <v>11599668.531270003</v>
      </c>
      <c r="I39" s="162">
        <v>9322296.3275600001</v>
      </c>
      <c r="J39" s="162">
        <v>9387687.2976328321</v>
      </c>
      <c r="K39" s="164">
        <f t="shared" si="0"/>
        <v>30309652.156462837</v>
      </c>
      <c r="L39" s="42"/>
      <c r="M39" s="42"/>
      <c r="N39" s="42"/>
      <c r="O39" s="42"/>
      <c r="P39" s="42"/>
      <c r="Q39" s="42"/>
    </row>
    <row r="40" spans="1:17" ht="15" customHeight="1">
      <c r="A40" s="427"/>
      <c r="B40" s="429" t="s">
        <v>199</v>
      </c>
      <c r="C40" s="165" t="s">
        <v>67</v>
      </c>
      <c r="D40" s="166">
        <v>1060.6310000000001</v>
      </c>
      <c r="E40" s="167">
        <v>905.79599999999994</v>
      </c>
      <c r="F40" s="167">
        <v>1000.0840000000001</v>
      </c>
      <c r="G40" s="168">
        <f t="shared" si="3"/>
        <v>2966.5110000000004</v>
      </c>
      <c r="H40" s="166">
        <v>11100.885</v>
      </c>
      <c r="I40" s="167">
        <v>9480.518</v>
      </c>
      <c r="J40" s="167">
        <v>10487.485000000001</v>
      </c>
      <c r="K40" s="169">
        <f t="shared" si="0"/>
        <v>31068.887999999999</v>
      </c>
      <c r="L40" s="42"/>
      <c r="M40" s="42"/>
      <c r="N40" s="42"/>
      <c r="O40" s="42"/>
      <c r="P40" s="42"/>
      <c r="Q40" s="42"/>
    </row>
    <row r="41" spans="1:17" ht="15" customHeight="1">
      <c r="A41" s="427"/>
      <c r="B41" s="430"/>
      <c r="C41" s="155" t="s">
        <v>29</v>
      </c>
      <c r="D41" s="156">
        <v>0</v>
      </c>
      <c r="E41" s="157">
        <v>0</v>
      </c>
      <c r="F41" s="157">
        <v>0</v>
      </c>
      <c r="G41" s="158">
        <f t="shared" si="3"/>
        <v>0</v>
      </c>
      <c r="H41" s="156">
        <v>0</v>
      </c>
      <c r="I41" s="157">
        <v>0</v>
      </c>
      <c r="J41" s="157">
        <v>0</v>
      </c>
      <c r="K41" s="159">
        <f t="shared" si="0"/>
        <v>0</v>
      </c>
      <c r="L41" s="42"/>
      <c r="M41" s="42"/>
      <c r="N41" s="42"/>
      <c r="O41" s="42"/>
      <c r="P41" s="42"/>
      <c r="Q41" s="42"/>
    </row>
    <row r="42" spans="1:17" ht="15" customHeight="1">
      <c r="A42" s="427"/>
      <c r="B42" s="431"/>
      <c r="C42" s="160" t="s">
        <v>25</v>
      </c>
      <c r="D42" s="161">
        <v>1060.6310000000001</v>
      </c>
      <c r="E42" s="162">
        <v>905.79599999999994</v>
      </c>
      <c r="F42" s="162">
        <v>1000.0840000000001</v>
      </c>
      <c r="G42" s="163">
        <f t="shared" si="3"/>
        <v>2966.5110000000004</v>
      </c>
      <c r="H42" s="161">
        <v>11100.885</v>
      </c>
      <c r="I42" s="162">
        <v>9480.518</v>
      </c>
      <c r="J42" s="162">
        <v>10487.485000000001</v>
      </c>
      <c r="K42" s="164">
        <f t="shared" si="0"/>
        <v>31068.887999999999</v>
      </c>
      <c r="L42" s="42"/>
      <c r="M42" s="42"/>
      <c r="N42" s="42"/>
      <c r="O42" s="42"/>
      <c r="P42" s="42"/>
      <c r="Q42" s="42"/>
    </row>
    <row r="43" spans="1:17" ht="15" customHeight="1">
      <c r="A43" s="427"/>
      <c r="B43" s="432" t="s">
        <v>86</v>
      </c>
      <c r="C43" s="432"/>
      <c r="D43" s="170">
        <v>210.91699999999946</v>
      </c>
      <c r="E43" s="171">
        <v>176.80600000000049</v>
      </c>
      <c r="F43" s="171">
        <v>192.89999999999964</v>
      </c>
      <c r="G43" s="172">
        <f t="shared" si="3"/>
        <v>580.62299999999959</v>
      </c>
      <c r="H43" s="170">
        <v>2535.5350999999937</v>
      </c>
      <c r="I43" s="171">
        <v>2083.4048000000039</v>
      </c>
      <c r="J43" s="171">
        <v>2126.8050000000221</v>
      </c>
      <c r="K43" s="173">
        <f t="shared" si="0"/>
        <v>6745.7449000000197</v>
      </c>
      <c r="L43" s="42"/>
      <c r="M43" s="42"/>
      <c r="N43" s="42"/>
      <c r="O43" s="42"/>
      <c r="P43" s="42"/>
      <c r="Q43" s="42"/>
    </row>
    <row r="44" spans="1:17" ht="15" customHeight="1">
      <c r="A44" s="427"/>
      <c r="B44" s="432" t="s">
        <v>85</v>
      </c>
      <c r="C44" s="432"/>
      <c r="D44" s="170">
        <v>46930.707999999999</v>
      </c>
      <c r="E44" s="171">
        <v>17688.036999999997</v>
      </c>
      <c r="F44" s="171">
        <v>46346.086999999992</v>
      </c>
      <c r="G44" s="172">
        <f t="shared" si="3"/>
        <v>110964.83199999999</v>
      </c>
      <c r="H44" s="170">
        <v>502465.30835000001</v>
      </c>
      <c r="I44" s="171">
        <v>189354.02062700002</v>
      </c>
      <c r="J44" s="171">
        <v>500986.73157999996</v>
      </c>
      <c r="K44" s="173">
        <f t="shared" si="0"/>
        <v>1192806.0605569999</v>
      </c>
      <c r="L44" s="42"/>
      <c r="M44" s="42"/>
      <c r="N44" s="42"/>
      <c r="O44" s="42"/>
      <c r="P44" s="42"/>
      <c r="Q44" s="42"/>
    </row>
    <row r="45" spans="1:17" ht="15" customHeight="1">
      <c r="A45" s="427"/>
      <c r="B45" s="430" t="s">
        <v>30</v>
      </c>
      <c r="C45" s="155" t="s">
        <v>67</v>
      </c>
      <c r="D45" s="156">
        <v>1110751.5024600523</v>
      </c>
      <c r="E45" s="157">
        <v>868395.9377283809</v>
      </c>
      <c r="F45" s="157">
        <v>903325.26453646377</v>
      </c>
      <c r="G45" s="158">
        <f t="shared" si="3"/>
        <v>2882472.7047248967</v>
      </c>
      <c r="H45" s="156">
        <v>11867333.766240003</v>
      </c>
      <c r="I45" s="157">
        <v>9290309.051436998</v>
      </c>
      <c r="J45" s="157">
        <v>9702238.5388928317</v>
      </c>
      <c r="K45" s="159">
        <f t="shared" si="0"/>
        <v>30859881.35656983</v>
      </c>
      <c r="L45" s="42"/>
      <c r="M45" s="42"/>
      <c r="N45" s="42"/>
      <c r="O45" s="42"/>
      <c r="P45" s="42"/>
      <c r="Q45" s="42"/>
    </row>
    <row r="46" spans="1:17" ht="15" customHeight="1">
      <c r="A46" s="427"/>
      <c r="B46" s="430"/>
      <c r="C46" s="155" t="s">
        <v>94</v>
      </c>
      <c r="D46" s="156">
        <v>23511.330737856253</v>
      </c>
      <c r="E46" s="157">
        <v>22104.462365356801</v>
      </c>
      <c r="F46" s="157">
        <v>19294.227898231504</v>
      </c>
      <c r="G46" s="158">
        <f t="shared" si="3"/>
        <v>64910.021001444562</v>
      </c>
      <c r="H46" s="156">
        <v>251455.84312600002</v>
      </c>
      <c r="I46" s="157">
        <v>236659.740781</v>
      </c>
      <c r="J46" s="157">
        <v>207215.45435699989</v>
      </c>
      <c r="K46" s="159">
        <f t="shared" si="0"/>
        <v>695331.03826399986</v>
      </c>
      <c r="L46" s="42"/>
      <c r="M46" s="42"/>
      <c r="N46" s="42"/>
      <c r="O46" s="42"/>
      <c r="P46" s="42"/>
      <c r="Q46" s="42"/>
    </row>
    <row r="47" spans="1:17" ht="15" customHeight="1">
      <c r="A47" s="428"/>
      <c r="B47" s="431"/>
      <c r="C47" s="160" t="s">
        <v>25</v>
      </c>
      <c r="D47" s="161">
        <v>1134262.8331979085</v>
      </c>
      <c r="E47" s="162">
        <v>890500.40009373776</v>
      </c>
      <c r="F47" s="162">
        <v>922619.49243469525</v>
      </c>
      <c r="G47" s="163">
        <f>SUM(D47:F47)</f>
        <v>2947382.7257263414</v>
      </c>
      <c r="H47" s="161">
        <v>12118789.609366003</v>
      </c>
      <c r="I47" s="162">
        <v>9526968.7922179978</v>
      </c>
      <c r="J47" s="162">
        <v>9909453.9932498317</v>
      </c>
      <c r="K47" s="164">
        <f t="shared" si="0"/>
        <v>31555212.394833833</v>
      </c>
      <c r="L47" s="42"/>
      <c r="M47" s="42"/>
      <c r="N47" s="42"/>
      <c r="O47" s="42"/>
      <c r="P47" s="42"/>
      <c r="Q47" s="42"/>
    </row>
    <row r="48" spans="1:17" ht="0.95" customHeight="1">
      <c r="A48" s="152"/>
      <c r="B48" s="153"/>
      <c r="C48" s="174"/>
      <c r="D48" s="156"/>
      <c r="E48" s="157"/>
      <c r="F48" s="157"/>
      <c r="G48" s="158"/>
      <c r="H48" s="156"/>
      <c r="I48" s="157"/>
      <c r="J48" s="157"/>
      <c r="K48" s="159"/>
      <c r="L48" s="42"/>
      <c r="M48" s="42"/>
      <c r="N48" s="42"/>
      <c r="O48" s="42"/>
      <c r="P48" s="42"/>
      <c r="Q48" s="42"/>
    </row>
    <row r="49" spans="1:17" ht="0.95" customHeight="1">
      <c r="A49" s="152"/>
      <c r="B49" s="153"/>
      <c r="C49" s="174"/>
      <c r="D49" s="156"/>
      <c r="E49" s="157"/>
      <c r="F49" s="157"/>
      <c r="G49" s="158"/>
      <c r="H49" s="156"/>
      <c r="I49" s="157"/>
      <c r="J49" s="157"/>
      <c r="K49" s="159"/>
      <c r="L49" s="42"/>
      <c r="M49" s="42"/>
      <c r="N49" s="42"/>
      <c r="O49" s="42"/>
      <c r="P49" s="42"/>
      <c r="Q49" s="42"/>
    </row>
    <row r="50" spans="1:17" ht="0.95" customHeight="1">
      <c r="A50" s="152"/>
      <c r="B50" s="153"/>
      <c r="C50" s="174"/>
      <c r="D50" s="156"/>
      <c r="E50" s="157"/>
      <c r="F50" s="157"/>
      <c r="G50" s="158"/>
      <c r="H50" s="156"/>
      <c r="I50" s="157"/>
      <c r="J50" s="157"/>
      <c r="K50" s="159"/>
      <c r="L50" s="42"/>
      <c r="M50" s="42"/>
      <c r="N50" s="42"/>
      <c r="O50" s="42"/>
      <c r="P50" s="42"/>
      <c r="Q50" s="42"/>
    </row>
    <row r="51" spans="1:17" ht="15" customHeight="1">
      <c r="A51" s="425" t="s">
        <v>97</v>
      </c>
      <c r="B51" s="425"/>
      <c r="C51" s="425"/>
      <c r="D51" s="161">
        <v>13875.976986970054</v>
      </c>
      <c r="E51" s="162">
        <v>5293.5049002591986</v>
      </c>
      <c r="F51" s="162">
        <v>27078.212184076547</v>
      </c>
      <c r="G51" s="163">
        <f t="shared" si="3"/>
        <v>46247.694071305799</v>
      </c>
      <c r="H51" s="161">
        <v>170326.58545830287</v>
      </c>
      <c r="I51" s="162">
        <v>83090.755469398573</v>
      </c>
      <c r="J51" s="162">
        <v>308239.21136252768</v>
      </c>
      <c r="K51" s="164">
        <f>SUM(H51:J51)</f>
        <v>561656.55229022913</v>
      </c>
      <c r="L51" s="42"/>
      <c r="M51" s="42"/>
      <c r="N51" s="42"/>
      <c r="O51" s="42"/>
      <c r="P51" s="42"/>
      <c r="Q51" s="42"/>
    </row>
    <row r="52" spans="1:17" ht="5.0999999999999996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M52" s="42"/>
    </row>
    <row r="53" spans="1:17">
      <c r="A53" s="433" t="s">
        <v>204</v>
      </c>
      <c r="B53" s="433"/>
      <c r="C53" s="433"/>
      <c r="D53" s="433"/>
      <c r="E53" s="433"/>
      <c r="F53" s="433"/>
      <c r="G53" s="433"/>
      <c r="H53" s="433"/>
      <c r="I53" s="433"/>
      <c r="J53" s="433"/>
      <c r="K53" s="433"/>
    </row>
    <row r="54" spans="1:17">
      <c r="A54" s="433"/>
      <c r="B54" s="433"/>
      <c r="C54" s="433"/>
      <c r="D54" s="433"/>
      <c r="E54" s="433"/>
      <c r="F54" s="433"/>
      <c r="G54" s="433"/>
      <c r="H54" s="433"/>
      <c r="I54" s="433"/>
      <c r="J54" s="433"/>
      <c r="K54" s="433"/>
    </row>
    <row r="55" spans="1:17">
      <c r="A55" s="433"/>
      <c r="B55" s="433"/>
      <c r="C55" s="433"/>
      <c r="D55" s="433"/>
      <c r="E55" s="433"/>
      <c r="F55" s="433"/>
      <c r="G55" s="433"/>
      <c r="H55" s="433"/>
      <c r="I55" s="433"/>
      <c r="J55" s="433"/>
      <c r="K55" s="433"/>
    </row>
    <row r="56" spans="1:17">
      <c r="A56" s="433"/>
      <c r="B56" s="433"/>
      <c r="C56" s="433"/>
      <c r="D56" s="433"/>
      <c r="E56" s="433"/>
      <c r="F56" s="433"/>
      <c r="G56" s="433"/>
      <c r="H56" s="433"/>
      <c r="I56" s="433"/>
      <c r="J56" s="433"/>
      <c r="K56" s="433"/>
    </row>
  </sheetData>
  <mergeCells count="25">
    <mergeCell ref="A53:K56"/>
    <mergeCell ref="A2:K2"/>
    <mergeCell ref="D3:K3"/>
    <mergeCell ref="D4:G4"/>
    <mergeCell ref="H4:K4"/>
    <mergeCell ref="B6:B8"/>
    <mergeCell ref="B9:B11"/>
    <mergeCell ref="B12:B14"/>
    <mergeCell ref="A6:A14"/>
    <mergeCell ref="B15:B18"/>
    <mergeCell ref="B19:B22"/>
    <mergeCell ref="B23:B26"/>
    <mergeCell ref="A15:A27"/>
    <mergeCell ref="B27:C27"/>
    <mergeCell ref="B45:B47"/>
    <mergeCell ref="A37:A47"/>
    <mergeCell ref="A51:C51"/>
    <mergeCell ref="A28:A36"/>
    <mergeCell ref="B28:B30"/>
    <mergeCell ref="B31:B33"/>
    <mergeCell ref="B34:B36"/>
    <mergeCell ref="B37:B39"/>
    <mergeCell ref="B40:B42"/>
    <mergeCell ref="B43:C43"/>
    <mergeCell ref="B44:C4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28515625" style="12" customWidth="1"/>
    <col min="2" max="7" width="7.28515625" style="12" customWidth="1"/>
    <col min="8" max="8" width="6.7109375" style="12" customWidth="1"/>
    <col min="9" max="10" width="8.28515625" style="12" customWidth="1"/>
    <col min="11" max="11" width="8" style="12" customWidth="1"/>
    <col min="12" max="16" width="7.42578125" style="12" customWidth="1"/>
    <col min="17" max="17" width="6.7109375" style="12" customWidth="1"/>
    <col min="18" max="18" width="8.28515625" style="12" customWidth="1"/>
    <col min="19" max="19" width="8.140625" style="12" customWidth="1"/>
    <col min="20" max="20" width="9.28515625" style="12" bestFit="1" customWidth="1"/>
    <col min="21" max="21" width="11.42578125" style="12" bestFit="1" customWidth="1"/>
    <col min="22" max="260" width="9.140625" style="12"/>
    <col min="261" max="273" width="10.7109375" style="12" customWidth="1"/>
    <col min="274" max="516" width="9.140625" style="12"/>
    <col min="517" max="529" width="10.7109375" style="12" customWidth="1"/>
    <col min="530" max="772" width="9.140625" style="12"/>
    <col min="773" max="785" width="10.7109375" style="12" customWidth="1"/>
    <col min="786" max="1028" width="9.140625" style="12"/>
    <col min="1029" max="1041" width="10.7109375" style="12" customWidth="1"/>
    <col min="1042" max="1284" width="9.140625" style="12"/>
    <col min="1285" max="1297" width="10.7109375" style="12" customWidth="1"/>
    <col min="1298" max="1540" width="9.140625" style="12"/>
    <col min="1541" max="1553" width="10.7109375" style="12" customWidth="1"/>
    <col min="1554" max="1796" width="9.140625" style="12"/>
    <col min="1797" max="1809" width="10.7109375" style="12" customWidth="1"/>
    <col min="1810" max="2052" width="9.140625" style="12"/>
    <col min="2053" max="2065" width="10.7109375" style="12" customWidth="1"/>
    <col min="2066" max="2308" width="9.140625" style="12"/>
    <col min="2309" max="2321" width="10.7109375" style="12" customWidth="1"/>
    <col min="2322" max="2564" width="9.140625" style="12"/>
    <col min="2565" max="2577" width="10.7109375" style="12" customWidth="1"/>
    <col min="2578" max="2820" width="9.140625" style="12"/>
    <col min="2821" max="2833" width="10.7109375" style="12" customWidth="1"/>
    <col min="2834" max="3076" width="9.140625" style="12"/>
    <col min="3077" max="3089" width="10.7109375" style="12" customWidth="1"/>
    <col min="3090" max="3332" width="9.140625" style="12"/>
    <col min="3333" max="3345" width="10.7109375" style="12" customWidth="1"/>
    <col min="3346" max="3588" width="9.140625" style="12"/>
    <col min="3589" max="3601" width="10.7109375" style="12" customWidth="1"/>
    <col min="3602" max="3844" width="9.140625" style="12"/>
    <col min="3845" max="3857" width="10.7109375" style="12" customWidth="1"/>
    <col min="3858" max="4100" width="9.140625" style="12"/>
    <col min="4101" max="4113" width="10.7109375" style="12" customWidth="1"/>
    <col min="4114" max="4356" width="9.140625" style="12"/>
    <col min="4357" max="4369" width="10.7109375" style="12" customWidth="1"/>
    <col min="4370" max="4612" width="9.140625" style="12"/>
    <col min="4613" max="4625" width="10.7109375" style="12" customWidth="1"/>
    <col min="4626" max="4868" width="9.140625" style="12"/>
    <col min="4869" max="4881" width="10.7109375" style="12" customWidth="1"/>
    <col min="4882" max="5124" width="9.140625" style="12"/>
    <col min="5125" max="5137" width="10.7109375" style="12" customWidth="1"/>
    <col min="5138" max="5380" width="9.140625" style="12"/>
    <col min="5381" max="5393" width="10.7109375" style="12" customWidth="1"/>
    <col min="5394" max="5636" width="9.140625" style="12"/>
    <col min="5637" max="5649" width="10.7109375" style="12" customWidth="1"/>
    <col min="5650" max="5892" width="9.140625" style="12"/>
    <col min="5893" max="5905" width="10.7109375" style="12" customWidth="1"/>
    <col min="5906" max="6148" width="9.140625" style="12"/>
    <col min="6149" max="6161" width="10.7109375" style="12" customWidth="1"/>
    <col min="6162" max="6404" width="9.140625" style="12"/>
    <col min="6405" max="6417" width="10.7109375" style="12" customWidth="1"/>
    <col min="6418" max="6660" width="9.140625" style="12"/>
    <col min="6661" max="6673" width="10.7109375" style="12" customWidth="1"/>
    <col min="6674" max="6916" width="9.140625" style="12"/>
    <col min="6917" max="6929" width="10.7109375" style="12" customWidth="1"/>
    <col min="6930" max="7172" width="9.140625" style="12"/>
    <col min="7173" max="7185" width="10.7109375" style="12" customWidth="1"/>
    <col min="7186" max="7428" width="9.140625" style="12"/>
    <col min="7429" max="7441" width="10.7109375" style="12" customWidth="1"/>
    <col min="7442" max="7684" width="9.140625" style="12"/>
    <col min="7685" max="7697" width="10.7109375" style="12" customWidth="1"/>
    <col min="7698" max="7940" width="9.140625" style="12"/>
    <col min="7941" max="7953" width="10.7109375" style="12" customWidth="1"/>
    <col min="7954" max="8196" width="9.140625" style="12"/>
    <col min="8197" max="8209" width="10.7109375" style="12" customWidth="1"/>
    <col min="8210" max="8452" width="9.140625" style="12"/>
    <col min="8453" max="8465" width="10.7109375" style="12" customWidth="1"/>
    <col min="8466" max="8708" width="9.140625" style="12"/>
    <col min="8709" max="8721" width="10.7109375" style="12" customWidth="1"/>
    <col min="8722" max="8964" width="9.140625" style="12"/>
    <col min="8965" max="8977" width="10.7109375" style="12" customWidth="1"/>
    <col min="8978" max="9220" width="9.140625" style="12"/>
    <col min="9221" max="9233" width="10.7109375" style="12" customWidth="1"/>
    <col min="9234" max="9476" width="9.140625" style="12"/>
    <col min="9477" max="9489" width="10.7109375" style="12" customWidth="1"/>
    <col min="9490" max="9732" width="9.140625" style="12"/>
    <col min="9733" max="9745" width="10.7109375" style="12" customWidth="1"/>
    <col min="9746" max="9988" width="9.140625" style="12"/>
    <col min="9989" max="10001" width="10.7109375" style="12" customWidth="1"/>
    <col min="10002" max="10244" width="9.140625" style="12"/>
    <col min="10245" max="10257" width="10.7109375" style="12" customWidth="1"/>
    <col min="10258" max="10500" width="9.140625" style="12"/>
    <col min="10501" max="10513" width="10.7109375" style="12" customWidth="1"/>
    <col min="10514" max="10756" width="9.140625" style="12"/>
    <col min="10757" max="10769" width="10.7109375" style="12" customWidth="1"/>
    <col min="10770" max="11012" width="9.140625" style="12"/>
    <col min="11013" max="11025" width="10.7109375" style="12" customWidth="1"/>
    <col min="11026" max="11268" width="9.140625" style="12"/>
    <col min="11269" max="11281" width="10.7109375" style="12" customWidth="1"/>
    <col min="11282" max="11524" width="9.140625" style="12"/>
    <col min="11525" max="11537" width="10.7109375" style="12" customWidth="1"/>
    <col min="11538" max="11780" width="9.140625" style="12"/>
    <col min="11781" max="11793" width="10.7109375" style="12" customWidth="1"/>
    <col min="11794" max="12036" width="9.140625" style="12"/>
    <col min="12037" max="12049" width="10.7109375" style="12" customWidth="1"/>
    <col min="12050" max="12292" width="9.140625" style="12"/>
    <col min="12293" max="12305" width="10.7109375" style="12" customWidth="1"/>
    <col min="12306" max="12548" width="9.140625" style="12"/>
    <col min="12549" max="12561" width="10.7109375" style="12" customWidth="1"/>
    <col min="12562" max="12804" width="9.140625" style="12"/>
    <col min="12805" max="12817" width="10.7109375" style="12" customWidth="1"/>
    <col min="12818" max="13060" width="9.140625" style="12"/>
    <col min="13061" max="13073" width="10.7109375" style="12" customWidth="1"/>
    <col min="13074" max="13316" width="9.140625" style="12"/>
    <col min="13317" max="13329" width="10.7109375" style="12" customWidth="1"/>
    <col min="13330" max="13572" width="9.140625" style="12"/>
    <col min="13573" max="13585" width="10.7109375" style="12" customWidth="1"/>
    <col min="13586" max="13828" width="9.140625" style="12"/>
    <col min="13829" max="13841" width="10.7109375" style="12" customWidth="1"/>
    <col min="13842" max="14084" width="9.140625" style="12"/>
    <col min="14085" max="14097" width="10.7109375" style="12" customWidth="1"/>
    <col min="14098" max="14340" width="9.140625" style="12"/>
    <col min="14341" max="14353" width="10.7109375" style="12" customWidth="1"/>
    <col min="14354" max="14596" width="9.140625" style="12"/>
    <col min="14597" max="14609" width="10.7109375" style="12" customWidth="1"/>
    <col min="14610" max="14852" width="9.140625" style="12"/>
    <col min="14853" max="14865" width="10.7109375" style="12" customWidth="1"/>
    <col min="14866" max="15108" width="9.140625" style="12"/>
    <col min="15109" max="15121" width="10.7109375" style="12" customWidth="1"/>
    <col min="15122" max="15364" width="9.140625" style="12"/>
    <col min="15365" max="15377" width="10.7109375" style="12" customWidth="1"/>
    <col min="15378" max="15620" width="9.140625" style="12"/>
    <col min="15621" max="15633" width="10.7109375" style="12" customWidth="1"/>
    <col min="15634" max="15876" width="9.140625" style="12"/>
    <col min="15877" max="15889" width="10.7109375" style="12" customWidth="1"/>
    <col min="15890" max="16132" width="9.140625" style="12"/>
    <col min="16133" max="16145" width="10.7109375" style="12" customWidth="1"/>
    <col min="16146" max="16384" width="9.140625" style="12"/>
  </cols>
  <sheetData>
    <row r="1" spans="1:23" ht="18">
      <c r="A1" s="448" t="s">
        <v>300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</row>
    <row r="2" spans="1:23" ht="6" customHeight="1">
      <c r="A2" s="176"/>
      <c r="B2" s="446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</row>
    <row r="3" spans="1:23" ht="15.95" customHeight="1">
      <c r="A3" s="206">
        <f>'3.1'!A4</f>
        <v>2022</v>
      </c>
      <c r="B3" s="454" t="s">
        <v>266</v>
      </c>
      <c r="C3" s="455"/>
      <c r="D3" s="455"/>
      <c r="E3" s="455"/>
      <c r="F3" s="455"/>
      <c r="G3" s="455"/>
      <c r="H3" s="455"/>
      <c r="I3" s="455"/>
      <c r="J3" s="456"/>
      <c r="K3" s="455" t="s">
        <v>223</v>
      </c>
      <c r="L3" s="455"/>
      <c r="M3" s="455"/>
      <c r="N3" s="455"/>
      <c r="O3" s="455"/>
      <c r="P3" s="455"/>
      <c r="Q3" s="455"/>
      <c r="R3" s="455"/>
      <c r="S3" s="455"/>
    </row>
    <row r="4" spans="1:23" ht="34.5" customHeight="1">
      <c r="A4" s="192"/>
      <c r="B4" s="443" t="s">
        <v>193</v>
      </c>
      <c r="C4" s="444"/>
      <c r="D4" s="444"/>
      <c r="E4" s="443" t="s">
        <v>194</v>
      </c>
      <c r="F4" s="444"/>
      <c r="G4" s="449"/>
      <c r="H4" s="450" t="s">
        <v>252</v>
      </c>
      <c r="I4" s="450" t="s">
        <v>190</v>
      </c>
      <c r="J4" s="452" t="s">
        <v>64</v>
      </c>
      <c r="K4" s="443" t="s">
        <v>193</v>
      </c>
      <c r="L4" s="444"/>
      <c r="M4" s="444"/>
      <c r="N4" s="443" t="s">
        <v>194</v>
      </c>
      <c r="O4" s="444"/>
      <c r="P4" s="449"/>
      <c r="Q4" s="450" t="s">
        <v>252</v>
      </c>
      <c r="R4" s="450" t="s">
        <v>190</v>
      </c>
      <c r="S4" s="450" t="s">
        <v>64</v>
      </c>
    </row>
    <row r="5" spans="1:23" ht="33.75">
      <c r="A5" s="193"/>
      <c r="B5" s="194" t="s">
        <v>21</v>
      </c>
      <c r="C5" s="195" t="s">
        <v>22</v>
      </c>
      <c r="D5" s="195" t="s">
        <v>192</v>
      </c>
      <c r="E5" s="194" t="s">
        <v>26</v>
      </c>
      <c r="F5" s="195" t="s">
        <v>27</v>
      </c>
      <c r="G5" s="196" t="s">
        <v>191</v>
      </c>
      <c r="H5" s="451"/>
      <c r="I5" s="451"/>
      <c r="J5" s="453"/>
      <c r="K5" s="195" t="s">
        <v>21</v>
      </c>
      <c r="L5" s="195" t="s">
        <v>22</v>
      </c>
      <c r="M5" s="195" t="s">
        <v>192</v>
      </c>
      <c r="N5" s="194" t="s">
        <v>26</v>
      </c>
      <c r="O5" s="195" t="s">
        <v>27</v>
      </c>
      <c r="P5" s="196" t="s">
        <v>191</v>
      </c>
      <c r="Q5" s="451"/>
      <c r="R5" s="451"/>
      <c r="S5" s="451"/>
    </row>
    <row r="6" spans="1:23" ht="12" customHeight="1">
      <c r="A6" s="177" t="s">
        <v>161</v>
      </c>
      <c r="B6" s="184">
        <v>3368.4318376071833</v>
      </c>
      <c r="C6" s="178">
        <v>2936.875920396245</v>
      </c>
      <c r="D6" s="179">
        <v>431.55591721093833</v>
      </c>
      <c r="E6" s="190">
        <v>678.60557000000006</v>
      </c>
      <c r="F6" s="179">
        <v>2.2123170000000001</v>
      </c>
      <c r="G6" s="186">
        <v>676.39325300000007</v>
      </c>
      <c r="H6" s="179">
        <v>12.437685999999999</v>
      </c>
      <c r="I6" s="179">
        <v>13.875976986970054</v>
      </c>
      <c r="J6" s="186">
        <v>1134.2628331979085</v>
      </c>
      <c r="K6" s="178">
        <v>35946.549281425003</v>
      </c>
      <c r="L6" s="178">
        <v>31350.171766865897</v>
      </c>
      <c r="M6" s="179">
        <v>4596.3775145591062</v>
      </c>
      <c r="N6" s="190">
        <v>7240.7298269999992</v>
      </c>
      <c r="O6" s="179">
        <v>23.541039282000007</v>
      </c>
      <c r="P6" s="186">
        <v>7217.1887877179988</v>
      </c>
      <c r="Q6" s="179">
        <v>134.89672163059998</v>
      </c>
      <c r="R6" s="179">
        <v>170.32658545830287</v>
      </c>
      <c r="S6" s="179">
        <v>12118.789609366004</v>
      </c>
      <c r="T6" s="56"/>
      <c r="U6" s="57"/>
      <c r="V6" s="57"/>
      <c r="W6" s="57"/>
    </row>
    <row r="7" spans="1:23" ht="12" customHeight="1">
      <c r="A7" s="177" t="s">
        <v>162</v>
      </c>
      <c r="B7" s="184">
        <v>3030.8876179384415</v>
      </c>
      <c r="C7" s="179">
        <v>2527.7966007449631</v>
      </c>
      <c r="D7" s="179">
        <v>503.09101719347836</v>
      </c>
      <c r="E7" s="190">
        <v>384.90369700000002</v>
      </c>
      <c r="F7" s="179">
        <v>13.730227999999999</v>
      </c>
      <c r="G7" s="186">
        <v>371.17346900000001</v>
      </c>
      <c r="H7" s="179">
        <v>10.942409000000001</v>
      </c>
      <c r="I7" s="179">
        <v>5.2935049002591983</v>
      </c>
      <c r="J7" s="186">
        <v>890.50040009373777</v>
      </c>
      <c r="K7" s="178">
        <v>32344.353733057</v>
      </c>
      <c r="L7" s="179">
        <v>26981.2211958148</v>
      </c>
      <c r="M7" s="179">
        <v>5363.1325372421998</v>
      </c>
      <c r="N7" s="190">
        <v>4108.8620759999994</v>
      </c>
      <c r="O7" s="179">
        <v>146.79278078699997</v>
      </c>
      <c r="P7" s="186">
        <v>3962.0692952129994</v>
      </c>
      <c r="Q7" s="179">
        <v>118.67620429339999</v>
      </c>
      <c r="R7" s="179">
        <v>83.090755469398573</v>
      </c>
      <c r="S7" s="179">
        <v>9526.9687922179983</v>
      </c>
      <c r="T7" s="58"/>
      <c r="U7" s="57"/>
      <c r="V7" s="57"/>
      <c r="W7" s="57"/>
    </row>
    <row r="8" spans="1:23" ht="12" customHeight="1">
      <c r="A8" s="180" t="s">
        <v>163</v>
      </c>
      <c r="B8" s="185">
        <v>3740.0577454539725</v>
      </c>
      <c r="C8" s="182">
        <v>3041.2181782033535</v>
      </c>
      <c r="D8" s="182">
        <v>698.83956725061898</v>
      </c>
      <c r="E8" s="191">
        <v>267.33676600000001</v>
      </c>
      <c r="F8" s="182">
        <v>82.844617999999983</v>
      </c>
      <c r="G8" s="187">
        <v>184.49214800000004</v>
      </c>
      <c r="H8" s="182">
        <v>12.209565000000001</v>
      </c>
      <c r="I8" s="182">
        <v>27.078212184076548</v>
      </c>
      <c r="J8" s="187">
        <v>922.6194924346953</v>
      </c>
      <c r="K8" s="181">
        <v>39968.925224856801</v>
      </c>
      <c r="L8" s="182">
        <v>32474.878708074899</v>
      </c>
      <c r="M8" s="182">
        <v>7494.046516781902</v>
      </c>
      <c r="N8" s="191">
        <v>2860.9300859999998</v>
      </c>
      <c r="O8" s="182">
        <v>885.91493354699992</v>
      </c>
      <c r="P8" s="187">
        <v>1975.0151524529999</v>
      </c>
      <c r="Q8" s="182">
        <v>132.15311265240004</v>
      </c>
      <c r="R8" s="182">
        <v>308.23921136252767</v>
      </c>
      <c r="S8" s="182">
        <v>9909.4539932498319</v>
      </c>
      <c r="T8" s="59"/>
      <c r="U8" s="57"/>
      <c r="V8" s="57"/>
      <c r="W8" s="57"/>
    </row>
    <row r="9" spans="1:23" ht="12" customHeight="1">
      <c r="A9" s="177" t="s">
        <v>164</v>
      </c>
      <c r="B9" s="184"/>
      <c r="C9" s="179"/>
      <c r="D9" s="179"/>
      <c r="E9" s="190"/>
      <c r="F9" s="179"/>
      <c r="G9" s="186"/>
      <c r="H9" s="179"/>
      <c r="I9" s="179"/>
      <c r="J9" s="186"/>
      <c r="K9" s="178"/>
      <c r="L9" s="179"/>
      <c r="M9" s="179"/>
      <c r="N9" s="190"/>
      <c r="O9" s="179"/>
      <c r="P9" s="186"/>
      <c r="Q9" s="179"/>
      <c r="R9" s="179"/>
      <c r="S9" s="179"/>
      <c r="T9" s="58"/>
      <c r="U9" s="57"/>
      <c r="V9" s="57"/>
      <c r="W9" s="57"/>
    </row>
    <row r="10" spans="1:23" ht="12" customHeight="1">
      <c r="A10" s="177" t="s">
        <v>165</v>
      </c>
      <c r="B10" s="184"/>
      <c r="C10" s="179"/>
      <c r="D10" s="179"/>
      <c r="E10" s="190"/>
      <c r="F10" s="179"/>
      <c r="G10" s="186"/>
      <c r="H10" s="179"/>
      <c r="I10" s="179"/>
      <c r="J10" s="186"/>
      <c r="K10" s="178"/>
      <c r="L10" s="179"/>
      <c r="M10" s="179"/>
      <c r="N10" s="190"/>
      <c r="O10" s="179"/>
      <c r="P10" s="186"/>
      <c r="Q10" s="179"/>
      <c r="R10" s="179"/>
      <c r="S10" s="179"/>
      <c r="T10" s="58"/>
      <c r="U10" s="57"/>
      <c r="V10" s="57"/>
      <c r="W10" s="57"/>
    </row>
    <row r="11" spans="1:23" ht="12" customHeight="1">
      <c r="A11" s="180" t="s">
        <v>166</v>
      </c>
      <c r="B11" s="185"/>
      <c r="C11" s="182"/>
      <c r="D11" s="182"/>
      <c r="E11" s="191"/>
      <c r="F11" s="182"/>
      <c r="G11" s="187"/>
      <c r="H11" s="182"/>
      <c r="I11" s="182"/>
      <c r="J11" s="187"/>
      <c r="K11" s="181"/>
      <c r="L11" s="182"/>
      <c r="M11" s="182"/>
      <c r="N11" s="191"/>
      <c r="O11" s="182"/>
      <c r="P11" s="187"/>
      <c r="Q11" s="182"/>
      <c r="R11" s="182"/>
      <c r="S11" s="182"/>
      <c r="T11" s="58"/>
      <c r="U11" s="57"/>
      <c r="V11" s="57"/>
      <c r="W11" s="57"/>
    </row>
    <row r="12" spans="1:23" ht="12" customHeight="1">
      <c r="A12" s="177" t="s">
        <v>167</v>
      </c>
      <c r="B12" s="184"/>
      <c r="C12" s="179"/>
      <c r="D12" s="179"/>
      <c r="E12" s="190"/>
      <c r="F12" s="179"/>
      <c r="G12" s="186"/>
      <c r="H12" s="179"/>
      <c r="I12" s="179"/>
      <c r="J12" s="186"/>
      <c r="K12" s="178"/>
      <c r="L12" s="179"/>
      <c r="M12" s="179"/>
      <c r="N12" s="190"/>
      <c r="O12" s="179"/>
      <c r="P12" s="186"/>
      <c r="Q12" s="179"/>
      <c r="R12" s="179"/>
      <c r="S12" s="179"/>
      <c r="T12" s="58"/>
      <c r="U12" s="57"/>
      <c r="V12" s="57"/>
      <c r="W12" s="57"/>
    </row>
    <row r="13" spans="1:23" ht="12" customHeight="1">
      <c r="A13" s="177" t="s">
        <v>168</v>
      </c>
      <c r="B13" s="184"/>
      <c r="C13" s="179"/>
      <c r="D13" s="179"/>
      <c r="E13" s="190"/>
      <c r="F13" s="179"/>
      <c r="G13" s="186"/>
      <c r="H13" s="179"/>
      <c r="I13" s="179"/>
      <c r="J13" s="186"/>
      <c r="K13" s="178"/>
      <c r="L13" s="179"/>
      <c r="M13" s="179"/>
      <c r="N13" s="190"/>
      <c r="O13" s="179"/>
      <c r="P13" s="186"/>
      <c r="Q13" s="179"/>
      <c r="R13" s="179"/>
      <c r="S13" s="179"/>
      <c r="T13" s="58"/>
      <c r="U13" s="57"/>
      <c r="V13" s="57"/>
      <c r="W13" s="57"/>
    </row>
    <row r="14" spans="1:23" ht="12" customHeight="1">
      <c r="A14" s="180" t="s">
        <v>169</v>
      </c>
      <c r="B14" s="185"/>
      <c r="C14" s="182"/>
      <c r="D14" s="182"/>
      <c r="E14" s="191"/>
      <c r="F14" s="182"/>
      <c r="G14" s="187"/>
      <c r="H14" s="182"/>
      <c r="I14" s="182"/>
      <c r="J14" s="187"/>
      <c r="K14" s="181"/>
      <c r="L14" s="182"/>
      <c r="M14" s="182"/>
      <c r="N14" s="191"/>
      <c r="O14" s="182"/>
      <c r="P14" s="187"/>
      <c r="Q14" s="182"/>
      <c r="R14" s="182"/>
      <c r="S14" s="182"/>
      <c r="T14" s="58"/>
      <c r="U14" s="57"/>
      <c r="V14" s="57"/>
      <c r="W14" s="57"/>
    </row>
    <row r="15" spans="1:23" ht="12" customHeight="1">
      <c r="A15" s="177" t="s">
        <v>170</v>
      </c>
      <c r="B15" s="184"/>
      <c r="C15" s="179"/>
      <c r="D15" s="179"/>
      <c r="E15" s="190"/>
      <c r="F15" s="179"/>
      <c r="G15" s="186"/>
      <c r="H15" s="179"/>
      <c r="I15" s="179"/>
      <c r="J15" s="186"/>
      <c r="K15" s="178"/>
      <c r="L15" s="179"/>
      <c r="M15" s="179"/>
      <c r="N15" s="190"/>
      <c r="O15" s="179"/>
      <c r="P15" s="186"/>
      <c r="Q15" s="179"/>
      <c r="R15" s="179"/>
      <c r="S15" s="179"/>
      <c r="T15" s="58"/>
      <c r="U15" s="57"/>
      <c r="V15" s="57"/>
      <c r="W15" s="57"/>
    </row>
    <row r="16" spans="1:23" ht="12" customHeight="1">
      <c r="A16" s="177" t="s">
        <v>171</v>
      </c>
      <c r="B16" s="184"/>
      <c r="C16" s="179"/>
      <c r="D16" s="179"/>
      <c r="E16" s="190"/>
      <c r="F16" s="179"/>
      <c r="G16" s="186"/>
      <c r="H16" s="179"/>
      <c r="I16" s="179"/>
      <c r="J16" s="186"/>
      <c r="K16" s="178"/>
      <c r="L16" s="179"/>
      <c r="M16" s="179"/>
      <c r="N16" s="190"/>
      <c r="O16" s="179"/>
      <c r="P16" s="186"/>
      <c r="Q16" s="179"/>
      <c r="R16" s="179"/>
      <c r="S16" s="179"/>
      <c r="T16" s="58"/>
      <c r="U16" s="57"/>
      <c r="V16" s="57"/>
      <c r="W16" s="57"/>
    </row>
    <row r="17" spans="1:23" ht="12" customHeight="1">
      <c r="A17" s="180" t="s">
        <v>172</v>
      </c>
      <c r="B17" s="185"/>
      <c r="C17" s="182"/>
      <c r="D17" s="182"/>
      <c r="E17" s="191"/>
      <c r="F17" s="182"/>
      <c r="G17" s="187"/>
      <c r="H17" s="182"/>
      <c r="I17" s="182"/>
      <c r="J17" s="187"/>
      <c r="K17" s="181"/>
      <c r="L17" s="182"/>
      <c r="M17" s="182"/>
      <c r="N17" s="191"/>
      <c r="O17" s="182"/>
      <c r="P17" s="187"/>
      <c r="Q17" s="182"/>
      <c r="R17" s="182"/>
      <c r="S17" s="182"/>
      <c r="T17" s="58"/>
      <c r="U17" s="57"/>
      <c r="V17" s="57"/>
      <c r="W17" s="57"/>
    </row>
    <row r="18" spans="1:23" ht="12" customHeight="1">
      <c r="A18" s="177" t="s">
        <v>48</v>
      </c>
      <c r="B18" s="184">
        <f>SUM(B6:B8)</f>
        <v>10139.377200999597</v>
      </c>
      <c r="C18" s="178">
        <f>SUM(C6:C8)</f>
        <v>8505.8906993445617</v>
      </c>
      <c r="D18" s="178">
        <f t="shared" ref="D18:J18" si="0">SUM(D6:D8)</f>
        <v>1633.4865016550357</v>
      </c>
      <c r="E18" s="184">
        <f t="shared" si="0"/>
        <v>1330.8460330000003</v>
      </c>
      <c r="F18" s="178">
        <f t="shared" si="0"/>
        <v>98.787162999999978</v>
      </c>
      <c r="G18" s="188">
        <f t="shared" si="0"/>
        <v>1232.0588700000001</v>
      </c>
      <c r="H18" s="178">
        <f t="shared" si="0"/>
        <v>35.589660000000002</v>
      </c>
      <c r="I18" s="178">
        <f t="shared" si="0"/>
        <v>46.247694071305801</v>
      </c>
      <c r="J18" s="188">
        <f t="shared" si="0"/>
        <v>2947.382725726342</v>
      </c>
      <c r="K18" s="178">
        <f>SUM(K6:K8)</f>
        <v>108259.82823933879</v>
      </c>
      <c r="L18" s="178">
        <f t="shared" ref="L18:S18" si="1">SUM(L6:L8)</f>
        <v>90806.271670755596</v>
      </c>
      <c r="M18" s="178">
        <f t="shared" si="1"/>
        <v>17453.556568583208</v>
      </c>
      <c r="N18" s="184">
        <f t="shared" si="1"/>
        <v>14210.521988999999</v>
      </c>
      <c r="O18" s="178">
        <f t="shared" si="1"/>
        <v>1056.2487536159999</v>
      </c>
      <c r="P18" s="188">
        <f t="shared" si="1"/>
        <v>13154.273235383998</v>
      </c>
      <c r="Q18" s="178">
        <f t="shared" si="1"/>
        <v>385.72603857640001</v>
      </c>
      <c r="R18" s="178">
        <f t="shared" si="1"/>
        <v>561.65655229022911</v>
      </c>
      <c r="S18" s="178">
        <f t="shared" si="1"/>
        <v>31555.212394833834</v>
      </c>
    </row>
    <row r="19" spans="1:23" ht="12" customHeight="1">
      <c r="A19" s="177" t="s">
        <v>56</v>
      </c>
      <c r="B19" s="400">
        <f>SUM(B9:B11)</f>
        <v>0</v>
      </c>
      <c r="C19" s="255">
        <f>SUM(C9:C11)</f>
        <v>0</v>
      </c>
      <c r="D19" s="255">
        <f t="shared" ref="D19:J19" si="2">SUM(D9:D11)</f>
        <v>0</v>
      </c>
      <c r="E19" s="400">
        <f t="shared" si="2"/>
        <v>0</v>
      </c>
      <c r="F19" s="255">
        <f t="shared" si="2"/>
        <v>0</v>
      </c>
      <c r="G19" s="403">
        <f t="shared" si="2"/>
        <v>0</v>
      </c>
      <c r="H19" s="255">
        <f t="shared" si="2"/>
        <v>0</v>
      </c>
      <c r="I19" s="255">
        <f t="shared" si="2"/>
        <v>0</v>
      </c>
      <c r="J19" s="403">
        <f t="shared" si="2"/>
        <v>0</v>
      </c>
      <c r="K19" s="255">
        <f>SUM(K9:K11)</f>
        <v>0</v>
      </c>
      <c r="L19" s="255">
        <f t="shared" ref="L19:S19" si="3">SUM(L9:L11)</f>
        <v>0</v>
      </c>
      <c r="M19" s="255">
        <f t="shared" si="3"/>
        <v>0</v>
      </c>
      <c r="N19" s="400">
        <f t="shared" si="3"/>
        <v>0</v>
      </c>
      <c r="O19" s="255">
        <f t="shared" si="3"/>
        <v>0</v>
      </c>
      <c r="P19" s="403">
        <f t="shared" si="3"/>
        <v>0</v>
      </c>
      <c r="Q19" s="255">
        <f t="shared" si="3"/>
        <v>0</v>
      </c>
      <c r="R19" s="255">
        <f t="shared" si="3"/>
        <v>0</v>
      </c>
      <c r="S19" s="255">
        <f t="shared" si="3"/>
        <v>0</v>
      </c>
    </row>
    <row r="20" spans="1:23" ht="12" customHeight="1">
      <c r="A20" s="177" t="s">
        <v>63</v>
      </c>
      <c r="B20" s="400">
        <f>SUM(B12:B14)</f>
        <v>0</v>
      </c>
      <c r="C20" s="255">
        <f>SUM(C12:C14)</f>
        <v>0</v>
      </c>
      <c r="D20" s="255">
        <f t="shared" ref="D20:J20" si="4">SUM(D12:D14)</f>
        <v>0</v>
      </c>
      <c r="E20" s="400">
        <f t="shared" si="4"/>
        <v>0</v>
      </c>
      <c r="F20" s="255">
        <f t="shared" si="4"/>
        <v>0</v>
      </c>
      <c r="G20" s="403">
        <f t="shared" si="4"/>
        <v>0</v>
      </c>
      <c r="H20" s="255">
        <f t="shared" si="4"/>
        <v>0</v>
      </c>
      <c r="I20" s="255">
        <f>SUM(I12:I14)</f>
        <v>0</v>
      </c>
      <c r="J20" s="403">
        <f t="shared" si="4"/>
        <v>0</v>
      </c>
      <c r="K20" s="255">
        <f>SUM(K12:K14)</f>
        <v>0</v>
      </c>
      <c r="L20" s="255">
        <f t="shared" ref="L20:S20" si="5">SUM(L12:L14)</f>
        <v>0</v>
      </c>
      <c r="M20" s="255">
        <f t="shared" si="5"/>
        <v>0</v>
      </c>
      <c r="N20" s="400">
        <f t="shared" si="5"/>
        <v>0</v>
      </c>
      <c r="O20" s="255">
        <f t="shared" si="5"/>
        <v>0</v>
      </c>
      <c r="P20" s="403">
        <f t="shared" si="5"/>
        <v>0</v>
      </c>
      <c r="Q20" s="255">
        <f t="shared" si="5"/>
        <v>0</v>
      </c>
      <c r="R20" s="255">
        <f t="shared" si="5"/>
        <v>0</v>
      </c>
      <c r="S20" s="255">
        <f t="shared" si="5"/>
        <v>0</v>
      </c>
    </row>
    <row r="21" spans="1:23" ht="12" customHeight="1">
      <c r="A21" s="180" t="s">
        <v>57</v>
      </c>
      <c r="B21" s="402">
        <f>SUM(B15:B17)</f>
        <v>0</v>
      </c>
      <c r="C21" s="401">
        <f>SUM(C15:C17)</f>
        <v>0</v>
      </c>
      <c r="D21" s="401">
        <f t="shared" ref="D21:J21" si="6">SUM(D15:D17)</f>
        <v>0</v>
      </c>
      <c r="E21" s="402">
        <f t="shared" si="6"/>
        <v>0</v>
      </c>
      <c r="F21" s="401">
        <f t="shared" si="6"/>
        <v>0</v>
      </c>
      <c r="G21" s="404">
        <f t="shared" si="6"/>
        <v>0</v>
      </c>
      <c r="H21" s="401">
        <f t="shared" si="6"/>
        <v>0</v>
      </c>
      <c r="I21" s="401">
        <f t="shared" si="6"/>
        <v>0</v>
      </c>
      <c r="J21" s="404">
        <f t="shared" si="6"/>
        <v>0</v>
      </c>
      <c r="K21" s="401">
        <f>SUM(K15:K17)</f>
        <v>0</v>
      </c>
      <c r="L21" s="401">
        <f t="shared" ref="L21:R21" si="7">SUM(L15:L17)</f>
        <v>0</v>
      </c>
      <c r="M21" s="401">
        <f t="shared" si="7"/>
        <v>0</v>
      </c>
      <c r="N21" s="402">
        <f t="shared" si="7"/>
        <v>0</v>
      </c>
      <c r="O21" s="401">
        <f t="shared" si="7"/>
        <v>0</v>
      </c>
      <c r="P21" s="404">
        <f t="shared" si="7"/>
        <v>0</v>
      </c>
      <c r="Q21" s="401">
        <f t="shared" si="7"/>
        <v>0</v>
      </c>
      <c r="R21" s="401">
        <f t="shared" si="7"/>
        <v>0</v>
      </c>
      <c r="S21" s="401">
        <f>SUM(S15:S17)</f>
        <v>0</v>
      </c>
    </row>
    <row r="22" spans="1:23" ht="12" customHeight="1">
      <c r="A22" s="177" t="s">
        <v>58</v>
      </c>
      <c r="B22" s="400">
        <f>SUM(B6:B11)</f>
        <v>10139.377200999597</v>
      </c>
      <c r="C22" s="255">
        <f>SUM(C6:C11)</f>
        <v>8505.8906993445617</v>
      </c>
      <c r="D22" s="255">
        <f t="shared" ref="D22:J22" si="8">SUM(D6:D11)</f>
        <v>1633.4865016550357</v>
      </c>
      <c r="E22" s="400">
        <f t="shared" si="8"/>
        <v>1330.8460330000003</v>
      </c>
      <c r="F22" s="255">
        <f t="shared" si="8"/>
        <v>98.787162999999978</v>
      </c>
      <c r="G22" s="403">
        <f t="shared" si="8"/>
        <v>1232.0588700000001</v>
      </c>
      <c r="H22" s="255">
        <f t="shared" si="8"/>
        <v>35.589660000000002</v>
      </c>
      <c r="I22" s="255">
        <f t="shared" si="8"/>
        <v>46.247694071305801</v>
      </c>
      <c r="J22" s="403">
        <f t="shared" si="8"/>
        <v>2947.382725726342</v>
      </c>
      <c r="K22" s="255">
        <f>SUM(K6:K11)</f>
        <v>108259.82823933879</v>
      </c>
      <c r="L22" s="255">
        <f t="shared" ref="L22:S22" si="9">SUM(L6:L11)</f>
        <v>90806.271670755596</v>
      </c>
      <c r="M22" s="255">
        <f t="shared" si="9"/>
        <v>17453.556568583208</v>
      </c>
      <c r="N22" s="400">
        <f t="shared" si="9"/>
        <v>14210.521988999999</v>
      </c>
      <c r="O22" s="255">
        <f t="shared" si="9"/>
        <v>1056.2487536159999</v>
      </c>
      <c r="P22" s="403">
        <f t="shared" si="9"/>
        <v>13154.273235383998</v>
      </c>
      <c r="Q22" s="255">
        <f t="shared" si="9"/>
        <v>385.72603857640001</v>
      </c>
      <c r="R22" s="255">
        <f t="shared" si="9"/>
        <v>561.65655229022911</v>
      </c>
      <c r="S22" s="255">
        <f t="shared" si="9"/>
        <v>31555.212394833834</v>
      </c>
    </row>
    <row r="23" spans="1:23" ht="12" customHeight="1">
      <c r="A23" s="180" t="s">
        <v>59</v>
      </c>
      <c r="B23" s="402">
        <f>SUM(B12:B17)</f>
        <v>0</v>
      </c>
      <c r="C23" s="401">
        <f>SUM(C12:C17)</f>
        <v>0</v>
      </c>
      <c r="D23" s="401">
        <f t="shared" ref="D23:J23" si="10">SUM(D12:D17)</f>
        <v>0</v>
      </c>
      <c r="E23" s="402">
        <f t="shared" si="10"/>
        <v>0</v>
      </c>
      <c r="F23" s="401">
        <f t="shared" si="10"/>
        <v>0</v>
      </c>
      <c r="G23" s="404">
        <f t="shared" si="10"/>
        <v>0</v>
      </c>
      <c r="H23" s="401">
        <f t="shared" si="10"/>
        <v>0</v>
      </c>
      <c r="I23" s="401">
        <f t="shared" si="10"/>
        <v>0</v>
      </c>
      <c r="J23" s="404">
        <f t="shared" si="10"/>
        <v>0</v>
      </c>
      <c r="K23" s="401">
        <f>SUM(K12:K17)</f>
        <v>0</v>
      </c>
      <c r="L23" s="401">
        <f t="shared" ref="L23:S23" si="11">SUM(L12:L17)</f>
        <v>0</v>
      </c>
      <c r="M23" s="401">
        <f t="shared" si="11"/>
        <v>0</v>
      </c>
      <c r="N23" s="402">
        <f t="shared" si="11"/>
        <v>0</v>
      </c>
      <c r="O23" s="401">
        <f t="shared" si="11"/>
        <v>0</v>
      </c>
      <c r="P23" s="404">
        <f t="shared" si="11"/>
        <v>0</v>
      </c>
      <c r="Q23" s="401">
        <f t="shared" si="11"/>
        <v>0</v>
      </c>
      <c r="R23" s="401">
        <f t="shared" si="11"/>
        <v>0</v>
      </c>
      <c r="S23" s="401">
        <f t="shared" si="11"/>
        <v>0</v>
      </c>
    </row>
    <row r="24" spans="1:23" ht="12" customHeight="1">
      <c r="A24" s="183" t="s">
        <v>173</v>
      </c>
      <c r="B24" s="405">
        <f>SUM(B6:B17)</f>
        <v>10139.377200999597</v>
      </c>
      <c r="C24" s="406">
        <f>SUM(C6:C17)</f>
        <v>8505.8906993445617</v>
      </c>
      <c r="D24" s="406">
        <f t="shared" ref="D24:J24" si="12">SUM(D6:D17)</f>
        <v>1633.4865016550357</v>
      </c>
      <c r="E24" s="405">
        <f t="shared" si="12"/>
        <v>1330.8460330000003</v>
      </c>
      <c r="F24" s="406">
        <f t="shared" si="12"/>
        <v>98.787162999999978</v>
      </c>
      <c r="G24" s="407">
        <f t="shared" si="12"/>
        <v>1232.0588700000001</v>
      </c>
      <c r="H24" s="406">
        <f t="shared" si="12"/>
        <v>35.589660000000002</v>
      </c>
      <c r="I24" s="406">
        <f t="shared" si="12"/>
        <v>46.247694071305801</v>
      </c>
      <c r="J24" s="407">
        <f t="shared" si="12"/>
        <v>2947.382725726342</v>
      </c>
      <c r="K24" s="406">
        <f>SUM(K6:K17)</f>
        <v>108259.82823933879</v>
      </c>
      <c r="L24" s="406">
        <f t="shared" ref="L24:S24" si="13">SUM(L6:L17)</f>
        <v>90806.271670755596</v>
      </c>
      <c r="M24" s="406">
        <f t="shared" si="13"/>
        <v>17453.556568583208</v>
      </c>
      <c r="N24" s="405">
        <f t="shared" si="13"/>
        <v>14210.521988999999</v>
      </c>
      <c r="O24" s="406">
        <f t="shared" si="13"/>
        <v>1056.2487536159999</v>
      </c>
      <c r="P24" s="407">
        <f t="shared" si="13"/>
        <v>13154.273235383998</v>
      </c>
      <c r="Q24" s="406">
        <f t="shared" si="13"/>
        <v>385.72603857640001</v>
      </c>
      <c r="R24" s="406">
        <f t="shared" si="13"/>
        <v>561.65655229022911</v>
      </c>
      <c r="S24" s="406">
        <f t="shared" si="13"/>
        <v>31555.212394833834</v>
      </c>
    </row>
    <row r="25" spans="1:23" ht="8.1" customHeight="1"/>
    <row r="26" spans="1:23" ht="13.5" customHeight="1">
      <c r="A26" s="445" t="s">
        <v>253</v>
      </c>
      <c r="B26" s="445"/>
      <c r="C26" s="445"/>
      <c r="D26" s="445"/>
      <c r="E26" s="445"/>
      <c r="F26" s="445"/>
      <c r="G26" s="445"/>
      <c r="H26" s="445"/>
      <c r="I26" s="445"/>
      <c r="J26" s="60"/>
      <c r="K26" s="445" t="s">
        <v>254</v>
      </c>
      <c r="L26" s="445"/>
      <c r="M26" s="445"/>
      <c r="N26" s="445"/>
      <c r="O26" s="445"/>
      <c r="P26" s="445"/>
      <c r="Q26" s="445"/>
      <c r="R26" s="445"/>
      <c r="S26" s="445"/>
    </row>
    <row r="27" spans="1:23" ht="8.1" customHeight="1">
      <c r="D27" s="61"/>
      <c r="E27" s="62" t="s">
        <v>200</v>
      </c>
      <c r="F27" s="62" t="s">
        <v>201</v>
      </c>
      <c r="G27" s="63"/>
      <c r="H27" s="63"/>
      <c r="L27" s="63"/>
      <c r="M27" s="62"/>
      <c r="N27" s="62" t="s">
        <v>202</v>
      </c>
      <c r="O27" s="61" t="s">
        <v>203</v>
      </c>
    </row>
    <row r="28" spans="1:23" ht="8.1" customHeight="1">
      <c r="D28" s="61" t="str">
        <f>A6</f>
        <v>Leden</v>
      </c>
      <c r="E28" s="62">
        <f>B6</f>
        <v>3368.4318376071833</v>
      </c>
      <c r="F28" s="62">
        <f>C6*-1</f>
        <v>-2936.875920396245</v>
      </c>
      <c r="G28" s="63"/>
      <c r="L28" s="63"/>
      <c r="M28" s="62" t="str">
        <f>A6</f>
        <v>Leden</v>
      </c>
      <c r="N28" s="62">
        <f>E6</f>
        <v>678.60557000000006</v>
      </c>
      <c r="O28" s="62">
        <f>F6*-1</f>
        <v>-2.2123170000000001</v>
      </c>
    </row>
    <row r="29" spans="1:23" ht="8.1" customHeight="1">
      <c r="D29" s="61" t="str">
        <f t="shared" ref="D29:D39" si="14">A7</f>
        <v>Únor</v>
      </c>
      <c r="E29" s="62">
        <f t="shared" ref="E29:E39" si="15">B7</f>
        <v>3030.8876179384415</v>
      </c>
      <c r="F29" s="62">
        <f t="shared" ref="F29:F39" si="16">C7*-1</f>
        <v>-2527.7966007449631</v>
      </c>
      <c r="G29" s="63"/>
      <c r="L29" s="63"/>
      <c r="M29" s="62" t="str">
        <f t="shared" ref="M29:M39" si="17">A7</f>
        <v>Únor</v>
      </c>
      <c r="N29" s="62">
        <f t="shared" ref="N29:N39" si="18">E7</f>
        <v>384.90369700000002</v>
      </c>
      <c r="O29" s="62">
        <f t="shared" ref="O29:O39" si="19">F7*-1</f>
        <v>-13.730227999999999</v>
      </c>
    </row>
    <row r="30" spans="1:23" ht="8.1" customHeight="1">
      <c r="D30" s="61" t="str">
        <f t="shared" si="14"/>
        <v>Březen</v>
      </c>
      <c r="E30" s="62">
        <f t="shared" si="15"/>
        <v>3740.0577454539725</v>
      </c>
      <c r="F30" s="62">
        <f t="shared" si="16"/>
        <v>-3041.2181782033535</v>
      </c>
      <c r="G30" s="63"/>
      <c r="L30" s="63"/>
      <c r="M30" s="62" t="str">
        <f t="shared" si="17"/>
        <v>Březen</v>
      </c>
      <c r="N30" s="62">
        <f t="shared" si="18"/>
        <v>267.33676600000001</v>
      </c>
      <c r="O30" s="62">
        <f t="shared" si="19"/>
        <v>-82.844617999999983</v>
      </c>
    </row>
    <row r="31" spans="1:23" ht="8.1" customHeight="1">
      <c r="D31" s="61" t="str">
        <f t="shared" si="14"/>
        <v>Duben</v>
      </c>
      <c r="E31" s="62">
        <f t="shared" si="15"/>
        <v>0</v>
      </c>
      <c r="F31" s="62">
        <f t="shared" si="16"/>
        <v>0</v>
      </c>
      <c r="G31" s="63"/>
      <c r="L31" s="63"/>
      <c r="M31" s="62" t="str">
        <f t="shared" si="17"/>
        <v>Duben</v>
      </c>
      <c r="N31" s="62">
        <f t="shared" si="18"/>
        <v>0</v>
      </c>
      <c r="O31" s="62">
        <f t="shared" si="19"/>
        <v>0</v>
      </c>
    </row>
    <row r="32" spans="1:23" ht="8.1" customHeight="1">
      <c r="D32" s="61" t="str">
        <f t="shared" si="14"/>
        <v>Květen</v>
      </c>
      <c r="E32" s="62">
        <f t="shared" si="15"/>
        <v>0</v>
      </c>
      <c r="F32" s="62">
        <f t="shared" si="16"/>
        <v>0</v>
      </c>
      <c r="G32" s="63"/>
      <c r="L32" s="63"/>
      <c r="M32" s="62" t="str">
        <f t="shared" si="17"/>
        <v>Květen</v>
      </c>
      <c r="N32" s="62">
        <f t="shared" si="18"/>
        <v>0</v>
      </c>
      <c r="O32" s="62">
        <f t="shared" si="19"/>
        <v>0</v>
      </c>
    </row>
    <row r="33" spans="4:15" ht="8.1" customHeight="1">
      <c r="D33" s="61" t="str">
        <f t="shared" si="14"/>
        <v>Červen</v>
      </c>
      <c r="E33" s="62">
        <f t="shared" si="15"/>
        <v>0</v>
      </c>
      <c r="F33" s="62">
        <f t="shared" si="16"/>
        <v>0</v>
      </c>
      <c r="G33" s="63"/>
      <c r="L33" s="63"/>
      <c r="M33" s="62" t="str">
        <f t="shared" si="17"/>
        <v>Červen</v>
      </c>
      <c r="N33" s="62">
        <f t="shared" si="18"/>
        <v>0</v>
      </c>
      <c r="O33" s="62">
        <f t="shared" si="19"/>
        <v>0</v>
      </c>
    </row>
    <row r="34" spans="4:15" ht="8.1" customHeight="1">
      <c r="D34" s="61" t="str">
        <f t="shared" si="14"/>
        <v>Červenec</v>
      </c>
      <c r="E34" s="62">
        <f t="shared" si="15"/>
        <v>0</v>
      </c>
      <c r="F34" s="62">
        <f t="shared" si="16"/>
        <v>0</v>
      </c>
      <c r="G34" s="63"/>
      <c r="L34" s="63"/>
      <c r="M34" s="62" t="str">
        <f t="shared" si="17"/>
        <v>Červenec</v>
      </c>
      <c r="N34" s="62">
        <f t="shared" si="18"/>
        <v>0</v>
      </c>
      <c r="O34" s="62">
        <f t="shared" si="19"/>
        <v>0</v>
      </c>
    </row>
    <row r="35" spans="4:15" ht="8.1" customHeight="1">
      <c r="D35" s="61" t="str">
        <f t="shared" si="14"/>
        <v>Srpen</v>
      </c>
      <c r="E35" s="62">
        <f t="shared" si="15"/>
        <v>0</v>
      </c>
      <c r="F35" s="62">
        <f t="shared" si="16"/>
        <v>0</v>
      </c>
      <c r="G35" s="63"/>
      <c r="L35" s="63"/>
      <c r="M35" s="62" t="str">
        <f t="shared" si="17"/>
        <v>Srpen</v>
      </c>
      <c r="N35" s="62">
        <f t="shared" si="18"/>
        <v>0</v>
      </c>
      <c r="O35" s="62">
        <f t="shared" si="19"/>
        <v>0</v>
      </c>
    </row>
    <row r="36" spans="4:15" ht="8.1" customHeight="1">
      <c r="D36" s="61" t="str">
        <f t="shared" si="14"/>
        <v>Září</v>
      </c>
      <c r="E36" s="62">
        <f t="shared" si="15"/>
        <v>0</v>
      </c>
      <c r="F36" s="62">
        <f t="shared" si="16"/>
        <v>0</v>
      </c>
      <c r="G36" s="63"/>
      <c r="L36" s="63"/>
      <c r="M36" s="62" t="str">
        <f t="shared" si="17"/>
        <v>Září</v>
      </c>
      <c r="N36" s="62">
        <f t="shared" si="18"/>
        <v>0</v>
      </c>
      <c r="O36" s="62">
        <f t="shared" si="19"/>
        <v>0</v>
      </c>
    </row>
    <row r="37" spans="4:15" ht="8.1" customHeight="1">
      <c r="D37" s="61" t="str">
        <f t="shared" si="14"/>
        <v>Říjen</v>
      </c>
      <c r="E37" s="62">
        <f t="shared" si="15"/>
        <v>0</v>
      </c>
      <c r="F37" s="62">
        <f t="shared" si="16"/>
        <v>0</v>
      </c>
      <c r="G37" s="63"/>
      <c r="L37" s="63"/>
      <c r="M37" s="62" t="str">
        <f t="shared" si="17"/>
        <v>Říjen</v>
      </c>
      <c r="N37" s="62">
        <f t="shared" si="18"/>
        <v>0</v>
      </c>
      <c r="O37" s="62">
        <f t="shared" si="19"/>
        <v>0</v>
      </c>
    </row>
    <row r="38" spans="4:15" ht="8.1" customHeight="1">
      <c r="D38" s="61" t="str">
        <f t="shared" si="14"/>
        <v>Listopad</v>
      </c>
      <c r="E38" s="62">
        <f t="shared" si="15"/>
        <v>0</v>
      </c>
      <c r="F38" s="62">
        <f t="shared" si="16"/>
        <v>0</v>
      </c>
      <c r="G38" s="63"/>
      <c r="L38" s="63"/>
      <c r="M38" s="62" t="str">
        <f t="shared" si="17"/>
        <v>Listopad</v>
      </c>
      <c r="N38" s="62">
        <f t="shared" si="18"/>
        <v>0</v>
      </c>
      <c r="O38" s="62">
        <f t="shared" si="19"/>
        <v>0</v>
      </c>
    </row>
    <row r="39" spans="4:15" ht="8.1" customHeight="1">
      <c r="D39" s="61" t="str">
        <f t="shared" si="14"/>
        <v>Prosinec</v>
      </c>
      <c r="E39" s="62">
        <f t="shared" si="15"/>
        <v>0</v>
      </c>
      <c r="F39" s="62">
        <f t="shared" si="16"/>
        <v>0</v>
      </c>
      <c r="M39" s="62" t="str">
        <f t="shared" si="17"/>
        <v>Prosinec</v>
      </c>
      <c r="N39" s="62">
        <f t="shared" si="18"/>
        <v>0</v>
      </c>
      <c r="O39" s="62">
        <f t="shared" si="19"/>
        <v>0</v>
      </c>
    </row>
    <row r="40" spans="4:15" ht="12" customHeight="1">
      <c r="M40" s="63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S21 B23:S23 C22:S2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6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140625" style="12" customWidth="1"/>
    <col min="2" max="3" width="7.7109375" style="12" customWidth="1"/>
    <col min="4" max="4" width="7.28515625" style="12" customWidth="1"/>
    <col min="5" max="6" width="7.7109375" style="12" customWidth="1"/>
    <col min="7" max="7" width="7.42578125" style="12" customWidth="1"/>
    <col min="8" max="8" width="9.140625" style="12" customWidth="1"/>
    <col min="9" max="12" width="7.7109375" style="12" customWidth="1"/>
    <col min="13" max="13" width="9" style="12" customWidth="1"/>
    <col min="14" max="18" width="4.7109375" style="12" customWidth="1"/>
    <col min="19" max="20" width="6.7109375" style="12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20.25">
      <c r="A1" s="69" t="s">
        <v>294</v>
      </c>
    </row>
    <row r="2" spans="1:22" ht="18">
      <c r="A2" s="410" t="s">
        <v>301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ht="6" customHeight="1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9"/>
      <c r="L3" s="208"/>
      <c r="M3" s="208"/>
      <c r="N3" s="208"/>
      <c r="O3" s="208"/>
      <c r="P3" s="208"/>
      <c r="Q3" s="208"/>
      <c r="R3" s="208"/>
    </row>
    <row r="4" spans="1:22" ht="15.95" customHeight="1">
      <c r="A4" s="206">
        <f>'3.1'!A4</f>
        <v>2022</v>
      </c>
      <c r="B4" s="454" t="s">
        <v>266</v>
      </c>
      <c r="C4" s="457"/>
      <c r="D4" s="457"/>
      <c r="E4" s="457"/>
      <c r="F4" s="457"/>
      <c r="G4" s="457"/>
      <c r="H4" s="456"/>
      <c r="I4" s="454" t="s">
        <v>223</v>
      </c>
      <c r="J4" s="457"/>
      <c r="K4" s="457"/>
      <c r="L4" s="457"/>
      <c r="M4" s="457"/>
      <c r="N4" s="454" t="s">
        <v>235</v>
      </c>
      <c r="O4" s="457"/>
      <c r="P4" s="457"/>
      <c r="Q4" s="457"/>
      <c r="R4" s="456"/>
      <c r="S4" s="245" t="s">
        <v>266</v>
      </c>
      <c r="T4" s="245" t="s">
        <v>223</v>
      </c>
    </row>
    <row r="5" spans="1:22" ht="36.75" customHeight="1">
      <c r="A5" s="220"/>
      <c r="B5" s="458" t="s">
        <v>155</v>
      </c>
      <c r="C5" s="451"/>
      <c r="D5" s="451"/>
      <c r="E5" s="451" t="s">
        <v>156</v>
      </c>
      <c r="F5" s="451"/>
      <c r="G5" s="451"/>
      <c r="H5" s="198" t="s">
        <v>153</v>
      </c>
      <c r="I5" s="458" t="s">
        <v>155</v>
      </c>
      <c r="J5" s="451"/>
      <c r="K5" s="451" t="s">
        <v>156</v>
      </c>
      <c r="L5" s="451"/>
      <c r="M5" s="197" t="s">
        <v>153</v>
      </c>
      <c r="N5" s="458" t="s">
        <v>269</v>
      </c>
      <c r="O5" s="451"/>
      <c r="P5" s="451"/>
      <c r="Q5" s="451"/>
      <c r="R5" s="453"/>
      <c r="S5" s="450" t="s">
        <v>154</v>
      </c>
      <c r="T5" s="450"/>
    </row>
    <row r="6" spans="1:22" ht="44.25" customHeight="1">
      <c r="A6" s="229"/>
      <c r="B6" s="249">
        <f>A4</f>
        <v>2022</v>
      </c>
      <c r="C6" s="250">
        <f>B6-1</f>
        <v>2021</v>
      </c>
      <c r="D6" s="195" t="s">
        <v>270</v>
      </c>
      <c r="E6" s="250">
        <f>B6</f>
        <v>2022</v>
      </c>
      <c r="F6" s="250">
        <f>C6</f>
        <v>2021</v>
      </c>
      <c r="G6" s="195" t="s">
        <v>271</v>
      </c>
      <c r="H6" s="251">
        <f>B6</f>
        <v>2022</v>
      </c>
      <c r="I6" s="249">
        <f>B6</f>
        <v>2022</v>
      </c>
      <c r="J6" s="250">
        <f>C6</f>
        <v>2021</v>
      </c>
      <c r="K6" s="250">
        <f>B6</f>
        <v>2022</v>
      </c>
      <c r="L6" s="250">
        <f>C6</f>
        <v>2021</v>
      </c>
      <c r="M6" s="250">
        <f>B6</f>
        <v>2022</v>
      </c>
      <c r="N6" s="230" t="s">
        <v>62</v>
      </c>
      <c r="O6" s="231" t="s">
        <v>174</v>
      </c>
      <c r="P6" s="231" t="s">
        <v>175</v>
      </c>
      <c r="Q6" s="231" t="s">
        <v>114</v>
      </c>
      <c r="R6" s="232" t="s">
        <v>116</v>
      </c>
      <c r="S6" s="451"/>
      <c r="T6" s="451"/>
    </row>
    <row r="7" spans="1:22" ht="12" customHeight="1">
      <c r="A7" s="177" t="s">
        <v>161</v>
      </c>
      <c r="B7" s="184">
        <v>1134.2625732048143</v>
      </c>
      <c r="C7" s="178">
        <v>1273.1091500516641</v>
      </c>
      <c r="D7" s="212">
        <v>-0.10906101557844841</v>
      </c>
      <c r="E7" s="179">
        <v>1205.7431048765241</v>
      </c>
      <c r="F7" s="179">
        <v>1283.925619090659</v>
      </c>
      <c r="G7" s="212">
        <v>-6.089333607153017E-2</v>
      </c>
      <c r="H7" s="186">
        <v>1205.7431048765241</v>
      </c>
      <c r="I7" s="190">
        <v>12118.789925745998</v>
      </c>
      <c r="J7" s="179">
        <v>13598.778336891666</v>
      </c>
      <c r="K7" s="179">
        <v>12882.508633895299</v>
      </c>
      <c r="L7" s="178">
        <v>13714.314985766725</v>
      </c>
      <c r="M7" s="178">
        <v>12882.508633895299</v>
      </c>
      <c r="N7" s="184">
        <v>0.78709677419354818</v>
      </c>
      <c r="O7" s="178">
        <v>8.6</v>
      </c>
      <c r="P7" s="178">
        <v>-3.8</v>
      </c>
      <c r="Q7" s="178">
        <v>-1.2258064516129035</v>
      </c>
      <c r="R7" s="188">
        <v>2.0129032258064514</v>
      </c>
      <c r="S7" s="210">
        <v>74.624275932857174</v>
      </c>
      <c r="T7" s="210">
        <v>797.307178999999</v>
      </c>
      <c r="U7" s="57"/>
      <c r="V7" s="65"/>
    </row>
    <row r="8" spans="1:22" ht="12" customHeight="1">
      <c r="A8" s="177" t="s">
        <v>162</v>
      </c>
      <c r="B8" s="184">
        <v>890.50037327489224</v>
      </c>
      <c r="C8" s="179">
        <v>1165.2067587806339</v>
      </c>
      <c r="D8" s="212">
        <v>-0.23575763136940306</v>
      </c>
      <c r="E8" s="179">
        <v>992.34776233082323</v>
      </c>
      <c r="F8" s="179">
        <v>1146.9243592637986</v>
      </c>
      <c r="G8" s="212">
        <v>-0.13477488352605643</v>
      </c>
      <c r="H8" s="186">
        <v>992.34776233082323</v>
      </c>
      <c r="I8" s="190">
        <v>9526.9687340309974</v>
      </c>
      <c r="J8" s="179">
        <v>12450.501212999245</v>
      </c>
      <c r="K8" s="179">
        <v>10616.577363402139</v>
      </c>
      <c r="L8" s="178">
        <v>12255.149584933597</v>
      </c>
      <c r="M8" s="178">
        <v>10616.577363402139</v>
      </c>
      <c r="N8" s="190">
        <v>3.0892857142857144</v>
      </c>
      <c r="O8" s="179">
        <v>6.7</v>
      </c>
      <c r="P8" s="179">
        <v>-2</v>
      </c>
      <c r="Q8" s="179">
        <v>-0.15517241379310354</v>
      </c>
      <c r="R8" s="188">
        <v>3.2444581280788181</v>
      </c>
      <c r="S8" s="210">
        <v>41.797281820219396</v>
      </c>
      <c r="T8" s="210">
        <v>447.16588500000057</v>
      </c>
      <c r="U8" s="57"/>
      <c r="V8" s="65"/>
    </row>
    <row r="9" spans="1:22" ht="12" customHeight="1">
      <c r="A9" s="180" t="s">
        <v>163</v>
      </c>
      <c r="B9" s="185">
        <v>922.61982519439664</v>
      </c>
      <c r="C9" s="182">
        <v>1091.1742333659163</v>
      </c>
      <c r="D9" s="215">
        <v>-0.15447066382018967</v>
      </c>
      <c r="E9" s="182">
        <v>915.4910560358029</v>
      </c>
      <c r="F9" s="182">
        <v>1071.0224170552283</v>
      </c>
      <c r="G9" s="215">
        <v>-0.1452176523504132</v>
      </c>
      <c r="H9" s="187">
        <v>915.4910560358029</v>
      </c>
      <c r="I9" s="191">
        <v>9909.4544420370003</v>
      </c>
      <c r="J9" s="182">
        <v>11642.422582350146</v>
      </c>
      <c r="K9" s="182">
        <v>9832.8874625771787</v>
      </c>
      <c r="L9" s="181">
        <v>11427.410209333224</v>
      </c>
      <c r="M9" s="181">
        <v>9832.8874625771787</v>
      </c>
      <c r="N9" s="191">
        <v>3.3161290322580643</v>
      </c>
      <c r="O9" s="182">
        <v>9.8000000000000007</v>
      </c>
      <c r="P9" s="182">
        <v>-2.1</v>
      </c>
      <c r="Q9" s="182">
        <v>3.512903225806451</v>
      </c>
      <c r="R9" s="189">
        <v>-0.19677419354838666</v>
      </c>
      <c r="S9" s="216">
        <v>71.652965030747765</v>
      </c>
      <c r="T9" s="216">
        <v>769.59327900000153</v>
      </c>
      <c r="U9" s="57"/>
      <c r="V9" s="65"/>
    </row>
    <row r="10" spans="1:22" ht="12" customHeight="1">
      <c r="A10" s="177" t="s">
        <v>164</v>
      </c>
      <c r="B10" s="184">
        <v>671.36203982845257</v>
      </c>
      <c r="C10" s="179">
        <v>882.21591334015864</v>
      </c>
      <c r="D10" s="212">
        <v>-0.23900484033822514</v>
      </c>
      <c r="E10" s="179">
        <v>605.2961340668877</v>
      </c>
      <c r="F10" s="179">
        <v>783.3973331043785</v>
      </c>
      <c r="G10" s="212">
        <v>-0.22734465833796871</v>
      </c>
      <c r="H10" s="186">
        <v>605.2961340668877</v>
      </c>
      <c r="I10" s="190">
        <v>7237.9839086889997</v>
      </c>
      <c r="J10" s="179">
        <v>9418.4088102613405</v>
      </c>
      <c r="K10" s="179">
        <v>6525.7244503833781</v>
      </c>
      <c r="L10" s="178">
        <v>8363.4360165986054</v>
      </c>
      <c r="M10" s="178">
        <v>6525.7244503833781</v>
      </c>
      <c r="N10" s="184">
        <v>6.6166666666666663</v>
      </c>
      <c r="O10" s="178">
        <v>13.3</v>
      </c>
      <c r="P10" s="178">
        <v>-1</v>
      </c>
      <c r="Q10" s="178">
        <v>8.6366666666666667</v>
      </c>
      <c r="R10" s="188">
        <v>-2.0200000000000005</v>
      </c>
      <c r="S10" s="210">
        <v>20.144951341097272</v>
      </c>
      <c r="T10" s="210">
        <v>217.18357799999998</v>
      </c>
      <c r="U10" s="57"/>
      <c r="V10" s="65"/>
    </row>
    <row r="11" spans="1:22" ht="12" customHeight="1">
      <c r="A11" s="177" t="s">
        <v>165</v>
      </c>
      <c r="B11" s="184">
        <v>388.89642773175905</v>
      </c>
      <c r="C11" s="179">
        <v>583.12096512511641</v>
      </c>
      <c r="D11" s="212">
        <v>-0.33307760998043329</v>
      </c>
      <c r="E11" s="179">
        <v>408.72629326716236</v>
      </c>
      <c r="F11" s="179">
        <v>531.23739759003411</v>
      </c>
      <c r="G11" s="212">
        <v>-0.23061460823098126</v>
      </c>
      <c r="H11" s="186">
        <v>408.72629326716236</v>
      </c>
      <c r="I11" s="190">
        <v>4179.6571014479996</v>
      </c>
      <c r="J11" s="179">
        <v>6226.3806927155729</v>
      </c>
      <c r="K11" s="179">
        <v>4392.7782113260655</v>
      </c>
      <c r="L11" s="178">
        <v>5672.3844166593235</v>
      </c>
      <c r="M11" s="178">
        <v>4392.7782113260655</v>
      </c>
      <c r="N11" s="190">
        <v>14.500000000000002</v>
      </c>
      <c r="O11" s="179">
        <v>20.6</v>
      </c>
      <c r="P11" s="179">
        <v>9.6999999999999993</v>
      </c>
      <c r="Q11" s="179">
        <v>13.522580645161288</v>
      </c>
      <c r="R11" s="188">
        <v>0.97741935483871423</v>
      </c>
      <c r="S11" s="210">
        <v>41.189720334021821</v>
      </c>
      <c r="T11" s="210">
        <v>442.68606199999959</v>
      </c>
      <c r="U11" s="57"/>
      <c r="V11" s="65"/>
    </row>
    <row r="12" spans="1:22" ht="12" customHeight="1">
      <c r="A12" s="180" t="s">
        <v>166</v>
      </c>
      <c r="B12" s="185">
        <v>336.35371810523372</v>
      </c>
      <c r="C12" s="182">
        <v>415.25958095448908</v>
      </c>
      <c r="D12" s="215">
        <v>-0.19001575512812346</v>
      </c>
      <c r="E12" s="182">
        <v>343.04053123321125</v>
      </c>
      <c r="F12" s="182">
        <v>423.47888333731743</v>
      </c>
      <c r="G12" s="215">
        <v>-0.18994654814944784</v>
      </c>
      <c r="H12" s="187">
        <v>343.04053123321125</v>
      </c>
      <c r="I12" s="191">
        <v>3649.5234233930014</v>
      </c>
      <c r="J12" s="182">
        <v>4436.5117991174047</v>
      </c>
      <c r="K12" s="182">
        <v>3722.0770472264999</v>
      </c>
      <c r="L12" s="181">
        <v>4524.3244196428977</v>
      </c>
      <c r="M12" s="181">
        <v>3722.0770472264999</v>
      </c>
      <c r="N12" s="191">
        <v>18.956666666666667</v>
      </c>
      <c r="O12" s="182">
        <v>25</v>
      </c>
      <c r="P12" s="182">
        <v>14.7</v>
      </c>
      <c r="Q12" s="182">
        <v>16.59</v>
      </c>
      <c r="R12" s="189">
        <v>2.3666666666666671</v>
      </c>
      <c r="S12" s="216">
        <v>54.042932735823641</v>
      </c>
      <c r="T12" s="216">
        <v>586.37821600000029</v>
      </c>
      <c r="U12" s="66"/>
      <c r="V12" s="65"/>
    </row>
    <row r="13" spans="1:22" ht="12" customHeight="1">
      <c r="A13" s="177" t="s">
        <v>167</v>
      </c>
      <c r="B13" s="184"/>
      <c r="C13" s="179">
        <v>382.26749122851908</v>
      </c>
      <c r="D13" s="212"/>
      <c r="E13" s="179"/>
      <c r="F13" s="179">
        <v>385.01381832880293</v>
      </c>
      <c r="G13" s="212"/>
      <c r="H13" s="186">
        <v>390</v>
      </c>
      <c r="I13" s="190"/>
      <c r="J13" s="179">
        <v>4081.9397439643967</v>
      </c>
      <c r="K13" s="179"/>
      <c r="L13" s="178">
        <v>4111.2656531714492</v>
      </c>
      <c r="M13" s="178">
        <v>4160</v>
      </c>
      <c r="N13" s="184"/>
      <c r="O13" s="178"/>
      <c r="P13" s="178"/>
      <c r="Q13" s="178">
        <v>18.522580645161291</v>
      </c>
      <c r="R13" s="188"/>
      <c r="S13" s="210"/>
      <c r="T13" s="210"/>
      <c r="U13" s="57"/>
      <c r="V13" s="65"/>
    </row>
    <row r="14" spans="1:22" ht="12" customHeight="1">
      <c r="A14" s="177" t="s">
        <v>168</v>
      </c>
      <c r="B14" s="184"/>
      <c r="C14" s="179">
        <v>363.44071679746889</v>
      </c>
      <c r="D14" s="212"/>
      <c r="E14" s="179"/>
      <c r="F14" s="179">
        <v>355.73549433169762</v>
      </c>
      <c r="G14" s="212"/>
      <c r="H14" s="186">
        <v>380</v>
      </c>
      <c r="I14" s="190"/>
      <c r="J14" s="179">
        <v>3873.7501156336721</v>
      </c>
      <c r="K14" s="179"/>
      <c r="L14" s="178">
        <v>3791.6236365732707</v>
      </c>
      <c r="M14" s="178">
        <v>4050</v>
      </c>
      <c r="N14" s="190"/>
      <c r="O14" s="179"/>
      <c r="P14" s="179"/>
      <c r="Q14" s="179">
        <v>18.119354838709679</v>
      </c>
      <c r="R14" s="188"/>
      <c r="S14" s="210"/>
      <c r="T14" s="210"/>
      <c r="U14" s="57"/>
      <c r="V14" s="65"/>
    </row>
    <row r="15" spans="1:22" ht="12" customHeight="1">
      <c r="A15" s="180" t="s">
        <v>169</v>
      </c>
      <c r="B15" s="185"/>
      <c r="C15" s="182">
        <v>429.16409860486493</v>
      </c>
      <c r="D15" s="215"/>
      <c r="E15" s="182"/>
      <c r="F15" s="182">
        <v>453.30654023794932</v>
      </c>
      <c r="G15" s="215"/>
      <c r="H15" s="187">
        <v>450</v>
      </c>
      <c r="I15" s="191"/>
      <c r="J15" s="182">
        <v>4575.0590896934445</v>
      </c>
      <c r="K15" s="182"/>
      <c r="L15" s="181">
        <v>4832.4270694473416</v>
      </c>
      <c r="M15" s="181">
        <v>4800</v>
      </c>
      <c r="N15" s="191"/>
      <c r="O15" s="182"/>
      <c r="P15" s="182"/>
      <c r="Q15" s="182">
        <v>13.223333333333333</v>
      </c>
      <c r="R15" s="189"/>
      <c r="S15" s="216"/>
      <c r="T15" s="216"/>
      <c r="U15" s="57"/>
      <c r="V15" s="65"/>
    </row>
    <row r="16" spans="1:22" ht="12" customHeight="1">
      <c r="A16" s="177" t="s">
        <v>170</v>
      </c>
      <c r="B16" s="184"/>
      <c r="C16" s="179">
        <v>710.64530506306801</v>
      </c>
      <c r="D16" s="212"/>
      <c r="E16" s="179"/>
      <c r="F16" s="179">
        <v>706.09674405398198</v>
      </c>
      <c r="G16" s="212"/>
      <c r="H16" s="186">
        <v>740</v>
      </c>
      <c r="I16" s="190"/>
      <c r="J16" s="179">
        <v>7601.8089078956318</v>
      </c>
      <c r="K16" s="179"/>
      <c r="L16" s="178">
        <v>7553.1527198498834</v>
      </c>
      <c r="M16" s="178">
        <v>7900</v>
      </c>
      <c r="N16" s="184"/>
      <c r="O16" s="178"/>
      <c r="P16" s="178"/>
      <c r="Q16" s="178">
        <v>8.3548387096774199</v>
      </c>
      <c r="R16" s="188"/>
      <c r="S16" s="210"/>
      <c r="T16" s="210"/>
      <c r="U16" s="57"/>
      <c r="V16" s="65"/>
    </row>
    <row r="17" spans="1:22" ht="12" customHeight="1">
      <c r="A17" s="177" t="s">
        <v>171</v>
      </c>
      <c r="B17" s="184"/>
      <c r="C17" s="179">
        <v>976.24192688788401</v>
      </c>
      <c r="D17" s="212"/>
      <c r="E17" s="179"/>
      <c r="F17" s="179">
        <v>986.6655418940195</v>
      </c>
      <c r="G17" s="212"/>
      <c r="H17" s="186">
        <v>990</v>
      </c>
      <c r="I17" s="190"/>
      <c r="J17" s="179">
        <v>10424.295084390295</v>
      </c>
      <c r="K17" s="179"/>
      <c r="L17" s="178">
        <v>10535.598272337184</v>
      </c>
      <c r="M17" s="178">
        <v>10550</v>
      </c>
      <c r="N17" s="190"/>
      <c r="O17" s="179"/>
      <c r="P17" s="179"/>
      <c r="Q17" s="179">
        <v>3.5466666666666664</v>
      </c>
      <c r="R17" s="188"/>
      <c r="S17" s="210"/>
      <c r="T17" s="210"/>
      <c r="U17" s="57"/>
      <c r="V17" s="65"/>
    </row>
    <row r="18" spans="1:22" ht="12" customHeight="1">
      <c r="A18" s="180" t="s">
        <v>172</v>
      </c>
      <c r="B18" s="185"/>
      <c r="C18" s="182">
        <v>1161.8881056025075</v>
      </c>
      <c r="D18" s="215"/>
      <c r="E18" s="182"/>
      <c r="F18" s="182">
        <v>1192.8079687562265</v>
      </c>
      <c r="G18" s="215"/>
      <c r="H18" s="187">
        <v>1210</v>
      </c>
      <c r="I18" s="191"/>
      <c r="J18" s="182">
        <v>12407.620587736272</v>
      </c>
      <c r="K18" s="182"/>
      <c r="L18" s="181">
        <v>12737.808949925529</v>
      </c>
      <c r="M18" s="181">
        <v>12900</v>
      </c>
      <c r="N18" s="191"/>
      <c r="O18" s="182"/>
      <c r="P18" s="182"/>
      <c r="Q18" s="182">
        <v>-0.38387096774193558</v>
      </c>
      <c r="R18" s="189"/>
      <c r="S18" s="216"/>
      <c r="T18" s="216"/>
      <c r="U18" s="57"/>
      <c r="V18" s="65"/>
    </row>
    <row r="19" spans="1:22" ht="12" customHeight="1">
      <c r="A19" s="177" t="s">
        <v>48</v>
      </c>
      <c r="B19" s="223">
        <f>SUM(B7:B9)</f>
        <v>2947.382771674103</v>
      </c>
      <c r="C19" s="213">
        <v>3529.4901421982145</v>
      </c>
      <c r="D19" s="212">
        <f>(B19-C19)/C19</f>
        <v>-0.16492675912718857</v>
      </c>
      <c r="E19" s="213">
        <f t="shared" ref="E19:K19" si="0">SUM(E7:E9)</f>
        <v>3113.5819232431504</v>
      </c>
      <c r="F19" s="213">
        <v>3501.8723954096859</v>
      </c>
      <c r="G19" s="212">
        <f t="shared" ref="G19:G25" si="1">(E19-F19)/F19</f>
        <v>-0.1108808169810851</v>
      </c>
      <c r="H19" s="226">
        <v>3460</v>
      </c>
      <c r="I19" s="223">
        <f t="shared" si="0"/>
        <v>31555.213101813995</v>
      </c>
      <c r="J19" s="213">
        <v>37691.702132241058</v>
      </c>
      <c r="K19" s="213">
        <f t="shared" si="0"/>
        <v>33331.973459874614</v>
      </c>
      <c r="L19" s="213">
        <v>37396.874780033548</v>
      </c>
      <c r="M19" s="213">
        <v>36880</v>
      </c>
      <c r="N19" s="223">
        <f>AVERAGE(N7:N9)</f>
        <v>2.3975038402457756</v>
      </c>
      <c r="O19" s="213">
        <f>MAX(O7:O9)</f>
        <v>9.8000000000000007</v>
      </c>
      <c r="P19" s="213">
        <f>MIN(P7:P9)</f>
        <v>-3.8</v>
      </c>
      <c r="Q19" s="213">
        <f>AVERAGE(Q7:Q9)</f>
        <v>0.71064145346681462</v>
      </c>
      <c r="R19" s="226">
        <f>N19-Q19</f>
        <v>1.6868623867789609</v>
      </c>
      <c r="S19" s="213">
        <f>SUM(S7:S10)</f>
        <v>208.21947412492162</v>
      </c>
      <c r="T19" s="213">
        <f t="shared" ref="T19" si="2">SUM(T7:T9)</f>
        <v>2014.0663430000011</v>
      </c>
      <c r="V19" s="65"/>
    </row>
    <row r="20" spans="1:22" ht="12" customHeight="1">
      <c r="A20" s="177" t="s">
        <v>56</v>
      </c>
      <c r="B20" s="233">
        <f>SUM(B10:B12)</f>
        <v>1396.6121856654454</v>
      </c>
      <c r="C20" s="213">
        <v>1880.5964594197642</v>
      </c>
      <c r="D20" s="236">
        <f t="shared" ref="D20:D25" si="3">(B20-C20)/C20</f>
        <v>-0.25735679301642755</v>
      </c>
      <c r="E20" s="239">
        <f t="shared" ref="E20:K20" si="4">SUM(E10:E12)</f>
        <v>1357.0629585672614</v>
      </c>
      <c r="F20" s="213">
        <v>1738.1136140317301</v>
      </c>
      <c r="G20" s="236">
        <f t="shared" si="1"/>
        <v>-0.21923230586784442</v>
      </c>
      <c r="H20" s="226">
        <v>1790</v>
      </c>
      <c r="I20" s="233">
        <f t="shared" si="4"/>
        <v>15067.164433530001</v>
      </c>
      <c r="J20" s="213">
        <v>20081.301302094318</v>
      </c>
      <c r="K20" s="239">
        <f t="shared" si="4"/>
        <v>14640.579708935944</v>
      </c>
      <c r="L20" s="213">
        <v>18560.144852900827</v>
      </c>
      <c r="M20" s="213">
        <v>19080</v>
      </c>
      <c r="N20" s="233">
        <f>AVERAGE(N10:N12)</f>
        <v>13.357777777777779</v>
      </c>
      <c r="O20" s="239">
        <f>MAX(O10:O12)</f>
        <v>25</v>
      </c>
      <c r="P20" s="239">
        <f>MIN(P10:P12)</f>
        <v>-1</v>
      </c>
      <c r="Q20" s="213">
        <f>AVERAGE(Q10:Q12)</f>
        <v>12.916415770609319</v>
      </c>
      <c r="R20" s="242">
        <f t="shared" ref="R20:R25" si="5">N20-Q20</f>
        <v>0.44136200716845941</v>
      </c>
      <c r="S20" s="239">
        <f>SUM(S10:S12)</f>
        <v>115.37760441094274</v>
      </c>
      <c r="T20" s="239">
        <f t="shared" ref="T20" si="6">SUM(T10:T12)</f>
        <v>1246.247856</v>
      </c>
      <c r="V20" s="65"/>
    </row>
    <row r="21" spans="1:22" ht="12" customHeight="1">
      <c r="A21" s="177" t="s">
        <v>63</v>
      </c>
      <c r="B21" s="233">
        <f>SUM(B13:B15)</f>
        <v>0</v>
      </c>
      <c r="C21" s="213">
        <v>1174.8723066308528</v>
      </c>
      <c r="D21" s="236">
        <f t="shared" si="3"/>
        <v>-1</v>
      </c>
      <c r="E21" s="239">
        <f t="shared" ref="E21:K21" si="7">SUM(E13:E15)</f>
        <v>0</v>
      </c>
      <c r="F21" s="213">
        <v>1194.0558528984498</v>
      </c>
      <c r="G21" s="236">
        <f t="shared" si="1"/>
        <v>-1</v>
      </c>
      <c r="H21" s="226">
        <v>1220</v>
      </c>
      <c r="I21" s="233">
        <f t="shared" si="7"/>
        <v>0</v>
      </c>
      <c r="J21" s="213">
        <v>12530.748949291514</v>
      </c>
      <c r="K21" s="239">
        <f t="shared" si="7"/>
        <v>0</v>
      </c>
      <c r="L21" s="213">
        <v>12735.316359192062</v>
      </c>
      <c r="M21" s="213">
        <v>13010</v>
      </c>
      <c r="N21" s="233" t="e">
        <f>AVERAGE(N13:N15)</f>
        <v>#DIV/0!</v>
      </c>
      <c r="O21" s="239">
        <f>MAX(O13:O15)</f>
        <v>0</v>
      </c>
      <c r="P21" s="239">
        <f>MIN(P13:P15)</f>
        <v>0</v>
      </c>
      <c r="Q21" s="213">
        <f>AVERAGE(Q13:Q15)</f>
        <v>16.621756272401431</v>
      </c>
      <c r="R21" s="242" t="e">
        <f>N21-Q21</f>
        <v>#DIV/0!</v>
      </c>
      <c r="S21" s="239">
        <f t="shared" ref="S21:T21" si="8">SUM(S13:S15)</f>
        <v>0</v>
      </c>
      <c r="T21" s="239">
        <f t="shared" si="8"/>
        <v>0</v>
      </c>
      <c r="V21" s="65"/>
    </row>
    <row r="22" spans="1:22" ht="12" customHeight="1">
      <c r="A22" s="180" t="s">
        <v>57</v>
      </c>
      <c r="B22" s="234">
        <f>SUM(B16:B18)</f>
        <v>0</v>
      </c>
      <c r="C22" s="217">
        <v>2848.7753375534594</v>
      </c>
      <c r="D22" s="237">
        <f t="shared" si="3"/>
        <v>-1</v>
      </c>
      <c r="E22" s="240">
        <f t="shared" ref="E22:K22" si="9">SUM(E16:E18)</f>
        <v>0</v>
      </c>
      <c r="F22" s="217">
        <v>2885.5702547042283</v>
      </c>
      <c r="G22" s="237">
        <f t="shared" si="1"/>
        <v>-1</v>
      </c>
      <c r="H22" s="227">
        <v>2940</v>
      </c>
      <c r="I22" s="234">
        <f t="shared" si="9"/>
        <v>0</v>
      </c>
      <c r="J22" s="217">
        <v>30433.724580022201</v>
      </c>
      <c r="K22" s="240">
        <f t="shared" si="9"/>
        <v>0</v>
      </c>
      <c r="L22" s="217">
        <v>30826.559942112595</v>
      </c>
      <c r="M22" s="217">
        <v>31350</v>
      </c>
      <c r="N22" s="234" t="e">
        <f>AVERAGE(N16:N18)</f>
        <v>#DIV/0!</v>
      </c>
      <c r="O22" s="240">
        <f>MAX(O16:O18)</f>
        <v>0</v>
      </c>
      <c r="P22" s="240">
        <f>MIN(P16:P18)</f>
        <v>0</v>
      </c>
      <c r="Q22" s="217">
        <f>AVERAGE(Q16:Q18)</f>
        <v>3.83921146953405</v>
      </c>
      <c r="R22" s="243" t="e">
        <f t="shared" si="5"/>
        <v>#DIV/0!</v>
      </c>
      <c r="S22" s="240">
        <f t="shared" ref="S22:T22" si="10">SUM(S16:S18)</f>
        <v>0</v>
      </c>
      <c r="T22" s="240">
        <f t="shared" si="10"/>
        <v>0</v>
      </c>
      <c r="V22" s="65"/>
    </row>
    <row r="23" spans="1:22" ht="12" customHeight="1">
      <c r="A23" s="177" t="s">
        <v>58</v>
      </c>
      <c r="B23" s="233">
        <f>SUM(B7:B12)</f>
        <v>4343.9949573395479</v>
      </c>
      <c r="C23" s="213">
        <v>5410.0866016179789</v>
      </c>
      <c r="D23" s="236">
        <f t="shared" si="3"/>
        <v>-0.1970562992392022</v>
      </c>
      <c r="E23" s="239">
        <f t="shared" ref="E23:K23" si="11">SUM(E7:E12)</f>
        <v>4470.6448818104118</v>
      </c>
      <c r="F23" s="213">
        <v>5239.9860094414153</v>
      </c>
      <c r="G23" s="236">
        <f t="shared" si="1"/>
        <v>-0.14682121788966676</v>
      </c>
      <c r="H23" s="226">
        <v>5250</v>
      </c>
      <c r="I23" s="233">
        <f t="shared" si="11"/>
        <v>46622.377535344</v>
      </c>
      <c r="J23" s="213">
        <v>57773.003434335376</v>
      </c>
      <c r="K23" s="239">
        <f t="shared" si="11"/>
        <v>47972.553168810555</v>
      </c>
      <c r="L23" s="213">
        <v>55957.019632934382</v>
      </c>
      <c r="M23" s="213">
        <v>55960</v>
      </c>
      <c r="N23" s="233">
        <f>AVERAGE(N7:N12)</f>
        <v>7.8776408090117771</v>
      </c>
      <c r="O23" s="239">
        <f>MAX(O7:O12)</f>
        <v>25</v>
      </c>
      <c r="P23" s="239">
        <f>MIN(P7:P12)</f>
        <v>-3.8</v>
      </c>
      <c r="Q23" s="213">
        <f>AVERAGE(Q7:Q12)</f>
        <v>6.8135286120380663</v>
      </c>
      <c r="R23" s="242">
        <f t="shared" si="5"/>
        <v>1.0641121969737108</v>
      </c>
      <c r="S23" s="239">
        <f t="shared" ref="S23:T23" si="12">SUM(S7:S12)</f>
        <v>303.45212719476706</v>
      </c>
      <c r="T23" s="239">
        <f t="shared" si="12"/>
        <v>3260.3141990000013</v>
      </c>
      <c r="V23" s="65"/>
    </row>
    <row r="24" spans="1:22" ht="12" customHeight="1">
      <c r="A24" s="180" t="s">
        <v>59</v>
      </c>
      <c r="B24" s="234">
        <f>SUM(B13:B18)</f>
        <v>0</v>
      </c>
      <c r="C24" s="217">
        <v>4023.6476441843124</v>
      </c>
      <c r="D24" s="237">
        <f t="shared" si="3"/>
        <v>-1</v>
      </c>
      <c r="E24" s="240">
        <f t="shared" ref="E24:K24" si="13">SUM(E13:E18)</f>
        <v>0</v>
      </c>
      <c r="F24" s="217">
        <v>4079.6261076026776</v>
      </c>
      <c r="G24" s="237">
        <f t="shared" si="1"/>
        <v>-1</v>
      </c>
      <c r="H24" s="227">
        <v>4160</v>
      </c>
      <c r="I24" s="234">
        <f t="shared" si="13"/>
        <v>0</v>
      </c>
      <c r="J24" s="217">
        <v>42964.473529313713</v>
      </c>
      <c r="K24" s="240">
        <f t="shared" si="13"/>
        <v>0</v>
      </c>
      <c r="L24" s="217">
        <v>43561.876301304655</v>
      </c>
      <c r="M24" s="217">
        <v>44360</v>
      </c>
      <c r="N24" s="234" t="e">
        <f>AVERAGE(N13:N18)</f>
        <v>#DIV/0!</v>
      </c>
      <c r="O24" s="240">
        <f>MAX(O13:O18)</f>
        <v>0</v>
      </c>
      <c r="P24" s="240">
        <f>MIN(P13:P18)</f>
        <v>0</v>
      </c>
      <c r="Q24" s="217">
        <f>AVERAGE(Q13:Q18)</f>
        <v>10.230483870967742</v>
      </c>
      <c r="R24" s="243" t="e">
        <f t="shared" si="5"/>
        <v>#DIV/0!</v>
      </c>
      <c r="S24" s="240">
        <f t="shared" ref="S24:T24" si="14">SUM(S13:S18)</f>
        <v>0</v>
      </c>
      <c r="T24" s="240">
        <f t="shared" si="14"/>
        <v>0</v>
      </c>
      <c r="V24" s="65"/>
    </row>
    <row r="25" spans="1:22" ht="12" customHeight="1">
      <c r="A25" s="218" t="s">
        <v>173</v>
      </c>
      <c r="B25" s="235">
        <f>SUM(B7:B18)</f>
        <v>4343.9949573395479</v>
      </c>
      <c r="C25" s="219">
        <v>9433.7342458022922</v>
      </c>
      <c r="D25" s="238">
        <f t="shared" si="3"/>
        <v>-0.53952540487638967</v>
      </c>
      <c r="E25" s="241">
        <f t="shared" ref="E25:K25" si="15">SUM(E7:E18)</f>
        <v>4470.6448818104118</v>
      </c>
      <c r="F25" s="219">
        <v>9319.6121170440929</v>
      </c>
      <c r="G25" s="238">
        <f t="shared" si="1"/>
        <v>-0.52029710832768339</v>
      </c>
      <c r="H25" s="228">
        <v>9410</v>
      </c>
      <c r="I25" s="235">
        <f t="shared" si="15"/>
        <v>46622.377535344</v>
      </c>
      <c r="J25" s="219">
        <v>100737.47696364907</v>
      </c>
      <c r="K25" s="241">
        <f t="shared" si="15"/>
        <v>47972.553168810555</v>
      </c>
      <c r="L25" s="219">
        <v>99518.895934239044</v>
      </c>
      <c r="M25" s="219">
        <v>100320</v>
      </c>
      <c r="N25" s="235">
        <f>AVERAGE(N7:N18)</f>
        <v>7.8776408090117771</v>
      </c>
      <c r="O25" s="241">
        <f>MAX(O7:O18)</f>
        <v>25</v>
      </c>
      <c r="P25" s="241">
        <f>MIN(P7:P18)</f>
        <v>-3.8</v>
      </c>
      <c r="Q25" s="219">
        <f>AVERAGE(Q7:Q18)</f>
        <v>8.5220062415029041</v>
      </c>
      <c r="R25" s="244">
        <f t="shared" si="5"/>
        <v>-0.64436543249112699</v>
      </c>
      <c r="S25" s="241">
        <f t="shared" ref="S25:T25" si="16">SUM(S7:S18)</f>
        <v>303.45212719476706</v>
      </c>
      <c r="T25" s="241">
        <f t="shared" si="16"/>
        <v>3260.3141990000013</v>
      </c>
      <c r="V25" s="65"/>
    </row>
    <row r="26" spans="1:22" ht="11.25" customHeight="1">
      <c r="A26" s="460" t="s">
        <v>219</v>
      </c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</row>
    <row r="27" spans="1:22" ht="15" customHeight="1">
      <c r="A27" s="459" t="s">
        <v>255</v>
      </c>
      <c r="B27" s="459"/>
      <c r="C27" s="459"/>
      <c r="D27" s="459"/>
      <c r="E27" s="459"/>
      <c r="F27" s="459"/>
      <c r="G27" s="459"/>
      <c r="H27" s="459"/>
      <c r="I27" s="459"/>
      <c r="J27" s="459" t="s">
        <v>157</v>
      </c>
      <c r="K27" s="459"/>
      <c r="L27" s="459"/>
      <c r="M27" s="459"/>
      <c r="N27" s="459"/>
      <c r="O27" s="459"/>
      <c r="P27" s="459"/>
      <c r="Q27" s="459"/>
      <c r="R27" s="459"/>
      <c r="S27" s="459"/>
      <c r="T27" s="459"/>
    </row>
    <row r="28" spans="1:22" ht="8.1" customHeight="1">
      <c r="A28" s="61"/>
      <c r="B28" s="61"/>
      <c r="C28" s="61"/>
      <c r="D28" s="61"/>
      <c r="E28" s="61" t="s">
        <v>138</v>
      </c>
      <c r="F28" s="61" t="s">
        <v>133</v>
      </c>
      <c r="G28" s="61"/>
      <c r="H28" s="61"/>
      <c r="I28" s="61"/>
      <c r="J28" s="61"/>
      <c r="K28" s="61"/>
      <c r="L28" s="61"/>
      <c r="M28" s="61"/>
      <c r="N28" s="62" t="str">
        <f>N6</f>
        <v>Průměr</v>
      </c>
      <c r="O28" s="62" t="str">
        <f>Q6</f>
        <v>Normál</v>
      </c>
      <c r="P28" s="62"/>
      <c r="Q28" s="61"/>
      <c r="R28" s="61"/>
      <c r="S28" s="61"/>
      <c r="T28" s="61"/>
    </row>
    <row r="29" spans="1:22" ht="6.95" customHeight="1">
      <c r="A29" s="61"/>
      <c r="B29" s="61"/>
      <c r="C29" s="61"/>
      <c r="D29" s="61" t="str">
        <f>A7</f>
        <v>Leden</v>
      </c>
      <c r="E29" s="62">
        <f>B7</f>
        <v>1134.2625732048143</v>
      </c>
      <c r="F29" s="62">
        <f>E7</f>
        <v>1205.7431048765241</v>
      </c>
      <c r="G29" s="62"/>
      <c r="H29" s="62"/>
      <c r="I29" s="61"/>
      <c r="J29" s="61"/>
      <c r="K29" s="61"/>
      <c r="L29" s="61"/>
      <c r="M29" s="61" t="str">
        <f>A7</f>
        <v>Leden</v>
      </c>
      <c r="N29" s="62">
        <f>N7</f>
        <v>0.78709677419354818</v>
      </c>
      <c r="O29" s="62">
        <f>Q7</f>
        <v>-1.2258064516129035</v>
      </c>
      <c r="P29" s="62"/>
      <c r="Q29" s="61"/>
      <c r="R29" s="61"/>
      <c r="S29" s="61"/>
      <c r="T29" s="61"/>
    </row>
    <row r="30" spans="1:22" ht="6.95" customHeight="1">
      <c r="A30" s="61"/>
      <c r="B30" s="61"/>
      <c r="C30" s="61"/>
      <c r="D30" s="61" t="str">
        <f t="shared" ref="D30:D39" si="17">A8</f>
        <v>Únor</v>
      </c>
      <c r="E30" s="62">
        <f t="shared" ref="E30:E40" si="18">B8</f>
        <v>890.50037327489224</v>
      </c>
      <c r="F30" s="62">
        <f t="shared" ref="F30:F40" si="19">E8</f>
        <v>992.34776233082323</v>
      </c>
      <c r="G30" s="62"/>
      <c r="H30" s="62"/>
      <c r="I30" s="61"/>
      <c r="J30" s="61"/>
      <c r="K30" s="61"/>
      <c r="L30" s="61"/>
      <c r="M30" s="61" t="str">
        <f t="shared" ref="M30:M40" si="20">A8</f>
        <v>Únor</v>
      </c>
      <c r="N30" s="62">
        <f t="shared" ref="N30:N40" si="21">N8</f>
        <v>3.0892857142857144</v>
      </c>
      <c r="O30" s="62">
        <f t="shared" ref="O30:O40" si="22">Q8</f>
        <v>-0.15517241379310354</v>
      </c>
      <c r="P30" s="62"/>
      <c r="Q30" s="61"/>
      <c r="R30" s="61"/>
      <c r="S30" s="61"/>
      <c r="T30" s="61"/>
    </row>
    <row r="31" spans="1:22" ht="6.95" customHeight="1">
      <c r="A31" s="61"/>
      <c r="B31" s="61"/>
      <c r="C31" s="61"/>
      <c r="D31" s="61" t="str">
        <f t="shared" si="17"/>
        <v>Březen</v>
      </c>
      <c r="E31" s="62">
        <f t="shared" si="18"/>
        <v>922.61982519439664</v>
      </c>
      <c r="F31" s="62">
        <f t="shared" si="19"/>
        <v>915.4910560358029</v>
      </c>
      <c r="G31" s="62"/>
      <c r="H31" s="62"/>
      <c r="I31" s="61"/>
      <c r="J31" s="61"/>
      <c r="K31" s="61"/>
      <c r="L31" s="61"/>
      <c r="M31" s="61" t="str">
        <f t="shared" si="20"/>
        <v>Březen</v>
      </c>
      <c r="N31" s="62">
        <f t="shared" si="21"/>
        <v>3.3161290322580643</v>
      </c>
      <c r="O31" s="62">
        <f t="shared" si="22"/>
        <v>3.512903225806451</v>
      </c>
      <c r="P31" s="62"/>
      <c r="Q31" s="61"/>
      <c r="R31" s="61"/>
      <c r="S31" s="61"/>
      <c r="T31" s="61"/>
    </row>
    <row r="32" spans="1:22" ht="6.95" customHeight="1">
      <c r="A32" s="61"/>
      <c r="B32" s="61"/>
      <c r="C32" s="61"/>
      <c r="D32" s="61" t="str">
        <f t="shared" si="17"/>
        <v>Duben</v>
      </c>
      <c r="E32" s="62">
        <f t="shared" si="18"/>
        <v>671.36203982845257</v>
      </c>
      <c r="F32" s="62">
        <f t="shared" si="19"/>
        <v>605.2961340668877</v>
      </c>
      <c r="G32" s="62"/>
      <c r="H32" s="62"/>
      <c r="I32" s="61"/>
      <c r="J32" s="61"/>
      <c r="K32" s="61"/>
      <c r="L32" s="61"/>
      <c r="M32" s="61" t="str">
        <f t="shared" si="20"/>
        <v>Duben</v>
      </c>
      <c r="N32" s="62">
        <f t="shared" si="21"/>
        <v>6.6166666666666663</v>
      </c>
      <c r="O32" s="62">
        <f t="shared" si="22"/>
        <v>8.6366666666666667</v>
      </c>
      <c r="P32" s="62"/>
      <c r="Q32" s="61"/>
      <c r="R32" s="61"/>
      <c r="S32" s="61"/>
      <c r="T32" s="61"/>
    </row>
    <row r="33" spans="1:20" ht="6.95" customHeight="1">
      <c r="A33" s="61"/>
      <c r="B33" s="61"/>
      <c r="C33" s="61"/>
      <c r="D33" s="61" t="str">
        <f t="shared" si="17"/>
        <v>Květen</v>
      </c>
      <c r="E33" s="62">
        <f t="shared" si="18"/>
        <v>388.89642773175905</v>
      </c>
      <c r="F33" s="62">
        <f t="shared" si="19"/>
        <v>408.72629326716236</v>
      </c>
      <c r="G33" s="62"/>
      <c r="H33" s="62"/>
      <c r="I33" s="61"/>
      <c r="J33" s="61"/>
      <c r="K33" s="61"/>
      <c r="L33" s="61"/>
      <c r="M33" s="61" t="str">
        <f t="shared" si="20"/>
        <v>Květen</v>
      </c>
      <c r="N33" s="62">
        <f t="shared" si="21"/>
        <v>14.500000000000002</v>
      </c>
      <c r="O33" s="62">
        <f t="shared" si="22"/>
        <v>13.522580645161288</v>
      </c>
      <c r="P33" s="62"/>
      <c r="Q33" s="61"/>
      <c r="R33" s="61"/>
      <c r="S33" s="61"/>
      <c r="T33" s="61"/>
    </row>
    <row r="34" spans="1:20" ht="6.95" customHeight="1">
      <c r="A34" s="61"/>
      <c r="B34" s="61"/>
      <c r="C34" s="61"/>
      <c r="D34" s="61" t="str">
        <f t="shared" si="17"/>
        <v>Červen</v>
      </c>
      <c r="E34" s="62">
        <f t="shared" si="18"/>
        <v>336.35371810523372</v>
      </c>
      <c r="F34" s="62">
        <f t="shared" si="19"/>
        <v>343.04053123321125</v>
      </c>
      <c r="G34" s="62"/>
      <c r="H34" s="62"/>
      <c r="I34" s="61"/>
      <c r="J34" s="61"/>
      <c r="K34" s="61"/>
      <c r="L34" s="61"/>
      <c r="M34" s="61" t="str">
        <f t="shared" si="20"/>
        <v>Červen</v>
      </c>
      <c r="N34" s="62">
        <f t="shared" si="21"/>
        <v>18.956666666666667</v>
      </c>
      <c r="O34" s="62">
        <f t="shared" si="22"/>
        <v>16.59</v>
      </c>
      <c r="P34" s="62"/>
      <c r="Q34" s="61"/>
      <c r="R34" s="61"/>
      <c r="S34" s="61"/>
      <c r="T34" s="61"/>
    </row>
    <row r="35" spans="1:20" ht="6.95" customHeight="1">
      <c r="A35" s="61"/>
      <c r="B35" s="61"/>
      <c r="C35" s="61"/>
      <c r="D35" s="61" t="str">
        <f t="shared" si="17"/>
        <v>Červenec</v>
      </c>
      <c r="E35" s="62">
        <f t="shared" si="18"/>
        <v>0</v>
      </c>
      <c r="F35" s="62">
        <f t="shared" si="19"/>
        <v>0</v>
      </c>
      <c r="G35" s="62"/>
      <c r="H35" s="62"/>
      <c r="I35" s="61"/>
      <c r="J35" s="61"/>
      <c r="K35" s="61"/>
      <c r="L35" s="61"/>
      <c r="M35" s="61" t="str">
        <f t="shared" si="20"/>
        <v>Červenec</v>
      </c>
      <c r="N35" s="62">
        <f t="shared" si="21"/>
        <v>0</v>
      </c>
      <c r="O35" s="62">
        <f t="shared" si="22"/>
        <v>18.522580645161291</v>
      </c>
      <c r="P35" s="62"/>
      <c r="Q35" s="61"/>
      <c r="R35" s="61"/>
      <c r="S35" s="61"/>
      <c r="T35" s="61"/>
    </row>
    <row r="36" spans="1:20" ht="6.95" customHeight="1">
      <c r="A36" s="61"/>
      <c r="B36" s="61"/>
      <c r="C36" s="61"/>
      <c r="D36" s="61" t="str">
        <f t="shared" si="17"/>
        <v>Srpen</v>
      </c>
      <c r="E36" s="62">
        <f t="shared" si="18"/>
        <v>0</v>
      </c>
      <c r="F36" s="62">
        <f t="shared" si="19"/>
        <v>0</v>
      </c>
      <c r="G36" s="62"/>
      <c r="H36" s="62"/>
      <c r="I36" s="61"/>
      <c r="J36" s="61"/>
      <c r="K36" s="61"/>
      <c r="L36" s="61"/>
      <c r="M36" s="61" t="str">
        <f t="shared" si="20"/>
        <v>Srpen</v>
      </c>
      <c r="N36" s="62">
        <f t="shared" si="21"/>
        <v>0</v>
      </c>
      <c r="O36" s="62">
        <f t="shared" si="22"/>
        <v>18.119354838709679</v>
      </c>
      <c r="P36" s="62"/>
      <c r="Q36" s="61"/>
      <c r="R36" s="61"/>
      <c r="S36" s="61"/>
      <c r="T36" s="61"/>
    </row>
    <row r="37" spans="1:20" ht="6.95" customHeight="1">
      <c r="A37" s="61"/>
      <c r="B37" s="61"/>
      <c r="C37" s="61"/>
      <c r="D37" s="61" t="str">
        <f t="shared" si="17"/>
        <v>Září</v>
      </c>
      <c r="E37" s="62">
        <f t="shared" si="18"/>
        <v>0</v>
      </c>
      <c r="F37" s="62">
        <f t="shared" si="19"/>
        <v>0</v>
      </c>
      <c r="G37" s="62"/>
      <c r="H37" s="62"/>
      <c r="I37" s="61"/>
      <c r="J37" s="61"/>
      <c r="K37" s="61"/>
      <c r="L37" s="61"/>
      <c r="M37" s="61" t="str">
        <f t="shared" si="20"/>
        <v>Září</v>
      </c>
      <c r="N37" s="62">
        <f t="shared" si="21"/>
        <v>0</v>
      </c>
      <c r="O37" s="62">
        <f t="shared" si="22"/>
        <v>13.223333333333333</v>
      </c>
      <c r="P37" s="62"/>
      <c r="Q37" s="61"/>
      <c r="R37" s="61"/>
      <c r="S37" s="61"/>
      <c r="T37" s="61"/>
    </row>
    <row r="38" spans="1:20" ht="6.95" customHeight="1">
      <c r="A38" s="61"/>
      <c r="B38" s="61"/>
      <c r="C38" s="61"/>
      <c r="D38" s="61" t="str">
        <f t="shared" si="17"/>
        <v>Říjen</v>
      </c>
      <c r="E38" s="62">
        <f t="shared" si="18"/>
        <v>0</v>
      </c>
      <c r="F38" s="62">
        <f t="shared" si="19"/>
        <v>0</v>
      </c>
      <c r="G38" s="62"/>
      <c r="H38" s="62"/>
      <c r="I38" s="61"/>
      <c r="J38" s="61"/>
      <c r="K38" s="61"/>
      <c r="L38" s="61"/>
      <c r="M38" s="61" t="str">
        <f t="shared" si="20"/>
        <v>Říjen</v>
      </c>
      <c r="N38" s="62">
        <f t="shared" si="21"/>
        <v>0</v>
      </c>
      <c r="O38" s="62">
        <f t="shared" si="22"/>
        <v>8.3548387096774199</v>
      </c>
      <c r="P38" s="62"/>
      <c r="Q38" s="61"/>
      <c r="R38" s="61"/>
      <c r="S38" s="61"/>
      <c r="T38" s="61"/>
    </row>
    <row r="39" spans="1:20" ht="6.95" customHeight="1">
      <c r="A39" s="61"/>
      <c r="B39" s="61"/>
      <c r="C39" s="61"/>
      <c r="D39" s="61" t="str">
        <f t="shared" si="17"/>
        <v>Listopad</v>
      </c>
      <c r="E39" s="62">
        <f t="shared" si="18"/>
        <v>0</v>
      </c>
      <c r="F39" s="62">
        <f t="shared" si="19"/>
        <v>0</v>
      </c>
      <c r="G39" s="61"/>
      <c r="H39" s="61"/>
      <c r="I39" s="61"/>
      <c r="J39" s="61"/>
      <c r="K39" s="61"/>
      <c r="L39" s="61"/>
      <c r="M39" s="61" t="str">
        <f t="shared" si="20"/>
        <v>Listopad</v>
      </c>
      <c r="N39" s="62">
        <f t="shared" si="21"/>
        <v>0</v>
      </c>
      <c r="O39" s="62">
        <f t="shared" si="22"/>
        <v>3.5466666666666664</v>
      </c>
      <c r="P39" s="61"/>
      <c r="Q39" s="61"/>
      <c r="R39" s="61"/>
      <c r="S39" s="61"/>
      <c r="T39" s="61"/>
    </row>
    <row r="40" spans="1:20" ht="6.95" customHeight="1">
      <c r="A40" s="61"/>
      <c r="B40" s="61"/>
      <c r="C40" s="61"/>
      <c r="D40" s="61" t="str">
        <f>A18</f>
        <v>Prosinec</v>
      </c>
      <c r="E40" s="62">
        <f t="shared" si="18"/>
        <v>0</v>
      </c>
      <c r="F40" s="62">
        <f t="shared" si="19"/>
        <v>0</v>
      </c>
      <c r="G40" s="61"/>
      <c r="H40" s="61"/>
      <c r="I40" s="61"/>
      <c r="J40" s="61"/>
      <c r="K40" s="61"/>
      <c r="L40" s="61"/>
      <c r="M40" s="61" t="str">
        <f t="shared" si="20"/>
        <v>Prosinec</v>
      </c>
      <c r="N40" s="62">
        <f t="shared" si="21"/>
        <v>0</v>
      </c>
      <c r="O40" s="62">
        <f t="shared" si="22"/>
        <v>-0.38387096774193558</v>
      </c>
      <c r="P40" s="61"/>
      <c r="Q40" s="61"/>
      <c r="R40" s="61"/>
      <c r="S40" s="61"/>
      <c r="T40" s="61"/>
    </row>
    <row r="41" spans="1:20" ht="12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ht="12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2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54" spans="9:10">
      <c r="I54" s="63"/>
      <c r="J54" s="63"/>
    </row>
    <row r="56" spans="9:10">
      <c r="I56" s="68"/>
      <c r="J56" s="68"/>
    </row>
  </sheetData>
  <mergeCells count="12">
    <mergeCell ref="A27:I27"/>
    <mergeCell ref="J27:T27"/>
    <mergeCell ref="A26:T26"/>
    <mergeCell ref="B5:D5"/>
    <mergeCell ref="E5:G5"/>
    <mergeCell ref="S5:T6"/>
    <mergeCell ref="I4:M4"/>
    <mergeCell ref="N4:R4"/>
    <mergeCell ref="N5:R5"/>
    <mergeCell ref="B4:H4"/>
    <mergeCell ref="I5:J5"/>
    <mergeCell ref="K5:L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B25 E23 E20 I20 E21 I21 E22 I22 E25 E24 I24 O20:Q20 O21:Q21 O22:Q22 O24:Q24 S23:T23 S20:T20 S21:T21 S22:T22 S24:T24 I23 I25 N23:Q23 N25:T25 Q19 B19 R19:T19 E19 N20:N22 N24 I19 N19:P19 G23 G25 G19 K20 K21 K22 K24 K23 K25 K19" formulaRange="1"/>
    <ignoredError sqref="D19" formula="1" formulaRange="1"/>
    <ignoredError sqref="D20:D25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28515625" style="12" customWidth="1"/>
    <col min="2" max="3" width="5.42578125" style="12" customWidth="1"/>
    <col min="4" max="4" width="6.5703125" style="12" customWidth="1"/>
    <col min="5" max="5" width="7.7109375" style="12" customWidth="1"/>
    <col min="6" max="6" width="4.140625" style="12" customWidth="1"/>
    <col min="7" max="7" width="7.7109375" style="12" customWidth="1"/>
    <col min="8" max="13" width="6.7109375" style="12" customWidth="1"/>
    <col min="14" max="14" width="7.5703125" style="12" customWidth="1"/>
    <col min="15" max="18" width="7.28515625" style="12" customWidth="1"/>
    <col min="19" max="20" width="6.7109375" style="12" customWidth="1"/>
    <col min="21" max="21" width="8" style="12" customWidth="1"/>
    <col min="22" max="22" width="9.28515625" style="12" bestFit="1" customWidth="1"/>
    <col min="23" max="23" width="11.42578125" style="12" bestFit="1" customWidth="1"/>
    <col min="24" max="262" width="9.140625" style="12"/>
    <col min="263" max="275" width="10.7109375" style="12" customWidth="1"/>
    <col min="276" max="518" width="9.140625" style="12"/>
    <col min="519" max="531" width="10.7109375" style="12" customWidth="1"/>
    <col min="532" max="774" width="9.140625" style="12"/>
    <col min="775" max="787" width="10.7109375" style="12" customWidth="1"/>
    <col min="788" max="1030" width="9.140625" style="12"/>
    <col min="1031" max="1043" width="10.7109375" style="12" customWidth="1"/>
    <col min="1044" max="1286" width="9.140625" style="12"/>
    <col min="1287" max="1299" width="10.7109375" style="12" customWidth="1"/>
    <col min="1300" max="1542" width="9.140625" style="12"/>
    <col min="1543" max="1555" width="10.7109375" style="12" customWidth="1"/>
    <col min="1556" max="1798" width="9.140625" style="12"/>
    <col min="1799" max="1811" width="10.7109375" style="12" customWidth="1"/>
    <col min="1812" max="2054" width="9.140625" style="12"/>
    <col min="2055" max="2067" width="10.7109375" style="12" customWidth="1"/>
    <col min="2068" max="2310" width="9.140625" style="12"/>
    <col min="2311" max="2323" width="10.7109375" style="12" customWidth="1"/>
    <col min="2324" max="2566" width="9.140625" style="12"/>
    <col min="2567" max="2579" width="10.7109375" style="12" customWidth="1"/>
    <col min="2580" max="2822" width="9.140625" style="12"/>
    <col min="2823" max="2835" width="10.7109375" style="12" customWidth="1"/>
    <col min="2836" max="3078" width="9.140625" style="12"/>
    <col min="3079" max="3091" width="10.7109375" style="12" customWidth="1"/>
    <col min="3092" max="3334" width="9.140625" style="12"/>
    <col min="3335" max="3347" width="10.7109375" style="12" customWidth="1"/>
    <col min="3348" max="3590" width="9.140625" style="12"/>
    <col min="3591" max="3603" width="10.7109375" style="12" customWidth="1"/>
    <col min="3604" max="3846" width="9.140625" style="12"/>
    <col min="3847" max="3859" width="10.7109375" style="12" customWidth="1"/>
    <col min="3860" max="4102" width="9.140625" style="12"/>
    <col min="4103" max="4115" width="10.7109375" style="12" customWidth="1"/>
    <col min="4116" max="4358" width="9.140625" style="12"/>
    <col min="4359" max="4371" width="10.7109375" style="12" customWidth="1"/>
    <col min="4372" max="4614" width="9.140625" style="12"/>
    <col min="4615" max="4627" width="10.7109375" style="12" customWidth="1"/>
    <col min="4628" max="4870" width="9.140625" style="12"/>
    <col min="4871" max="4883" width="10.7109375" style="12" customWidth="1"/>
    <col min="4884" max="5126" width="9.140625" style="12"/>
    <col min="5127" max="5139" width="10.7109375" style="12" customWidth="1"/>
    <col min="5140" max="5382" width="9.140625" style="12"/>
    <col min="5383" max="5395" width="10.7109375" style="12" customWidth="1"/>
    <col min="5396" max="5638" width="9.140625" style="12"/>
    <col min="5639" max="5651" width="10.7109375" style="12" customWidth="1"/>
    <col min="5652" max="5894" width="9.140625" style="12"/>
    <col min="5895" max="5907" width="10.7109375" style="12" customWidth="1"/>
    <col min="5908" max="6150" width="9.140625" style="12"/>
    <col min="6151" max="6163" width="10.7109375" style="12" customWidth="1"/>
    <col min="6164" max="6406" width="9.140625" style="12"/>
    <col min="6407" max="6419" width="10.7109375" style="12" customWidth="1"/>
    <col min="6420" max="6662" width="9.140625" style="12"/>
    <col min="6663" max="6675" width="10.7109375" style="12" customWidth="1"/>
    <col min="6676" max="6918" width="9.140625" style="12"/>
    <col min="6919" max="6931" width="10.7109375" style="12" customWidth="1"/>
    <col min="6932" max="7174" width="9.140625" style="12"/>
    <col min="7175" max="7187" width="10.7109375" style="12" customWidth="1"/>
    <col min="7188" max="7430" width="9.140625" style="12"/>
    <col min="7431" max="7443" width="10.7109375" style="12" customWidth="1"/>
    <col min="7444" max="7686" width="9.140625" style="12"/>
    <col min="7687" max="7699" width="10.7109375" style="12" customWidth="1"/>
    <col min="7700" max="7942" width="9.140625" style="12"/>
    <col min="7943" max="7955" width="10.7109375" style="12" customWidth="1"/>
    <col min="7956" max="8198" width="9.140625" style="12"/>
    <col min="8199" max="8211" width="10.7109375" style="12" customWidth="1"/>
    <col min="8212" max="8454" width="9.140625" style="12"/>
    <col min="8455" max="8467" width="10.7109375" style="12" customWidth="1"/>
    <col min="8468" max="8710" width="9.140625" style="12"/>
    <col min="8711" max="8723" width="10.7109375" style="12" customWidth="1"/>
    <col min="8724" max="8966" width="9.140625" style="12"/>
    <col min="8967" max="8979" width="10.7109375" style="12" customWidth="1"/>
    <col min="8980" max="9222" width="9.140625" style="12"/>
    <col min="9223" max="9235" width="10.7109375" style="12" customWidth="1"/>
    <col min="9236" max="9478" width="9.140625" style="12"/>
    <col min="9479" max="9491" width="10.7109375" style="12" customWidth="1"/>
    <col min="9492" max="9734" width="9.140625" style="12"/>
    <col min="9735" max="9747" width="10.7109375" style="12" customWidth="1"/>
    <col min="9748" max="9990" width="9.140625" style="12"/>
    <col min="9991" max="10003" width="10.7109375" style="12" customWidth="1"/>
    <col min="10004" max="10246" width="9.140625" style="12"/>
    <col min="10247" max="10259" width="10.7109375" style="12" customWidth="1"/>
    <col min="10260" max="10502" width="9.140625" style="12"/>
    <col min="10503" max="10515" width="10.7109375" style="12" customWidth="1"/>
    <col min="10516" max="10758" width="9.140625" style="12"/>
    <col min="10759" max="10771" width="10.7109375" style="12" customWidth="1"/>
    <col min="10772" max="11014" width="9.140625" style="12"/>
    <col min="11015" max="11027" width="10.7109375" style="12" customWidth="1"/>
    <col min="11028" max="11270" width="9.140625" style="12"/>
    <col min="11271" max="11283" width="10.7109375" style="12" customWidth="1"/>
    <col min="11284" max="11526" width="9.140625" style="12"/>
    <col min="11527" max="11539" width="10.7109375" style="12" customWidth="1"/>
    <col min="11540" max="11782" width="9.140625" style="12"/>
    <col min="11783" max="11795" width="10.7109375" style="12" customWidth="1"/>
    <col min="11796" max="12038" width="9.140625" style="12"/>
    <col min="12039" max="12051" width="10.7109375" style="12" customWidth="1"/>
    <col min="12052" max="12294" width="9.140625" style="12"/>
    <col min="12295" max="12307" width="10.7109375" style="12" customWidth="1"/>
    <col min="12308" max="12550" width="9.140625" style="12"/>
    <col min="12551" max="12563" width="10.7109375" style="12" customWidth="1"/>
    <col min="12564" max="12806" width="9.140625" style="12"/>
    <col min="12807" max="12819" width="10.7109375" style="12" customWidth="1"/>
    <col min="12820" max="13062" width="9.140625" style="12"/>
    <col min="13063" max="13075" width="10.7109375" style="12" customWidth="1"/>
    <col min="13076" max="13318" width="9.140625" style="12"/>
    <col min="13319" max="13331" width="10.7109375" style="12" customWidth="1"/>
    <col min="13332" max="13574" width="9.140625" style="12"/>
    <col min="13575" max="13587" width="10.7109375" style="12" customWidth="1"/>
    <col min="13588" max="13830" width="9.140625" style="12"/>
    <col min="13831" max="13843" width="10.7109375" style="12" customWidth="1"/>
    <col min="13844" max="14086" width="9.140625" style="12"/>
    <col min="14087" max="14099" width="10.7109375" style="12" customWidth="1"/>
    <col min="14100" max="14342" width="9.140625" style="12"/>
    <col min="14343" max="14355" width="10.7109375" style="12" customWidth="1"/>
    <col min="14356" max="14598" width="9.140625" style="12"/>
    <col min="14599" max="14611" width="10.7109375" style="12" customWidth="1"/>
    <col min="14612" max="14854" width="9.140625" style="12"/>
    <col min="14855" max="14867" width="10.7109375" style="12" customWidth="1"/>
    <col min="14868" max="15110" width="9.140625" style="12"/>
    <col min="15111" max="15123" width="10.7109375" style="12" customWidth="1"/>
    <col min="15124" max="15366" width="9.140625" style="12"/>
    <col min="15367" max="15379" width="10.7109375" style="12" customWidth="1"/>
    <col min="15380" max="15622" width="9.140625" style="12"/>
    <col min="15623" max="15635" width="10.7109375" style="12" customWidth="1"/>
    <col min="15636" max="15878" width="9.140625" style="12"/>
    <col min="15879" max="15891" width="10.7109375" style="12" customWidth="1"/>
    <col min="15892" max="16134" width="9.140625" style="12"/>
    <col min="16135" max="16147" width="10.7109375" style="12" customWidth="1"/>
    <col min="16148" max="16384" width="9.140625" style="12"/>
  </cols>
  <sheetData>
    <row r="1" spans="1:36" ht="18">
      <c r="A1" s="448" t="s">
        <v>302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</row>
    <row r="2" spans="1:36" ht="6" customHeight="1">
      <c r="A2" s="257"/>
      <c r="B2" s="462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</row>
    <row r="3" spans="1:36" ht="18" customHeight="1">
      <c r="A3" s="268">
        <f>'3.1'!A4</f>
        <v>2022</v>
      </c>
      <c r="B3" s="454" t="s">
        <v>160</v>
      </c>
      <c r="C3" s="457"/>
      <c r="D3" s="457"/>
      <c r="E3" s="457"/>
      <c r="F3" s="457"/>
      <c r="G3" s="456"/>
      <c r="H3" s="457" t="s">
        <v>60</v>
      </c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</row>
    <row r="4" spans="1:36" ht="18" customHeight="1">
      <c r="A4" s="211"/>
      <c r="B4" s="265"/>
      <c r="C4" s="266"/>
      <c r="D4" s="266"/>
      <c r="E4" s="266"/>
      <c r="F4" s="266"/>
      <c r="G4" s="267"/>
      <c r="H4" s="269" t="s">
        <v>266</v>
      </c>
      <c r="I4" s="269"/>
      <c r="J4" s="269"/>
      <c r="K4" s="269"/>
      <c r="L4" s="269"/>
      <c r="M4" s="464" t="s">
        <v>272</v>
      </c>
      <c r="N4" s="269"/>
      <c r="O4" s="270" t="s">
        <v>223</v>
      </c>
      <c r="P4" s="269"/>
      <c r="Q4" s="269"/>
      <c r="R4" s="269"/>
      <c r="S4" s="269"/>
      <c r="T4" s="464" t="s">
        <v>272</v>
      </c>
      <c r="U4" s="269"/>
    </row>
    <row r="5" spans="1:36" ht="16.5" customHeight="1">
      <c r="A5" s="214"/>
      <c r="B5" s="249" t="s">
        <v>4</v>
      </c>
      <c r="C5" s="250" t="s">
        <v>5</v>
      </c>
      <c r="D5" s="195" t="s">
        <v>6</v>
      </c>
      <c r="E5" s="250" t="s">
        <v>7</v>
      </c>
      <c r="F5" s="250" t="s">
        <v>93</v>
      </c>
      <c r="G5" s="251" t="s">
        <v>0</v>
      </c>
      <c r="H5" s="250" t="s">
        <v>4</v>
      </c>
      <c r="I5" s="250" t="s">
        <v>5</v>
      </c>
      <c r="J5" s="195" t="s">
        <v>6</v>
      </c>
      <c r="K5" s="250" t="s">
        <v>7</v>
      </c>
      <c r="L5" s="250" t="s">
        <v>93</v>
      </c>
      <c r="M5" s="465"/>
      <c r="N5" s="250" t="s">
        <v>0</v>
      </c>
      <c r="O5" s="249" t="s">
        <v>4</v>
      </c>
      <c r="P5" s="250" t="s">
        <v>5</v>
      </c>
      <c r="Q5" s="195" t="s">
        <v>6</v>
      </c>
      <c r="R5" s="250" t="s">
        <v>7</v>
      </c>
      <c r="S5" s="250" t="s">
        <v>93</v>
      </c>
      <c r="T5" s="465"/>
      <c r="U5" s="250" t="s">
        <v>0</v>
      </c>
    </row>
    <row r="6" spans="1:36" ht="12.95" customHeight="1">
      <c r="A6" s="177" t="s">
        <v>161</v>
      </c>
      <c r="B6" s="260">
        <v>1589</v>
      </c>
      <c r="C6" s="253">
        <v>6422</v>
      </c>
      <c r="D6" s="256">
        <v>206565</v>
      </c>
      <c r="E6" s="256">
        <v>2603081</v>
      </c>
      <c r="F6" s="256">
        <v>269</v>
      </c>
      <c r="G6" s="262">
        <v>2817926</v>
      </c>
      <c r="H6" s="178">
        <v>417.8761824965423</v>
      </c>
      <c r="I6" s="178">
        <v>113.89226187318174</v>
      </c>
      <c r="J6" s="179">
        <v>194.25971169325581</v>
      </c>
      <c r="K6" s="179">
        <v>376.53221797080107</v>
      </c>
      <c r="L6" s="179">
        <v>8.1911284262710922</v>
      </c>
      <c r="M6" s="179">
        <v>23.511330737856248</v>
      </c>
      <c r="N6" s="179">
        <v>1134.2628331979081</v>
      </c>
      <c r="O6" s="184">
        <v>4464.9772652500005</v>
      </c>
      <c r="P6" s="178">
        <v>1216.8533480500002</v>
      </c>
      <c r="Q6" s="179">
        <v>2075.4122010419997</v>
      </c>
      <c r="R6" s="179">
        <v>4022.5961266499999</v>
      </c>
      <c r="S6" s="179">
        <v>87.494825248000012</v>
      </c>
      <c r="T6" s="179">
        <v>251.45584312599999</v>
      </c>
      <c r="U6" s="179">
        <v>12118.789609366</v>
      </c>
      <c r="V6" s="5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12.95" customHeight="1">
      <c r="A7" s="177" t="s">
        <v>162</v>
      </c>
      <c r="B7" s="260">
        <v>1604</v>
      </c>
      <c r="C7" s="256">
        <v>6404</v>
      </c>
      <c r="D7" s="256">
        <v>206570</v>
      </c>
      <c r="E7" s="256">
        <v>2601500</v>
      </c>
      <c r="F7" s="256">
        <v>267</v>
      </c>
      <c r="G7" s="262">
        <v>2816345</v>
      </c>
      <c r="H7" s="178">
        <v>333.16496980097912</v>
      </c>
      <c r="I7" s="179">
        <v>88.552413955088454</v>
      </c>
      <c r="J7" s="179">
        <v>149.38257536260662</v>
      </c>
      <c r="K7" s="179">
        <v>289.3871280833709</v>
      </c>
      <c r="L7" s="179">
        <v>7.9088505263358826</v>
      </c>
      <c r="M7" s="179">
        <v>22.104462365356802</v>
      </c>
      <c r="N7" s="179">
        <v>890.50040009373788</v>
      </c>
      <c r="O7" s="184">
        <v>3563.7369240569997</v>
      </c>
      <c r="P7" s="179">
        <v>947.62199068999973</v>
      </c>
      <c r="Q7" s="179">
        <v>1598.3664674999998</v>
      </c>
      <c r="R7" s="179">
        <v>3095.9852085000002</v>
      </c>
      <c r="S7" s="179">
        <v>84.59846069000001</v>
      </c>
      <c r="T7" s="179">
        <v>236.65974078100004</v>
      </c>
      <c r="U7" s="179">
        <v>9526.9687922179983</v>
      </c>
      <c r="V7" s="58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2.95" customHeight="1">
      <c r="A8" s="180" t="s">
        <v>163</v>
      </c>
      <c r="B8" s="261">
        <v>1590</v>
      </c>
      <c r="C8" s="259">
        <v>6333</v>
      </c>
      <c r="D8" s="259">
        <v>206703</v>
      </c>
      <c r="E8" s="259">
        <v>2598845</v>
      </c>
      <c r="F8" s="259">
        <v>266</v>
      </c>
      <c r="G8" s="263">
        <v>2813737</v>
      </c>
      <c r="H8" s="181">
        <v>379.5177550534919</v>
      </c>
      <c r="I8" s="182">
        <v>89.034741068460633</v>
      </c>
      <c r="J8" s="182">
        <v>148.29408307661922</v>
      </c>
      <c r="K8" s="182">
        <v>278.02440668042067</v>
      </c>
      <c r="L8" s="182">
        <v>8.4542786574713151</v>
      </c>
      <c r="M8" s="182">
        <v>19.294227898231501</v>
      </c>
      <c r="N8" s="182">
        <v>922.61949243469508</v>
      </c>
      <c r="O8" s="185">
        <v>4077.0794042900002</v>
      </c>
      <c r="P8" s="182">
        <v>956.47539709999967</v>
      </c>
      <c r="Q8" s="182">
        <v>1592.6357480540948</v>
      </c>
      <c r="R8" s="182">
        <v>2985.2951682687376</v>
      </c>
      <c r="S8" s="182">
        <v>90.752821179999984</v>
      </c>
      <c r="T8" s="182">
        <v>207.21545435699989</v>
      </c>
      <c r="U8" s="182">
        <v>9909.4539932498319</v>
      </c>
      <c r="V8" s="5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ht="12.95" customHeight="1">
      <c r="A9" s="177" t="s">
        <v>164</v>
      </c>
      <c r="B9" s="260"/>
      <c r="C9" s="256"/>
      <c r="D9" s="256"/>
      <c r="E9" s="256"/>
      <c r="F9" s="256"/>
      <c r="G9" s="262"/>
      <c r="H9" s="178"/>
      <c r="I9" s="179"/>
      <c r="J9" s="179"/>
      <c r="K9" s="179"/>
      <c r="L9" s="179"/>
      <c r="M9" s="179"/>
      <c r="N9" s="179"/>
      <c r="O9" s="184"/>
      <c r="P9" s="179"/>
      <c r="Q9" s="179"/>
      <c r="R9" s="179"/>
      <c r="S9" s="179"/>
      <c r="T9" s="179"/>
      <c r="U9" s="179"/>
      <c r="V9" s="58"/>
      <c r="W9" s="57"/>
      <c r="X9" s="57"/>
      <c r="Y9" s="57"/>
    </row>
    <row r="10" spans="1:36" ht="12.95" customHeight="1">
      <c r="A10" s="177" t="s">
        <v>165</v>
      </c>
      <c r="B10" s="260"/>
      <c r="C10" s="256"/>
      <c r="D10" s="256"/>
      <c r="E10" s="256"/>
      <c r="F10" s="256"/>
      <c r="G10" s="262"/>
      <c r="H10" s="178"/>
      <c r="I10" s="179"/>
      <c r="J10" s="179"/>
      <c r="K10" s="179"/>
      <c r="L10" s="179"/>
      <c r="M10" s="179"/>
      <c r="N10" s="179"/>
      <c r="O10" s="184"/>
      <c r="P10" s="179"/>
      <c r="Q10" s="179"/>
      <c r="R10" s="179"/>
      <c r="S10" s="179"/>
      <c r="T10" s="179"/>
      <c r="U10" s="179"/>
      <c r="V10" s="58"/>
      <c r="W10" s="57"/>
      <c r="X10" s="57"/>
      <c r="Y10" s="57"/>
    </row>
    <row r="11" spans="1:36" ht="12.95" customHeight="1">
      <c r="A11" s="180" t="s">
        <v>166</v>
      </c>
      <c r="B11" s="261"/>
      <c r="C11" s="259"/>
      <c r="D11" s="259"/>
      <c r="E11" s="259"/>
      <c r="F11" s="259"/>
      <c r="G11" s="263"/>
      <c r="H11" s="181"/>
      <c r="I11" s="182"/>
      <c r="J11" s="182"/>
      <c r="K11" s="182"/>
      <c r="L11" s="182"/>
      <c r="M11" s="182"/>
      <c r="N11" s="182"/>
      <c r="O11" s="185"/>
      <c r="P11" s="182"/>
      <c r="Q11" s="182"/>
      <c r="R11" s="182"/>
      <c r="S11" s="182"/>
      <c r="T11" s="182"/>
      <c r="U11" s="182"/>
      <c r="V11" s="58"/>
      <c r="W11" s="57"/>
      <c r="X11" s="57"/>
      <c r="Y11" s="57"/>
    </row>
    <row r="12" spans="1:36" ht="12.95" customHeight="1">
      <c r="A12" s="177" t="s">
        <v>167</v>
      </c>
      <c r="B12" s="260"/>
      <c r="C12" s="256"/>
      <c r="D12" s="256"/>
      <c r="E12" s="256"/>
      <c r="F12" s="256"/>
      <c r="G12" s="262"/>
      <c r="H12" s="178"/>
      <c r="I12" s="179"/>
      <c r="J12" s="179"/>
      <c r="K12" s="179"/>
      <c r="L12" s="179"/>
      <c r="M12" s="179"/>
      <c r="N12" s="179"/>
      <c r="O12" s="184"/>
      <c r="P12" s="179"/>
      <c r="Q12" s="179"/>
      <c r="R12" s="179"/>
      <c r="S12" s="179"/>
      <c r="T12" s="179"/>
      <c r="U12" s="179"/>
      <c r="V12" s="58"/>
      <c r="W12" s="57"/>
      <c r="X12" s="57"/>
      <c r="Y12" s="57"/>
    </row>
    <row r="13" spans="1:36" ht="12.95" customHeight="1">
      <c r="A13" s="177" t="s">
        <v>168</v>
      </c>
      <c r="B13" s="260"/>
      <c r="C13" s="256"/>
      <c r="D13" s="256"/>
      <c r="E13" s="256"/>
      <c r="F13" s="256"/>
      <c r="G13" s="262"/>
      <c r="H13" s="178"/>
      <c r="I13" s="179"/>
      <c r="J13" s="179"/>
      <c r="K13" s="179"/>
      <c r="L13" s="179"/>
      <c r="M13" s="179"/>
      <c r="N13" s="179"/>
      <c r="O13" s="184"/>
      <c r="P13" s="179"/>
      <c r="Q13" s="179"/>
      <c r="R13" s="179"/>
      <c r="S13" s="179"/>
      <c r="T13" s="179"/>
      <c r="U13" s="179"/>
      <c r="V13" s="58"/>
      <c r="W13" s="57"/>
      <c r="X13" s="57"/>
      <c r="Y13" s="57"/>
    </row>
    <row r="14" spans="1:36" ht="12.95" customHeight="1">
      <c r="A14" s="180" t="s">
        <v>169</v>
      </c>
      <c r="B14" s="261"/>
      <c r="C14" s="259"/>
      <c r="D14" s="259"/>
      <c r="E14" s="259"/>
      <c r="F14" s="259"/>
      <c r="G14" s="263"/>
      <c r="H14" s="181"/>
      <c r="I14" s="182"/>
      <c r="J14" s="182"/>
      <c r="K14" s="182"/>
      <c r="L14" s="182"/>
      <c r="M14" s="182"/>
      <c r="N14" s="182"/>
      <c r="O14" s="185"/>
      <c r="P14" s="182"/>
      <c r="Q14" s="182"/>
      <c r="R14" s="182"/>
      <c r="S14" s="182"/>
      <c r="T14" s="182"/>
      <c r="U14" s="182"/>
      <c r="V14" s="58"/>
      <c r="W14" s="57"/>
      <c r="X14" s="57"/>
      <c r="Y14" s="57"/>
    </row>
    <row r="15" spans="1:36" ht="12.95" customHeight="1">
      <c r="A15" s="177" t="s">
        <v>170</v>
      </c>
      <c r="B15" s="260"/>
      <c r="C15" s="256"/>
      <c r="D15" s="256"/>
      <c r="E15" s="256"/>
      <c r="F15" s="256"/>
      <c r="G15" s="262"/>
      <c r="H15" s="178"/>
      <c r="I15" s="179"/>
      <c r="J15" s="179"/>
      <c r="K15" s="179"/>
      <c r="L15" s="179"/>
      <c r="M15" s="179"/>
      <c r="N15" s="179"/>
      <c r="O15" s="184"/>
      <c r="P15" s="179"/>
      <c r="Q15" s="179"/>
      <c r="R15" s="179"/>
      <c r="S15" s="179"/>
      <c r="T15" s="179"/>
      <c r="U15" s="179"/>
      <c r="V15" s="58"/>
      <c r="W15" s="57"/>
      <c r="X15" s="57"/>
      <c r="Y15" s="57"/>
    </row>
    <row r="16" spans="1:36" ht="12.95" customHeight="1">
      <c r="A16" s="177" t="s">
        <v>171</v>
      </c>
      <c r="B16" s="260"/>
      <c r="C16" s="256"/>
      <c r="D16" s="256"/>
      <c r="E16" s="256"/>
      <c r="F16" s="256"/>
      <c r="G16" s="262"/>
      <c r="H16" s="178"/>
      <c r="I16" s="179"/>
      <c r="J16" s="179"/>
      <c r="K16" s="179"/>
      <c r="L16" s="179"/>
      <c r="M16" s="179"/>
      <c r="N16" s="179"/>
      <c r="O16" s="184"/>
      <c r="P16" s="179"/>
      <c r="Q16" s="179"/>
      <c r="R16" s="179"/>
      <c r="S16" s="179"/>
      <c r="T16" s="179"/>
      <c r="U16" s="179"/>
      <c r="V16" s="58"/>
      <c r="W16" s="57"/>
      <c r="X16" s="57"/>
      <c r="Y16" s="57"/>
    </row>
    <row r="17" spans="1:25" ht="12.95" customHeight="1">
      <c r="A17" s="180" t="s">
        <v>172</v>
      </c>
      <c r="B17" s="261"/>
      <c r="C17" s="259"/>
      <c r="D17" s="259"/>
      <c r="E17" s="259"/>
      <c r="F17" s="259"/>
      <c r="G17" s="263"/>
      <c r="H17" s="181"/>
      <c r="I17" s="182"/>
      <c r="J17" s="182"/>
      <c r="K17" s="182"/>
      <c r="L17" s="182"/>
      <c r="M17" s="182"/>
      <c r="N17" s="182"/>
      <c r="O17" s="185"/>
      <c r="P17" s="182"/>
      <c r="Q17" s="182"/>
      <c r="R17" s="182"/>
      <c r="S17" s="182"/>
      <c r="T17" s="182"/>
      <c r="U17" s="182"/>
      <c r="V17" s="58"/>
      <c r="W17" s="57"/>
      <c r="X17" s="57"/>
      <c r="Y17" s="57"/>
    </row>
    <row r="18" spans="1:25" ht="12.95" customHeight="1">
      <c r="A18" s="177" t="s">
        <v>48</v>
      </c>
      <c r="B18" s="260">
        <f>B8</f>
        <v>1590</v>
      </c>
      <c r="C18" s="253">
        <f t="shared" ref="C18:E18" si="0">C8</f>
        <v>6333</v>
      </c>
      <c r="D18" s="253">
        <f t="shared" si="0"/>
        <v>206703</v>
      </c>
      <c r="E18" s="253">
        <f t="shared" si="0"/>
        <v>2598845</v>
      </c>
      <c r="F18" s="253">
        <f t="shared" ref="F18" si="1">F8</f>
        <v>266</v>
      </c>
      <c r="G18" s="264">
        <f>G8</f>
        <v>2813737</v>
      </c>
      <c r="H18" s="178">
        <f>SUM(H6:H8)</f>
        <v>1130.5589073510132</v>
      </c>
      <c r="I18" s="178">
        <f>SUM(I6:I8)</f>
        <v>291.47941689673081</v>
      </c>
      <c r="J18" s="178">
        <f t="shared" ref="J18:K18" si="2">SUM(J6:J8)</f>
        <v>491.93637013248167</v>
      </c>
      <c r="K18" s="178">
        <f t="shared" si="2"/>
        <v>943.94375273459264</v>
      </c>
      <c r="L18" s="178">
        <f t="shared" ref="L18" si="3">SUM(L6:L8)</f>
        <v>24.554257610078288</v>
      </c>
      <c r="M18" s="178">
        <f t="shared" ref="M18" si="4">SUM(M6:M8)</f>
        <v>64.910021001444548</v>
      </c>
      <c r="N18" s="178">
        <f>SUM(N6:N8)</f>
        <v>2947.3827257263411</v>
      </c>
      <c r="O18" s="184">
        <f>SUM(O6:O8)</f>
        <v>12105.793593597</v>
      </c>
      <c r="P18" s="178">
        <f>SUM(P6:P8)</f>
        <v>3120.9507358399997</v>
      </c>
      <c r="Q18" s="178">
        <f t="shared" ref="Q18:U18" si="5">SUM(Q6:Q8)</f>
        <v>5266.4144165960943</v>
      </c>
      <c r="R18" s="178">
        <f t="shared" si="5"/>
        <v>10103.876503418738</v>
      </c>
      <c r="S18" s="178">
        <f t="shared" ref="S18" si="6">SUM(S6:S8)</f>
        <v>262.84610711799996</v>
      </c>
      <c r="T18" s="178">
        <f t="shared" ref="T18" si="7">SUM(T6:T8)</f>
        <v>695.33103826399997</v>
      </c>
      <c r="U18" s="178">
        <f t="shared" si="5"/>
        <v>31555.212394833827</v>
      </c>
    </row>
    <row r="19" spans="1:25" ht="12.95" customHeight="1">
      <c r="A19" s="177" t="s">
        <v>56</v>
      </c>
      <c r="B19" s="361">
        <f>B11</f>
        <v>0</v>
      </c>
      <c r="C19" s="254">
        <f t="shared" ref="C19:G19" si="8">C11</f>
        <v>0</v>
      </c>
      <c r="D19" s="254">
        <f t="shared" si="8"/>
        <v>0</v>
      </c>
      <c r="E19" s="254">
        <f t="shared" si="8"/>
        <v>0</v>
      </c>
      <c r="F19" s="254">
        <f t="shared" ref="F19" si="9">F11</f>
        <v>0</v>
      </c>
      <c r="G19" s="362">
        <f t="shared" si="8"/>
        <v>0</v>
      </c>
      <c r="H19" s="255">
        <f>SUM(H9:H11)</f>
        <v>0</v>
      </c>
      <c r="I19" s="255">
        <f>SUM(I9:I11)</f>
        <v>0</v>
      </c>
      <c r="J19" s="255">
        <f t="shared" ref="J19:N19" si="10">SUM(J9:J11)</f>
        <v>0</v>
      </c>
      <c r="K19" s="255">
        <f t="shared" si="10"/>
        <v>0</v>
      </c>
      <c r="L19" s="255">
        <f t="shared" ref="L19" si="11">SUM(L9:L11)</f>
        <v>0</v>
      </c>
      <c r="M19" s="255">
        <f t="shared" ref="M19" si="12">SUM(M9:M11)</f>
        <v>0</v>
      </c>
      <c r="N19" s="255">
        <f t="shared" si="10"/>
        <v>0</v>
      </c>
      <c r="O19" s="400">
        <f>SUM(O9:O11)</f>
        <v>0</v>
      </c>
      <c r="P19" s="255">
        <f>SUM(P9:P11)</f>
        <v>0</v>
      </c>
      <c r="Q19" s="255">
        <f t="shared" ref="Q19:U19" si="13">SUM(Q9:Q11)</f>
        <v>0</v>
      </c>
      <c r="R19" s="255">
        <f t="shared" si="13"/>
        <v>0</v>
      </c>
      <c r="S19" s="255">
        <f t="shared" ref="S19" si="14">SUM(S9:S11)</f>
        <v>0</v>
      </c>
      <c r="T19" s="255">
        <f t="shared" ref="T19" si="15">SUM(T9:T11)</f>
        <v>0</v>
      </c>
      <c r="U19" s="255">
        <f t="shared" si="13"/>
        <v>0</v>
      </c>
    </row>
    <row r="20" spans="1:25" ht="12.95" customHeight="1">
      <c r="A20" s="177" t="s">
        <v>63</v>
      </c>
      <c r="B20" s="361">
        <f>B14</f>
        <v>0</v>
      </c>
      <c r="C20" s="254">
        <f t="shared" ref="C20:G20" si="16">C14</f>
        <v>0</v>
      </c>
      <c r="D20" s="254">
        <f t="shared" si="16"/>
        <v>0</v>
      </c>
      <c r="E20" s="254">
        <f t="shared" si="16"/>
        <v>0</v>
      </c>
      <c r="F20" s="254">
        <f t="shared" ref="F20" si="17">F14</f>
        <v>0</v>
      </c>
      <c r="G20" s="362">
        <f t="shared" si="16"/>
        <v>0</v>
      </c>
      <c r="H20" s="255">
        <f>SUM(H12:H14)</f>
        <v>0</v>
      </c>
      <c r="I20" s="255">
        <f>SUM(I12:I14)</f>
        <v>0</v>
      </c>
      <c r="J20" s="255">
        <f t="shared" ref="J20:N20" si="18">SUM(J12:J14)</f>
        <v>0</v>
      </c>
      <c r="K20" s="255">
        <f t="shared" si="18"/>
        <v>0</v>
      </c>
      <c r="L20" s="255">
        <f t="shared" ref="L20" si="19">SUM(L12:L14)</f>
        <v>0</v>
      </c>
      <c r="M20" s="255">
        <f t="shared" ref="M20" si="20">SUM(M12:M14)</f>
        <v>0</v>
      </c>
      <c r="N20" s="255">
        <f t="shared" si="18"/>
        <v>0</v>
      </c>
      <c r="O20" s="400">
        <f>SUM(O12:O14)</f>
        <v>0</v>
      </c>
      <c r="P20" s="255">
        <f>SUM(P12:P14)</f>
        <v>0</v>
      </c>
      <c r="Q20" s="255">
        <f t="shared" ref="Q20:U20" si="21">SUM(Q12:Q14)</f>
        <v>0</v>
      </c>
      <c r="R20" s="255">
        <f t="shared" si="21"/>
        <v>0</v>
      </c>
      <c r="S20" s="255">
        <f t="shared" ref="S20" si="22">SUM(S12:S14)</f>
        <v>0</v>
      </c>
      <c r="T20" s="255">
        <f t="shared" ref="T20" si="23">SUM(T12:T14)</f>
        <v>0</v>
      </c>
      <c r="U20" s="255">
        <f t="shared" si="21"/>
        <v>0</v>
      </c>
    </row>
    <row r="21" spans="1:25" ht="12.95" customHeight="1">
      <c r="A21" s="180" t="s">
        <v>57</v>
      </c>
      <c r="B21" s="363">
        <f>B17</f>
        <v>0</v>
      </c>
      <c r="C21" s="364">
        <f t="shared" ref="C21:E21" si="24">C17</f>
        <v>0</v>
      </c>
      <c r="D21" s="364">
        <f t="shared" si="24"/>
        <v>0</v>
      </c>
      <c r="E21" s="364">
        <f t="shared" si="24"/>
        <v>0</v>
      </c>
      <c r="F21" s="364">
        <f t="shared" ref="F21" si="25">F17</f>
        <v>0</v>
      </c>
      <c r="G21" s="365">
        <f>G17</f>
        <v>0</v>
      </c>
      <c r="H21" s="401">
        <f>SUM(H15:H17)</f>
        <v>0</v>
      </c>
      <c r="I21" s="401">
        <f>SUM(I15:I17)</f>
        <v>0</v>
      </c>
      <c r="J21" s="401">
        <f t="shared" ref="J21:N21" si="26">SUM(J15:J17)</f>
        <v>0</v>
      </c>
      <c r="K21" s="401">
        <f t="shared" si="26"/>
        <v>0</v>
      </c>
      <c r="L21" s="401">
        <f t="shared" ref="L21" si="27">SUM(L15:L17)</f>
        <v>0</v>
      </c>
      <c r="M21" s="401">
        <f t="shared" ref="M21" si="28">SUM(M15:M17)</f>
        <v>0</v>
      </c>
      <c r="N21" s="401">
        <f t="shared" si="26"/>
        <v>0</v>
      </c>
      <c r="O21" s="402">
        <f>SUM(O15:O17)</f>
        <v>0</v>
      </c>
      <c r="P21" s="401">
        <f>SUM(P15:P17)</f>
        <v>0</v>
      </c>
      <c r="Q21" s="401">
        <f t="shared" ref="Q21:U21" si="29">SUM(Q15:Q17)</f>
        <v>0</v>
      </c>
      <c r="R21" s="401">
        <f t="shared" si="29"/>
        <v>0</v>
      </c>
      <c r="S21" s="401">
        <f t="shared" ref="S21" si="30">SUM(S15:S17)</f>
        <v>0</v>
      </c>
      <c r="T21" s="401">
        <f t="shared" ref="T21" si="31">SUM(T15:T17)</f>
        <v>0</v>
      </c>
      <c r="U21" s="401">
        <f t="shared" si="29"/>
        <v>0</v>
      </c>
    </row>
    <row r="22" spans="1:25" ht="12.95" customHeight="1">
      <c r="A22" s="177" t="s">
        <v>58</v>
      </c>
      <c r="B22" s="361">
        <f>B11</f>
        <v>0</v>
      </c>
      <c r="C22" s="254">
        <f t="shared" ref="C22:G22" si="32">C11</f>
        <v>0</v>
      </c>
      <c r="D22" s="254">
        <f t="shared" si="32"/>
        <v>0</v>
      </c>
      <c r="E22" s="254">
        <f t="shared" si="32"/>
        <v>0</v>
      </c>
      <c r="F22" s="254">
        <f t="shared" ref="F22" si="33">F11</f>
        <v>0</v>
      </c>
      <c r="G22" s="362">
        <f t="shared" si="32"/>
        <v>0</v>
      </c>
      <c r="H22" s="255">
        <f>SUM(H6:H11)</f>
        <v>1130.5589073510132</v>
      </c>
      <c r="I22" s="255">
        <f>SUM(I6:I11)</f>
        <v>291.47941689673081</v>
      </c>
      <c r="J22" s="255">
        <f t="shared" ref="J22:N22" si="34">SUM(J6:J11)</f>
        <v>491.93637013248167</v>
      </c>
      <c r="K22" s="255">
        <f t="shared" si="34"/>
        <v>943.94375273459264</v>
      </c>
      <c r="L22" s="255">
        <f t="shared" ref="L22" si="35">SUM(L6:L11)</f>
        <v>24.554257610078288</v>
      </c>
      <c r="M22" s="255">
        <f t="shared" ref="M22" si="36">SUM(M6:M11)</f>
        <v>64.910021001444548</v>
      </c>
      <c r="N22" s="255">
        <f t="shared" si="34"/>
        <v>2947.3827257263411</v>
      </c>
      <c r="O22" s="400">
        <f>SUM(O6:O11)</f>
        <v>12105.793593597</v>
      </c>
      <c r="P22" s="255">
        <f>SUM(P6:P11)</f>
        <v>3120.9507358399997</v>
      </c>
      <c r="Q22" s="255">
        <f t="shared" ref="Q22:U22" si="37">SUM(Q6:Q11)</f>
        <v>5266.4144165960943</v>
      </c>
      <c r="R22" s="255">
        <f t="shared" si="37"/>
        <v>10103.876503418738</v>
      </c>
      <c r="S22" s="255">
        <f t="shared" ref="S22" si="38">SUM(S6:S11)</f>
        <v>262.84610711799996</v>
      </c>
      <c r="T22" s="255">
        <f t="shared" ref="T22" si="39">SUM(T6:T11)</f>
        <v>695.33103826399997</v>
      </c>
      <c r="U22" s="255">
        <f t="shared" si="37"/>
        <v>31555.212394833827</v>
      </c>
    </row>
    <row r="23" spans="1:25" ht="12.95" customHeight="1">
      <c r="A23" s="180" t="s">
        <v>59</v>
      </c>
      <c r="B23" s="363">
        <f>B17</f>
        <v>0</v>
      </c>
      <c r="C23" s="364">
        <f t="shared" ref="C23:G23" si="40">C17</f>
        <v>0</v>
      </c>
      <c r="D23" s="364">
        <f t="shared" si="40"/>
        <v>0</v>
      </c>
      <c r="E23" s="364">
        <f t="shared" si="40"/>
        <v>0</v>
      </c>
      <c r="F23" s="364">
        <f t="shared" ref="F23" si="41">F17</f>
        <v>0</v>
      </c>
      <c r="G23" s="365">
        <f t="shared" si="40"/>
        <v>0</v>
      </c>
      <c r="H23" s="401">
        <f>SUM(H12:H17)</f>
        <v>0</v>
      </c>
      <c r="I23" s="401">
        <f>SUM(I12:I17)</f>
        <v>0</v>
      </c>
      <c r="J23" s="401">
        <f t="shared" ref="J23:N23" si="42">SUM(J12:J17)</f>
        <v>0</v>
      </c>
      <c r="K23" s="401">
        <f t="shared" si="42"/>
        <v>0</v>
      </c>
      <c r="L23" s="401">
        <f t="shared" ref="L23" si="43">SUM(L12:L17)</f>
        <v>0</v>
      </c>
      <c r="M23" s="401">
        <f t="shared" ref="M23" si="44">SUM(M12:M17)</f>
        <v>0</v>
      </c>
      <c r="N23" s="401">
        <f t="shared" si="42"/>
        <v>0</v>
      </c>
      <c r="O23" s="402">
        <f>SUM(O12:O17)</f>
        <v>0</v>
      </c>
      <c r="P23" s="401">
        <f>SUM(P12:P17)</f>
        <v>0</v>
      </c>
      <c r="Q23" s="401">
        <f t="shared" ref="Q23:U23" si="45">SUM(Q12:Q17)</f>
        <v>0</v>
      </c>
      <c r="R23" s="401">
        <f t="shared" si="45"/>
        <v>0</v>
      </c>
      <c r="S23" s="401">
        <f t="shared" ref="S23" si="46">SUM(S12:S17)</f>
        <v>0</v>
      </c>
      <c r="T23" s="401">
        <f t="shared" ref="T23" si="47">SUM(T12:T17)</f>
        <v>0</v>
      </c>
      <c r="U23" s="401">
        <f t="shared" si="45"/>
        <v>0</v>
      </c>
    </row>
    <row r="24" spans="1:25" ht="12.95" customHeight="1">
      <c r="A24" s="180" t="s">
        <v>173</v>
      </c>
      <c r="B24" s="363">
        <f>B17</f>
        <v>0</v>
      </c>
      <c r="C24" s="364">
        <f t="shared" ref="C24:G24" si="48">C17</f>
        <v>0</v>
      </c>
      <c r="D24" s="364">
        <f t="shared" si="48"/>
        <v>0</v>
      </c>
      <c r="E24" s="364">
        <f t="shared" si="48"/>
        <v>0</v>
      </c>
      <c r="F24" s="364">
        <f t="shared" ref="F24" si="49">F17</f>
        <v>0</v>
      </c>
      <c r="G24" s="365">
        <f t="shared" si="48"/>
        <v>0</v>
      </c>
      <c r="H24" s="401">
        <f>SUM(H6:H17)</f>
        <v>1130.5589073510132</v>
      </c>
      <c r="I24" s="401">
        <f>SUM(I6:I17)</f>
        <v>291.47941689673081</v>
      </c>
      <c r="J24" s="401">
        <f t="shared" ref="J24:N24" si="50">SUM(J6:J17)</f>
        <v>491.93637013248167</v>
      </c>
      <c r="K24" s="401">
        <f t="shared" si="50"/>
        <v>943.94375273459264</v>
      </c>
      <c r="L24" s="401">
        <f t="shared" ref="L24" si="51">SUM(L6:L17)</f>
        <v>24.554257610078288</v>
      </c>
      <c r="M24" s="401">
        <f t="shared" ref="M24" si="52">SUM(M6:M17)</f>
        <v>64.910021001444548</v>
      </c>
      <c r="N24" s="401">
        <f t="shared" si="50"/>
        <v>2947.3827257263411</v>
      </c>
      <c r="O24" s="402">
        <f>SUM(O6:O17)</f>
        <v>12105.793593597</v>
      </c>
      <c r="P24" s="401">
        <f>SUM(P6:P17)</f>
        <v>3120.9507358399997</v>
      </c>
      <c r="Q24" s="401">
        <f t="shared" ref="Q24:U24" si="53">SUM(Q6:Q17)</f>
        <v>5266.4144165960943</v>
      </c>
      <c r="R24" s="401">
        <f t="shared" si="53"/>
        <v>10103.876503418738</v>
      </c>
      <c r="S24" s="401">
        <f t="shared" ref="S24" si="54">SUM(S6:S17)</f>
        <v>262.84610711799996</v>
      </c>
      <c r="T24" s="401">
        <f t="shared" ref="T24" si="55">SUM(T6:T17)</f>
        <v>695.33103826399997</v>
      </c>
      <c r="U24" s="401">
        <f t="shared" si="53"/>
        <v>31555.212394833827</v>
      </c>
    </row>
    <row r="25" spans="1:25" ht="15" customHeight="1"/>
    <row r="26" spans="1:25" ht="26.1" customHeight="1">
      <c r="A26" s="445" t="s">
        <v>196</v>
      </c>
      <c r="B26" s="445"/>
      <c r="C26" s="445"/>
      <c r="D26" s="445"/>
      <c r="E26" s="445"/>
      <c r="F26" s="445"/>
      <c r="G26" s="445"/>
      <c r="H26" s="445"/>
      <c r="I26" s="445" t="s">
        <v>259</v>
      </c>
      <c r="J26" s="445"/>
      <c r="K26" s="445"/>
      <c r="L26" s="445"/>
      <c r="M26" s="445"/>
      <c r="N26" s="119"/>
      <c r="O26" s="119"/>
      <c r="P26" s="445" t="s">
        <v>260</v>
      </c>
      <c r="Q26" s="459"/>
      <c r="R26" s="459"/>
      <c r="S26" s="459"/>
      <c r="T26" s="459"/>
    </row>
    <row r="27" spans="1:25" ht="12" customHeight="1">
      <c r="A27" s="67"/>
      <c r="B27" s="70" t="str">
        <f>B5</f>
        <v>VO</v>
      </c>
      <c r="C27" s="70" t="str">
        <f t="shared" ref="C27:E27" si="56">C5</f>
        <v>SO</v>
      </c>
      <c r="D27" s="70" t="str">
        <f t="shared" si="56"/>
        <v>MO</v>
      </c>
      <c r="E27" s="70" t="str">
        <f t="shared" si="56"/>
        <v>DOM</v>
      </c>
      <c r="F27" s="70" t="str">
        <f>F5</f>
        <v>CNG</v>
      </c>
      <c r="G27" s="71"/>
      <c r="H27" s="72"/>
      <c r="I27" s="70" t="str">
        <f>H5</f>
        <v>VO</v>
      </c>
      <c r="J27" s="70" t="str">
        <f t="shared" ref="J27" si="57">I5</f>
        <v>SO</v>
      </c>
      <c r="K27" s="70" t="str">
        <f>J5</f>
        <v>MO</v>
      </c>
      <c r="L27" s="70" t="str">
        <f t="shared" ref="L27:M27" si="58">K5</f>
        <v>DOM</v>
      </c>
      <c r="M27" s="70" t="str">
        <f t="shared" si="58"/>
        <v>CNG</v>
      </c>
      <c r="N27" s="71"/>
      <c r="O27" s="73"/>
      <c r="P27" s="70" t="str">
        <f>O5</f>
        <v>VO</v>
      </c>
      <c r="Q27" s="70" t="str">
        <f t="shared" ref="Q27:T27" si="59">P5</f>
        <v>SO</v>
      </c>
      <c r="R27" s="70" t="str">
        <f t="shared" si="59"/>
        <v>MO</v>
      </c>
      <c r="S27" s="70" t="str">
        <f t="shared" si="59"/>
        <v>DOM</v>
      </c>
      <c r="T27" s="70" t="str">
        <f t="shared" si="59"/>
        <v>CNG</v>
      </c>
      <c r="U27" s="60"/>
    </row>
    <row r="28" spans="1:25" ht="12" customHeight="1">
      <c r="B28" s="74">
        <f>B18</f>
        <v>1590</v>
      </c>
      <c r="C28" s="74">
        <f>C18</f>
        <v>6333</v>
      </c>
      <c r="D28" s="74">
        <f t="shared" ref="D28:E28" si="60">D18</f>
        <v>206703</v>
      </c>
      <c r="E28" s="74">
        <f t="shared" si="60"/>
        <v>2598845</v>
      </c>
      <c r="F28" s="74">
        <f>F18</f>
        <v>266</v>
      </c>
      <c r="G28" s="62"/>
      <c r="H28" s="73" t="str">
        <f>A18</f>
        <v>I. čtvrtletí</v>
      </c>
      <c r="I28" s="75">
        <f>H18</f>
        <v>1130.5589073510132</v>
      </c>
      <c r="J28" s="75">
        <f t="shared" ref="J28:M28" si="61">I18</f>
        <v>291.47941689673081</v>
      </c>
      <c r="K28" s="75">
        <f t="shared" si="61"/>
        <v>491.93637013248167</v>
      </c>
      <c r="L28" s="75">
        <f t="shared" si="61"/>
        <v>943.94375273459264</v>
      </c>
      <c r="M28" s="75">
        <f t="shared" si="61"/>
        <v>24.554257610078288</v>
      </c>
      <c r="N28" s="61"/>
      <c r="O28" s="72" t="str">
        <f>A18</f>
        <v>I. čtvrtletí</v>
      </c>
      <c r="P28" s="74">
        <f>O18</f>
        <v>12105.793593597</v>
      </c>
      <c r="Q28" s="74">
        <f t="shared" ref="Q28:T28" si="62">P18</f>
        <v>3120.9507358399997</v>
      </c>
      <c r="R28" s="74">
        <f t="shared" si="62"/>
        <v>5266.4144165960943</v>
      </c>
      <c r="S28" s="74">
        <f t="shared" si="62"/>
        <v>10103.876503418738</v>
      </c>
      <c r="T28" s="74">
        <f t="shared" si="62"/>
        <v>262.84610711799996</v>
      </c>
      <c r="U28" s="63"/>
    </row>
    <row r="29" spans="1:25" ht="12" customHeight="1">
      <c r="B29" s="61"/>
      <c r="C29" s="61"/>
      <c r="D29" s="61"/>
      <c r="E29" s="62"/>
      <c r="F29" s="62"/>
      <c r="G29" s="62"/>
      <c r="H29" s="73" t="str">
        <f t="shared" ref="H29:H31" si="63">A19</f>
        <v>II. čtvrtletí</v>
      </c>
      <c r="I29" s="75">
        <f t="shared" ref="I29:M29" si="64">H19</f>
        <v>0</v>
      </c>
      <c r="J29" s="75">
        <f t="shared" si="64"/>
        <v>0</v>
      </c>
      <c r="K29" s="75">
        <f t="shared" si="64"/>
        <v>0</v>
      </c>
      <c r="L29" s="75">
        <f t="shared" si="64"/>
        <v>0</v>
      </c>
      <c r="M29" s="75">
        <f t="shared" si="64"/>
        <v>0</v>
      </c>
      <c r="N29" s="61"/>
      <c r="O29" s="72" t="str">
        <f t="shared" ref="O29:O31" si="65">A19</f>
        <v>II. čtvrtletí</v>
      </c>
      <c r="P29" s="74">
        <f t="shared" ref="P29:T29" si="66">O19</f>
        <v>0</v>
      </c>
      <c r="Q29" s="74">
        <f t="shared" si="66"/>
        <v>0</v>
      </c>
      <c r="R29" s="74">
        <f t="shared" si="66"/>
        <v>0</v>
      </c>
      <c r="S29" s="74">
        <f t="shared" si="66"/>
        <v>0</v>
      </c>
      <c r="T29" s="74">
        <f t="shared" si="66"/>
        <v>0</v>
      </c>
      <c r="U29" s="63"/>
    </row>
    <row r="30" spans="1:25" ht="12" customHeight="1">
      <c r="B30" s="61"/>
      <c r="C30" s="61"/>
      <c r="D30" s="61"/>
      <c r="E30" s="62"/>
      <c r="F30" s="62"/>
      <c r="G30" s="62"/>
      <c r="H30" s="73" t="str">
        <f t="shared" si="63"/>
        <v>III. čtvrtletí</v>
      </c>
      <c r="I30" s="75">
        <f t="shared" ref="I30:M30" si="67">H20</f>
        <v>0</v>
      </c>
      <c r="J30" s="75">
        <f t="shared" si="67"/>
        <v>0</v>
      </c>
      <c r="K30" s="75">
        <f t="shared" si="67"/>
        <v>0</v>
      </c>
      <c r="L30" s="75">
        <f t="shared" si="67"/>
        <v>0</v>
      </c>
      <c r="M30" s="75">
        <f t="shared" si="67"/>
        <v>0</v>
      </c>
      <c r="N30" s="61"/>
      <c r="O30" s="72" t="str">
        <f t="shared" si="65"/>
        <v>III. čtvrtletí</v>
      </c>
      <c r="P30" s="74">
        <f t="shared" ref="P30:T30" si="68">O20</f>
        <v>0</v>
      </c>
      <c r="Q30" s="74">
        <f t="shared" si="68"/>
        <v>0</v>
      </c>
      <c r="R30" s="74">
        <f t="shared" si="68"/>
        <v>0</v>
      </c>
      <c r="S30" s="74">
        <f t="shared" si="68"/>
        <v>0</v>
      </c>
      <c r="T30" s="74">
        <f t="shared" si="68"/>
        <v>0</v>
      </c>
      <c r="U30" s="63"/>
    </row>
    <row r="31" spans="1:25" ht="12" customHeight="1">
      <c r="B31" s="61"/>
      <c r="C31" s="61"/>
      <c r="D31" s="61"/>
      <c r="E31" s="62"/>
      <c r="F31" s="62"/>
      <c r="G31" s="62"/>
      <c r="H31" s="73" t="str">
        <f t="shared" si="63"/>
        <v>IV. čtvrtletí</v>
      </c>
      <c r="I31" s="75">
        <f t="shared" ref="I31:M31" si="69">H21</f>
        <v>0</v>
      </c>
      <c r="J31" s="75">
        <f t="shared" si="69"/>
        <v>0</v>
      </c>
      <c r="K31" s="75">
        <f t="shared" si="69"/>
        <v>0</v>
      </c>
      <c r="L31" s="75">
        <f t="shared" si="69"/>
        <v>0</v>
      </c>
      <c r="M31" s="75">
        <f t="shared" si="69"/>
        <v>0</v>
      </c>
      <c r="N31" s="61"/>
      <c r="O31" s="72" t="str">
        <f t="shared" si="65"/>
        <v>IV. čtvrtletí</v>
      </c>
      <c r="P31" s="74">
        <f t="shared" ref="P31:T31" si="70">O21</f>
        <v>0</v>
      </c>
      <c r="Q31" s="74">
        <f t="shared" si="70"/>
        <v>0</v>
      </c>
      <c r="R31" s="74">
        <f t="shared" si="70"/>
        <v>0</v>
      </c>
      <c r="S31" s="74">
        <f t="shared" si="70"/>
        <v>0</v>
      </c>
      <c r="T31" s="74">
        <f t="shared" si="70"/>
        <v>0</v>
      </c>
      <c r="U31" s="63"/>
    </row>
    <row r="32" spans="1:25" ht="12" customHeight="1">
      <c r="E32" s="63"/>
      <c r="F32" s="63"/>
      <c r="G32" s="63"/>
      <c r="H32" s="63"/>
      <c r="I32" s="63"/>
      <c r="Q32" s="63"/>
      <c r="R32" s="63"/>
      <c r="S32" s="63"/>
      <c r="T32" s="63"/>
      <c r="U32" s="63"/>
    </row>
    <row r="33" spans="4:21" ht="12" customHeight="1">
      <c r="D33" s="461"/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461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0:U23 H19:I19 J19:U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8</vt:i4>
      </vt:variant>
    </vt:vector>
  </HeadingPairs>
  <TitlesOfParts>
    <vt:vector size="41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'2'!Oblast_tisku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2022-08-03T06:13:42Z</cp:lastPrinted>
  <dcterms:created xsi:type="dcterms:W3CDTF">2010-02-15T08:19:53Z</dcterms:created>
  <dcterms:modified xsi:type="dcterms:W3CDTF">2022-08-08T07:30:54Z</dcterms:modified>
</cp:coreProperties>
</file>