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520" windowHeight="12840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2" r:id="rId18"/>
    <sheet name="18" sheetId="10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">'1'!$A$1:$C$33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'17'!$A$1:$K$33</definedName>
    <definedName name="_xlnm.Print_Area" localSheetId="18">'18'!$A$1:$N$38</definedName>
    <definedName name="_xlnm.Print_Area" localSheetId="2">'2'!$A$1:$D$36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N48" i="96" l="1"/>
  <c r="N47" i="96"/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O29" i="98" l="1"/>
  <c r="N29" i="98"/>
  <c r="M29" i="98"/>
  <c r="L29" i="98"/>
  <c r="K29" i="98"/>
  <c r="J29" i="98"/>
  <c r="I29" i="98"/>
  <c r="H29" i="98"/>
  <c r="G29" i="98"/>
  <c r="F29" i="98"/>
  <c r="E48" i="96" l="1"/>
  <c r="F48" i="96"/>
  <c r="G48" i="96"/>
  <c r="H48" i="96"/>
  <c r="I48" i="96"/>
  <c r="J48" i="96"/>
  <c r="K48" i="96"/>
  <c r="L48" i="96"/>
  <c r="M48" i="96"/>
  <c r="O48" i="96"/>
  <c r="G47" i="96"/>
  <c r="H47" i="96"/>
  <c r="I47" i="96"/>
  <c r="J47" i="96"/>
  <c r="K47" i="96"/>
  <c r="L47" i="96"/>
  <c r="M47" i="96"/>
  <c r="O47" i="96"/>
  <c r="D48" i="96" l="1"/>
  <c r="P48" i="96" l="1"/>
  <c r="E22" i="97" l="1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P18" i="97" l="1"/>
  <c r="P22" i="97"/>
  <c r="D19" i="98" l="1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G30" i="98" s="1"/>
  <c r="H17" i="98"/>
  <c r="H30" i="98" s="1"/>
  <c r="I17" i="98"/>
  <c r="I30" i="98" s="1"/>
  <c r="J17" i="98"/>
  <c r="J30" i="98" s="1"/>
  <c r="K17" i="98"/>
  <c r="K30" i="98" s="1"/>
  <c r="L17" i="98"/>
  <c r="L30" i="98" s="1"/>
  <c r="M17" i="98"/>
  <c r="M30" i="98" s="1"/>
  <c r="N17" i="98"/>
  <c r="N30" i="98" s="1"/>
  <c r="O17" i="98"/>
  <c r="O30" i="98" s="1"/>
  <c r="D17" i="98"/>
  <c r="D14" i="98"/>
  <c r="D13" i="98"/>
  <c r="E29" i="98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D30" i="97"/>
  <c r="D29" i="97"/>
  <c r="D26" i="97"/>
  <c r="D25" i="97"/>
  <c r="D20" i="97"/>
  <c r="D19" i="97"/>
  <c r="D16" i="97"/>
  <c r="D15" i="97"/>
  <c r="D11" i="97"/>
  <c r="D10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F7" i="97"/>
  <c r="G7" i="97"/>
  <c r="G9" i="97" s="1"/>
  <c r="H7" i="97"/>
  <c r="H9" i="97" s="1"/>
  <c r="I7" i="97"/>
  <c r="I9" i="97" s="1"/>
  <c r="J7" i="97"/>
  <c r="K7" i="97"/>
  <c r="K9" i="97" s="1"/>
  <c r="L7" i="97"/>
  <c r="L9" i="97" s="1"/>
  <c r="M7" i="97"/>
  <c r="M9" i="97" s="1"/>
  <c r="N7" i="97"/>
  <c r="N9" i="97" s="1"/>
  <c r="O7" i="97"/>
  <c r="O9" i="97" s="1"/>
  <c r="D7" i="97"/>
  <c r="D9" i="97" s="1"/>
  <c r="P26" i="94"/>
  <c r="P25" i="94"/>
  <c r="P24" i="94"/>
  <c r="P23" i="94"/>
  <c r="P22" i="94"/>
  <c r="P21" i="94"/>
  <c r="O17" i="97" l="1"/>
  <c r="O33" i="97" s="1"/>
  <c r="O21" i="97"/>
  <c r="O12" i="97"/>
  <c r="N12" i="97"/>
  <c r="N17" i="97"/>
  <c r="N33" i="97" s="1"/>
  <c r="N21" i="97"/>
  <c r="M17" i="97"/>
  <c r="M33" i="97" s="1"/>
  <c r="M12" i="97"/>
  <c r="M21" i="97"/>
  <c r="L12" i="97"/>
  <c r="L21" i="97"/>
  <c r="L17" i="97"/>
  <c r="L33" i="97" s="1"/>
  <c r="J9" i="97"/>
  <c r="K17" i="97"/>
  <c r="K33" i="97" s="1"/>
  <c r="K12" i="97"/>
  <c r="K21" i="97"/>
  <c r="J21" i="97"/>
  <c r="J12" i="97"/>
  <c r="J17" i="97"/>
  <c r="I17" i="97"/>
  <c r="I33" i="97" s="1"/>
  <c r="I12" i="97"/>
  <c r="I21" i="97"/>
  <c r="E9" i="97"/>
  <c r="H17" i="97"/>
  <c r="H33" i="97" s="1"/>
  <c r="H21" i="97"/>
  <c r="H12" i="97"/>
  <c r="G12" i="97"/>
  <c r="G17" i="97"/>
  <c r="G33" i="97" s="1"/>
  <c r="G21" i="97"/>
  <c r="F9" i="97"/>
  <c r="F12" i="97"/>
  <c r="F17" i="97"/>
  <c r="F21" i="97"/>
  <c r="E17" i="97"/>
  <c r="E21" i="97"/>
  <c r="E12" i="97"/>
  <c r="D17" i="97"/>
  <c r="D33" i="97" s="1"/>
  <c r="D12" i="97"/>
  <c r="D21" i="97"/>
  <c r="J35" i="96"/>
  <c r="K35" i="96"/>
  <c r="L35" i="96"/>
  <c r="M35" i="96"/>
  <c r="N35" i="96"/>
  <c r="O35" i="96"/>
  <c r="J36" i="96"/>
  <c r="K36" i="96"/>
  <c r="L36" i="96"/>
  <c r="M36" i="96"/>
  <c r="N36" i="96"/>
  <c r="O36" i="96"/>
  <c r="J28" i="96"/>
  <c r="K28" i="96"/>
  <c r="L28" i="96"/>
  <c r="M28" i="96"/>
  <c r="N28" i="96"/>
  <c r="O28" i="96"/>
  <c r="J29" i="96"/>
  <c r="K29" i="96"/>
  <c r="L29" i="96"/>
  <c r="M29" i="96"/>
  <c r="N29" i="96"/>
  <c r="O29" i="96"/>
  <c r="J31" i="96"/>
  <c r="K31" i="96"/>
  <c r="L31" i="96"/>
  <c r="M31" i="96"/>
  <c r="N31" i="96"/>
  <c r="O31" i="96"/>
  <c r="J21" i="96"/>
  <c r="K21" i="96"/>
  <c r="L21" i="96"/>
  <c r="M21" i="96"/>
  <c r="N21" i="96"/>
  <c r="O21" i="96"/>
  <c r="J22" i="96"/>
  <c r="K22" i="96"/>
  <c r="L22" i="96"/>
  <c r="M22" i="96"/>
  <c r="N22" i="96"/>
  <c r="O22" i="96"/>
  <c r="J24" i="96"/>
  <c r="K24" i="96"/>
  <c r="L24" i="96"/>
  <c r="M24" i="96"/>
  <c r="N24" i="96"/>
  <c r="O24" i="96"/>
  <c r="J14" i="96"/>
  <c r="K14" i="96"/>
  <c r="L14" i="96"/>
  <c r="M14" i="96"/>
  <c r="N14" i="96"/>
  <c r="O14" i="96"/>
  <c r="J15" i="96"/>
  <c r="K15" i="96"/>
  <c r="L15" i="96"/>
  <c r="M15" i="96"/>
  <c r="N15" i="96"/>
  <c r="O15" i="96"/>
  <c r="J17" i="96"/>
  <c r="K17" i="96"/>
  <c r="L17" i="96"/>
  <c r="M17" i="96"/>
  <c r="N17" i="96"/>
  <c r="O17" i="96"/>
  <c r="J10" i="96"/>
  <c r="K10" i="96"/>
  <c r="L10" i="96"/>
  <c r="M10" i="96"/>
  <c r="N10" i="96"/>
  <c r="O10" i="96"/>
  <c r="J8" i="96"/>
  <c r="K8" i="96"/>
  <c r="L8" i="96"/>
  <c r="M8" i="96"/>
  <c r="N8" i="96"/>
  <c r="O8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O40" i="96" l="1"/>
  <c r="O37" i="96" s="1"/>
  <c r="O34" i="97"/>
  <c r="O41" i="96"/>
  <c r="N34" i="97"/>
  <c r="O42" i="96"/>
  <c r="O18" i="96" s="1"/>
  <c r="O23" i="96"/>
  <c r="O16" i="96"/>
  <c r="O30" i="96"/>
  <c r="O9" i="96"/>
  <c r="N41" i="96"/>
  <c r="N42" i="96"/>
  <c r="N25" i="96" s="1"/>
  <c r="N40" i="96"/>
  <c r="M41" i="96"/>
  <c r="M40" i="96"/>
  <c r="M37" i="96" s="1"/>
  <c r="M42" i="96"/>
  <c r="M32" i="96" s="1"/>
  <c r="M34" i="97"/>
  <c r="L40" i="96"/>
  <c r="L23" i="96" s="1"/>
  <c r="L41" i="96"/>
  <c r="J33" i="97"/>
  <c r="L42" i="96"/>
  <c r="L32" i="96" s="1"/>
  <c r="L34" i="97"/>
  <c r="K34" i="97"/>
  <c r="K41" i="96"/>
  <c r="K42" i="96"/>
  <c r="K11" i="96" s="1"/>
  <c r="K40" i="96"/>
  <c r="K37" i="96" s="1"/>
  <c r="J34" i="97"/>
  <c r="J42" i="96"/>
  <c r="J25" i="96" s="1"/>
  <c r="J41" i="96"/>
  <c r="J40" i="96"/>
  <c r="I34" i="97"/>
  <c r="E33" i="97"/>
  <c r="H34" i="97"/>
  <c r="G34" i="97"/>
  <c r="F34" i="97"/>
  <c r="F33" i="97"/>
  <c r="E34" i="97"/>
  <c r="D34" i="97"/>
  <c r="O25" i="96" l="1"/>
  <c r="O11" i="96"/>
  <c r="O32" i="96"/>
  <c r="N11" i="96"/>
  <c r="N18" i="96"/>
  <c r="N32" i="96"/>
  <c r="N37" i="96"/>
  <c r="N30" i="96"/>
  <c r="N16" i="96"/>
  <c r="N23" i="96"/>
  <c r="N9" i="96"/>
  <c r="M30" i="96"/>
  <c r="M9" i="96"/>
  <c r="M16" i="96"/>
  <c r="M18" i="96"/>
  <c r="M25" i="96"/>
  <c r="M23" i="96"/>
  <c r="M11" i="96"/>
  <c r="L37" i="96"/>
  <c r="L16" i="96"/>
  <c r="L9" i="96"/>
  <c r="L30" i="96"/>
  <c r="L25" i="96"/>
  <c r="L18" i="96"/>
  <c r="L11" i="96"/>
  <c r="K18" i="96"/>
  <c r="K25" i="96"/>
  <c r="K32" i="96"/>
  <c r="K30" i="96"/>
  <c r="K23" i="96"/>
  <c r="K16" i="96"/>
  <c r="K9" i="96"/>
  <c r="J18" i="96"/>
  <c r="J32" i="96"/>
  <c r="J11" i="96"/>
  <c r="J37" i="96"/>
  <c r="J23" i="96"/>
  <c r="J30" i="96"/>
  <c r="J16" i="96"/>
  <c r="J9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P7" i="63" s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E35" i="96" l="1"/>
  <c r="I35" i="96"/>
  <c r="F36" i="96"/>
  <c r="E28" i="96"/>
  <c r="I28" i="96"/>
  <c r="F29" i="96"/>
  <c r="E31" i="96"/>
  <c r="I31" i="96"/>
  <c r="H21" i="96"/>
  <c r="E22" i="96"/>
  <c r="I22" i="96"/>
  <c r="H24" i="96"/>
  <c r="G14" i="96"/>
  <c r="H15" i="96"/>
  <c r="G17" i="96"/>
  <c r="F10" i="96"/>
  <c r="G8" i="96"/>
  <c r="H7" i="96"/>
  <c r="G35" i="96"/>
  <c r="H29" i="96"/>
  <c r="G31" i="96"/>
  <c r="F21" i="96"/>
  <c r="I14" i="96"/>
  <c r="F15" i="96"/>
  <c r="E17" i="96"/>
  <c r="I17" i="96"/>
  <c r="I36" i="96"/>
  <c r="H28" i="96"/>
  <c r="E29" i="96"/>
  <c r="H22" i="96"/>
  <c r="G24" i="96"/>
  <c r="F14" i="96"/>
  <c r="I10" i="96"/>
  <c r="G7" i="96"/>
  <c r="F35" i="96"/>
  <c r="G36" i="96"/>
  <c r="F28" i="96"/>
  <c r="G29" i="96"/>
  <c r="F31" i="96"/>
  <c r="E21" i="96"/>
  <c r="I21" i="96"/>
  <c r="F22" i="96"/>
  <c r="E24" i="96"/>
  <c r="I24" i="96"/>
  <c r="H14" i="96"/>
  <c r="E15" i="96"/>
  <c r="I15" i="96"/>
  <c r="H17" i="96"/>
  <c r="G10" i="96"/>
  <c r="H8" i="96"/>
  <c r="E7" i="96"/>
  <c r="I7" i="96"/>
  <c r="H36" i="96"/>
  <c r="G28" i="96"/>
  <c r="G22" i="96"/>
  <c r="F24" i="96"/>
  <c r="E14" i="96"/>
  <c r="H10" i="96"/>
  <c r="E8" i="96"/>
  <c r="I8" i="96"/>
  <c r="F7" i="96"/>
  <c r="H35" i="96"/>
  <c r="E36" i="96"/>
  <c r="I29" i="96"/>
  <c r="H31" i="96"/>
  <c r="G21" i="96"/>
  <c r="G15" i="96"/>
  <c r="F17" i="96"/>
  <c r="E10" i="96"/>
  <c r="F8" i="96"/>
  <c r="D24" i="96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H41" i="96" l="1"/>
  <c r="F41" i="96"/>
  <c r="H42" i="96"/>
  <c r="H32" i="96" s="1"/>
  <c r="G40" i="96"/>
  <c r="G30" i="96" s="1"/>
  <c r="E42" i="96"/>
  <c r="E25" i="96" s="1"/>
  <c r="F40" i="96"/>
  <c r="F16" i="96" s="1"/>
  <c r="I42" i="96"/>
  <c r="I25" i="96" s="1"/>
  <c r="I41" i="96"/>
  <c r="I40" i="96"/>
  <c r="I37" i="96" s="1"/>
  <c r="F42" i="96"/>
  <c r="F11" i="96" s="1"/>
  <c r="H40" i="96"/>
  <c r="H9" i="96" s="1"/>
  <c r="G42" i="96"/>
  <c r="G32" i="96" s="1"/>
  <c r="G41" i="96"/>
  <c r="E41" i="96"/>
  <c r="E40" i="96"/>
  <c r="E30" i="96" s="1"/>
  <c r="D42" i="96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I32" i="96" l="1"/>
  <c r="E18" i="96"/>
  <c r="E11" i="96"/>
  <c r="I18" i="96"/>
  <c r="F30" i="96"/>
  <c r="H37" i="96"/>
  <c r="G37" i="96"/>
  <c r="I9" i="96"/>
  <c r="I11" i="96"/>
  <c r="G9" i="96"/>
  <c r="G18" i="96"/>
  <c r="E16" i="96"/>
  <c r="E37" i="96"/>
  <c r="F37" i="96"/>
  <c r="H23" i="96"/>
  <c r="H16" i="96"/>
  <c r="H30" i="96"/>
  <c r="G23" i="96"/>
  <c r="I30" i="96"/>
  <c r="I23" i="96"/>
  <c r="I16" i="96"/>
  <c r="E9" i="96"/>
  <c r="H25" i="96"/>
  <c r="E23" i="96"/>
  <c r="F25" i="96"/>
  <c r="G16" i="96"/>
  <c r="F9" i="96"/>
  <c r="F18" i="96"/>
  <c r="F32" i="96"/>
  <c r="E32" i="96"/>
  <c r="G25" i="96"/>
  <c r="G11" i="96"/>
  <c r="H18" i="96"/>
  <c r="F23" i="96"/>
  <c r="H11" i="96"/>
  <c r="D25" i="96"/>
  <c r="P42" i="96"/>
  <c r="P11" i="96" s="1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P32" i="96" l="1"/>
  <c r="P18" i="96"/>
  <c r="P25" i="96"/>
  <c r="A27" i="68"/>
  <c r="P8" i="63"/>
  <c r="P9" i="63"/>
  <c r="P10" i="63"/>
  <c r="P11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B8" i="63" l="1"/>
  <c r="F8" i="63"/>
  <c r="J8" i="63"/>
  <c r="B9" i="63"/>
  <c r="F9" i="63"/>
  <c r="J9" i="63"/>
  <c r="B10" i="63"/>
  <c r="F10" i="63"/>
  <c r="J10" i="63"/>
  <c r="C7" i="63"/>
  <c r="G7" i="63"/>
  <c r="K7" i="63"/>
  <c r="H8" i="63"/>
  <c r="D9" i="63"/>
  <c r="L9" i="63"/>
  <c r="H10" i="63"/>
  <c r="E7" i="63"/>
  <c r="M7" i="63"/>
  <c r="I8" i="63"/>
  <c r="E9" i="63"/>
  <c r="I9" i="63"/>
  <c r="I10" i="63"/>
  <c r="F7" i="63"/>
  <c r="B7" i="63"/>
  <c r="C8" i="63"/>
  <c r="G8" i="63"/>
  <c r="K8" i="63"/>
  <c r="C9" i="63"/>
  <c r="G9" i="63"/>
  <c r="K9" i="63"/>
  <c r="C10" i="63"/>
  <c r="G10" i="63"/>
  <c r="K10" i="63"/>
  <c r="D7" i="63"/>
  <c r="H7" i="63"/>
  <c r="L7" i="63"/>
  <c r="D8" i="63"/>
  <c r="L8" i="63"/>
  <c r="H9" i="63"/>
  <c r="D10" i="63"/>
  <c r="L10" i="63"/>
  <c r="I7" i="63"/>
  <c r="E8" i="63"/>
  <c r="M8" i="63"/>
  <c r="M9" i="63"/>
  <c r="E10" i="63"/>
  <c r="M10" i="63"/>
  <c r="J7" i="63"/>
  <c r="A10" i="8"/>
  <c r="H10" i="8" s="1"/>
  <c r="A14" i="8"/>
  <c r="H14" i="8" s="1"/>
  <c r="A18" i="8"/>
  <c r="H18" i="8" s="1"/>
  <c r="A22" i="8"/>
  <c r="H22" i="8" s="1"/>
  <c r="A26" i="8"/>
  <c r="H26" i="8" s="1"/>
  <c r="A30" i="8"/>
  <c r="H30" i="8" s="1"/>
  <c r="A34" i="8"/>
  <c r="H34" i="8" s="1"/>
  <c r="A38" i="8"/>
  <c r="H38" i="8" s="1"/>
  <c r="A31" i="8"/>
  <c r="H31" i="8" s="1"/>
  <c r="A8" i="8"/>
  <c r="H8" i="8" s="1"/>
  <c r="A16" i="8"/>
  <c r="H16" i="8" s="1"/>
  <c r="A24" i="8"/>
  <c r="H24" i="8" s="1"/>
  <c r="A28" i="8"/>
  <c r="H28" i="8" s="1"/>
  <c r="A36" i="8"/>
  <c r="H36" i="8" s="1"/>
  <c r="A13" i="8"/>
  <c r="H13" i="8" s="1"/>
  <c r="A21" i="8"/>
  <c r="H21" i="8" s="1"/>
  <c r="A29" i="8"/>
  <c r="H29" i="8" s="1"/>
  <c r="A37" i="8"/>
  <c r="H37" i="8" s="1"/>
  <c r="A11" i="8"/>
  <c r="H11" i="8" s="1"/>
  <c r="A15" i="8"/>
  <c r="H15" i="8" s="1"/>
  <c r="A19" i="8"/>
  <c r="H19" i="8" s="1"/>
  <c r="A23" i="8"/>
  <c r="H23" i="8" s="1"/>
  <c r="A27" i="8"/>
  <c r="H27" i="8" s="1"/>
  <c r="A35" i="8"/>
  <c r="H35" i="8" s="1"/>
  <c r="A12" i="8"/>
  <c r="H12" i="8" s="1"/>
  <c r="A20" i="8"/>
  <c r="H20" i="8" s="1"/>
  <c r="A32" i="8"/>
  <c r="H32" i="8" s="1"/>
  <c r="A9" i="8"/>
  <c r="H9" i="8" s="1"/>
  <c r="A17" i="8"/>
  <c r="H17" i="8" s="1"/>
  <c r="A25" i="8"/>
  <c r="H25" i="8" s="1"/>
  <c r="A33" i="8"/>
  <c r="H33" i="8" s="1"/>
  <c r="C8" i="8"/>
  <c r="C10" i="8"/>
  <c r="D11" i="8"/>
  <c r="E12" i="8"/>
  <c r="C14" i="8"/>
  <c r="D15" i="8"/>
  <c r="E16" i="8"/>
  <c r="C18" i="8"/>
  <c r="D19" i="8"/>
  <c r="E20" i="8"/>
  <c r="C22" i="8"/>
  <c r="D23" i="8"/>
  <c r="E24" i="8"/>
  <c r="J24" i="8" s="1"/>
  <c r="C26" i="8"/>
  <c r="I26" i="8" s="1"/>
  <c r="D27" i="8"/>
  <c r="E28" i="8"/>
  <c r="C30" i="8"/>
  <c r="D31" i="8"/>
  <c r="E32" i="8"/>
  <c r="C34" i="8"/>
  <c r="I34" i="8" s="1"/>
  <c r="D35" i="8"/>
  <c r="E36" i="8"/>
  <c r="C38" i="8"/>
  <c r="D8" i="8"/>
  <c r="B12" i="8"/>
  <c r="B16" i="8"/>
  <c r="B20" i="8"/>
  <c r="B24" i="8"/>
  <c r="B28" i="8"/>
  <c r="B32" i="8"/>
  <c r="B36" i="8"/>
  <c r="E35" i="8"/>
  <c r="D38" i="8"/>
  <c r="B13" i="8"/>
  <c r="B17" i="8"/>
  <c r="B25" i="8"/>
  <c r="B33" i="8"/>
  <c r="C12" i="8"/>
  <c r="I12" i="8" s="1"/>
  <c r="E14" i="8"/>
  <c r="D17" i="8"/>
  <c r="C20" i="8"/>
  <c r="E22" i="8"/>
  <c r="D25" i="8"/>
  <c r="C28" i="8"/>
  <c r="E30" i="8"/>
  <c r="E34" i="8"/>
  <c r="D37" i="8"/>
  <c r="B10" i="8"/>
  <c r="B14" i="8"/>
  <c r="B22" i="8"/>
  <c r="B30" i="8"/>
  <c r="B38" i="8"/>
  <c r="E9" i="8"/>
  <c r="J9" i="8" s="1"/>
  <c r="D12" i="8"/>
  <c r="E13" i="8"/>
  <c r="D16" i="8"/>
  <c r="D20" i="8"/>
  <c r="C23" i="8"/>
  <c r="E25" i="8"/>
  <c r="J25" i="8" s="1"/>
  <c r="D28" i="8"/>
  <c r="C31" i="8"/>
  <c r="E33" i="8"/>
  <c r="D36" i="8"/>
  <c r="E8" i="8"/>
  <c r="B15" i="8"/>
  <c r="B23" i="8"/>
  <c r="B31" i="8"/>
  <c r="B8" i="8"/>
  <c r="C9" i="8"/>
  <c r="I9" i="8" s="1"/>
  <c r="D10" i="8"/>
  <c r="E11" i="8"/>
  <c r="C13" i="8"/>
  <c r="I13" i="8" s="1"/>
  <c r="D14" i="8"/>
  <c r="E15" i="8"/>
  <c r="C17" i="8"/>
  <c r="D18" i="8"/>
  <c r="E19" i="8"/>
  <c r="C21" i="8"/>
  <c r="D22" i="8"/>
  <c r="E23" i="8"/>
  <c r="C25" i="8"/>
  <c r="D26" i="8"/>
  <c r="E27" i="8"/>
  <c r="C29" i="8"/>
  <c r="D30" i="8"/>
  <c r="E31" i="8"/>
  <c r="J31" i="8" s="1"/>
  <c r="C33" i="8"/>
  <c r="D34" i="8"/>
  <c r="C37" i="8"/>
  <c r="B9" i="8"/>
  <c r="B21" i="8"/>
  <c r="B29" i="8"/>
  <c r="B37" i="8"/>
  <c r="D9" i="8"/>
  <c r="E10" i="8"/>
  <c r="D13" i="8"/>
  <c r="C16" i="8"/>
  <c r="E18" i="8"/>
  <c r="D21" i="8"/>
  <c r="C24" i="8"/>
  <c r="E26" i="8"/>
  <c r="D29" i="8"/>
  <c r="C32" i="8"/>
  <c r="D33" i="8"/>
  <c r="C36" i="8"/>
  <c r="E38" i="8"/>
  <c r="B18" i="8"/>
  <c r="B26" i="8"/>
  <c r="B34" i="8"/>
  <c r="C11" i="8"/>
  <c r="C15" i="8"/>
  <c r="E17" i="8"/>
  <c r="C19" i="8"/>
  <c r="E21" i="8"/>
  <c r="D24" i="8"/>
  <c r="C27" i="8"/>
  <c r="I27" i="8" s="1"/>
  <c r="E29" i="8"/>
  <c r="D32" i="8"/>
  <c r="C35" i="8"/>
  <c r="E37" i="8"/>
  <c r="B11" i="8"/>
  <c r="B19" i="8"/>
  <c r="B27" i="8"/>
  <c r="B35" i="8"/>
  <c r="S2" i="68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M11" i="63" l="1"/>
  <c r="L11" i="63"/>
  <c r="I18" i="8"/>
  <c r="K11" i="63"/>
  <c r="J11" i="63"/>
  <c r="J14" i="8"/>
  <c r="I11" i="63"/>
  <c r="I10" i="8"/>
  <c r="I35" i="8"/>
  <c r="I15" i="8"/>
  <c r="H11" i="63"/>
  <c r="I32" i="8"/>
  <c r="I33" i="8"/>
  <c r="J11" i="8"/>
  <c r="J13" i="8"/>
  <c r="J16" i="8"/>
  <c r="I11" i="8"/>
  <c r="J18" i="8"/>
  <c r="J33" i="8"/>
  <c r="J34" i="8"/>
  <c r="J27" i="8"/>
  <c r="J32" i="8"/>
  <c r="I16" i="8"/>
  <c r="J10" i="8"/>
  <c r="I17" i="8"/>
  <c r="I38" i="8"/>
  <c r="I22" i="8"/>
  <c r="F11" i="63"/>
  <c r="E11" i="63"/>
  <c r="G11" i="63"/>
  <c r="J21" i="8"/>
  <c r="J38" i="8"/>
  <c r="I21" i="8"/>
  <c r="J15" i="8"/>
  <c r="J22" i="8"/>
  <c r="I24" i="8"/>
  <c r="J35" i="8"/>
  <c r="D11" i="63"/>
  <c r="C11" i="63"/>
  <c r="B11" i="63"/>
  <c r="I23" i="8"/>
  <c r="J20" i="8"/>
  <c r="W2" i="68"/>
  <c r="T2" i="68"/>
  <c r="J29" i="8"/>
  <c r="I19" i="8"/>
  <c r="I36" i="8"/>
  <c r="J26" i="8"/>
  <c r="I37" i="8"/>
  <c r="I25" i="8"/>
  <c r="J19" i="8"/>
  <c r="I31" i="8"/>
  <c r="J30" i="8"/>
  <c r="I20" i="8"/>
  <c r="I30" i="8"/>
  <c r="I14" i="8"/>
  <c r="I8" i="8"/>
  <c r="J36" i="8"/>
  <c r="J37" i="8"/>
  <c r="J17" i="8"/>
  <c r="I29" i="8"/>
  <c r="J23" i="8"/>
  <c r="J8" i="8"/>
  <c r="I28" i="8"/>
  <c r="J28" i="8"/>
  <c r="J12" i="8"/>
  <c r="S3" i="68"/>
  <c r="W3" i="68" s="1"/>
  <c r="V2" i="68"/>
  <c r="E7" i="93"/>
  <c r="E33" i="93" s="1"/>
  <c r="J45" i="93"/>
  <c r="F21" i="93"/>
  <c r="F7" i="93"/>
  <c r="E20" i="93" l="1"/>
  <c r="E45" i="93"/>
  <c r="V3" i="68"/>
  <c r="T3" i="68"/>
  <c r="S4" i="68"/>
  <c r="W4" i="68" s="1"/>
  <c r="F33" i="93"/>
  <c r="E21" i="93"/>
  <c r="F45" i="93"/>
  <c r="T4" i="68" l="1"/>
  <c r="V4" i="68"/>
  <c r="S5" i="68"/>
  <c r="W5" i="68" s="1"/>
  <c r="E4" i="92"/>
  <c r="E7" i="92" s="1"/>
  <c r="D10" i="92" s="1"/>
  <c r="H46" i="92"/>
  <c r="S6" i="68" l="1"/>
  <c r="W6" i="68" s="1"/>
  <c r="T5" i="68"/>
  <c r="V5" i="68"/>
  <c r="E46" i="92"/>
  <c r="I7" i="92"/>
  <c r="K42" i="90"/>
  <c r="K28" i="90"/>
  <c r="K20" i="90"/>
  <c r="T6" i="68" l="1"/>
  <c r="S7" i="68"/>
  <c r="W7" i="68" s="1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W8" i="68" s="1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W9" i="68" s="1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W10" i="68" s="1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W11" i="68" s="1"/>
  <c r="V10" i="68"/>
  <c r="J25" i="92"/>
  <c r="T11" i="68" l="1"/>
  <c r="V11" i="68"/>
  <c r="S12" i="68"/>
  <c r="W12" i="68" s="1"/>
  <c r="D3" i="82"/>
  <c r="E3" i="82"/>
  <c r="T12" i="68" l="1"/>
  <c r="V12" i="68"/>
  <c r="S13" i="68"/>
  <c r="W13" i="68" s="1"/>
  <c r="A31" i="68"/>
  <c r="T13" i="68" l="1"/>
  <c r="V13" i="68"/>
  <c r="S14" i="68"/>
  <c r="W14" i="68" s="1"/>
  <c r="T1" i="68"/>
  <c r="A2" i="68"/>
  <c r="T14" i="68" l="1"/>
  <c r="S15" i="68"/>
  <c r="W15" i="68" s="1"/>
  <c r="V14" i="68"/>
  <c r="D41" i="8"/>
  <c r="C40" i="8"/>
  <c r="E40" i="8" s="1"/>
  <c r="C39" i="8"/>
  <c r="T15" i="68" l="1"/>
  <c r="S16" i="68"/>
  <c r="W16" i="68" s="1"/>
  <c r="V15" i="68"/>
  <c r="E39" i="8"/>
  <c r="D39" i="8"/>
  <c r="T16" i="68" l="1"/>
  <c r="V16" i="68"/>
  <c r="S17" i="68"/>
  <c r="W17" i="68" s="1"/>
  <c r="T17" i="68" l="1"/>
  <c r="S18" i="68"/>
  <c r="W18" i="68" s="1"/>
  <c r="V17" i="68"/>
  <c r="D40" i="8"/>
  <c r="T18" i="68" l="1"/>
  <c r="S19" i="68"/>
  <c r="W19" i="68" s="1"/>
  <c r="V18" i="68"/>
  <c r="T19" i="68" l="1"/>
  <c r="S20" i="68"/>
  <c r="W20" i="68" s="1"/>
  <c r="V19" i="68"/>
  <c r="F30" i="82"/>
  <c r="F29" i="82"/>
  <c r="F28" i="82"/>
  <c r="F27" i="82"/>
  <c r="T20" i="68" l="1"/>
  <c r="S21" i="68"/>
  <c r="W21" i="68" s="1"/>
  <c r="V20" i="68"/>
  <c r="F31" i="82"/>
  <c r="T21" i="68" l="1"/>
  <c r="S22" i="68"/>
  <c r="W22" i="68" s="1"/>
  <c r="V21" i="68"/>
  <c r="T22" i="68" l="1"/>
  <c r="V22" i="68"/>
  <c r="S23" i="68"/>
  <c r="W23" i="68" s="1"/>
  <c r="E42" i="8"/>
  <c r="D42" i="8"/>
  <c r="C42" i="8"/>
  <c r="C41" i="8"/>
  <c r="E41" i="8" l="1"/>
  <c r="K7" i="8"/>
  <c r="T23" i="68"/>
  <c r="S24" i="68"/>
  <c r="W24" i="68" s="1"/>
  <c r="V23" i="68"/>
  <c r="K8" i="8" l="1"/>
  <c r="L7" i="8"/>
  <c r="T24" i="68"/>
  <c r="S25" i="68"/>
  <c r="W25" i="68" s="1"/>
  <c r="V24" i="68"/>
  <c r="K9" i="8" l="1"/>
  <c r="L8" i="8"/>
  <c r="T25" i="68"/>
  <c r="S26" i="68"/>
  <c r="W26" i="68" s="1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W27" i="68" s="1"/>
  <c r="V26" i="68"/>
  <c r="N11" i="63"/>
  <c r="Q10" i="63"/>
  <c r="K11" i="8" l="1"/>
  <c r="L11" i="8" s="1"/>
  <c r="L10" i="8"/>
  <c r="T27" i="68"/>
  <c r="S28" i="68"/>
  <c r="W28" i="68" s="1"/>
  <c r="V27" i="68"/>
  <c r="Q11" i="63"/>
  <c r="K12" i="8" l="1"/>
  <c r="L12" i="8" s="1"/>
  <c r="T28" i="68"/>
  <c r="V28" i="68"/>
  <c r="S29" i="68"/>
  <c r="W29" i="68" s="1"/>
  <c r="K13" i="8" l="1"/>
  <c r="L13" i="8" s="1"/>
  <c r="T29" i="68"/>
  <c r="S30" i="68"/>
  <c r="W30" i="68" s="1"/>
  <c r="V29" i="68"/>
  <c r="K14" i="8" l="1"/>
  <c r="L14" i="8" s="1"/>
  <c r="T30" i="68"/>
  <c r="V30" i="68"/>
  <c r="S31" i="68"/>
  <c r="W31" i="68" s="1"/>
  <c r="K15" i="8" l="1"/>
  <c r="L15" i="8" s="1"/>
  <c r="T31" i="68"/>
  <c r="S32" i="68"/>
  <c r="W32" i="68" s="1"/>
  <c r="V31" i="68"/>
  <c r="K16" i="8" l="1"/>
  <c r="L16" i="8" s="1"/>
  <c r="T32" i="68"/>
  <c r="V32" i="68"/>
  <c r="S33" i="68"/>
  <c r="W33" i="68" s="1"/>
  <c r="K17" i="8" l="1"/>
  <c r="L17" i="8" s="1"/>
  <c r="T33" i="68"/>
  <c r="S34" i="68"/>
  <c r="W34" i="68" s="1"/>
  <c r="V33" i="68"/>
  <c r="K18" i="8" l="1"/>
  <c r="L18" i="8" s="1"/>
  <c r="T34" i="68"/>
  <c r="S35" i="68"/>
  <c r="W35" i="68" s="1"/>
  <c r="V34" i="68"/>
  <c r="K19" i="8" l="1"/>
  <c r="L19" i="8" s="1"/>
  <c r="T35" i="68"/>
  <c r="S36" i="68"/>
  <c r="W36" i="68" s="1"/>
  <c r="V35" i="68"/>
  <c r="K20" i="8" l="1"/>
  <c r="L20" i="8" s="1"/>
  <c r="T36" i="68"/>
  <c r="S37" i="68"/>
  <c r="W37" i="68" s="1"/>
  <c r="V36" i="68"/>
  <c r="K21" i="8" l="1"/>
  <c r="L21" i="8" s="1"/>
  <c r="T37" i="68"/>
  <c r="S38" i="68"/>
  <c r="W38" i="68" s="1"/>
  <c r="V37" i="68"/>
  <c r="K22" i="8" l="1"/>
  <c r="L22" i="8" s="1"/>
  <c r="T38" i="68"/>
  <c r="V38" i="68"/>
  <c r="S39" i="68"/>
  <c r="W39" i="68" s="1"/>
  <c r="K23" i="8" l="1"/>
  <c r="L23" i="8" s="1"/>
  <c r="T39" i="68"/>
  <c r="S40" i="68"/>
  <c r="W40" i="68" s="1"/>
  <c r="V39" i="68"/>
  <c r="K24" i="8" l="1"/>
  <c r="L24" i="8" s="1"/>
  <c r="T40" i="68"/>
  <c r="V40" i="68"/>
  <c r="S41" i="68"/>
  <c r="W41" i="68" s="1"/>
  <c r="K25" i="8" l="1"/>
  <c r="L25" i="8" s="1"/>
  <c r="T41" i="68"/>
  <c r="S42" i="68"/>
  <c r="W42" i="68" s="1"/>
  <c r="V41" i="68"/>
  <c r="K26" i="8" l="1"/>
  <c r="L26" i="8" s="1"/>
  <c r="T42" i="68"/>
  <c r="S43" i="68"/>
  <c r="W43" i="68" s="1"/>
  <c r="V42" i="68"/>
  <c r="K27" i="8" l="1"/>
  <c r="L27" i="8" s="1"/>
  <c r="T43" i="68"/>
  <c r="S44" i="68"/>
  <c r="W44" i="68" s="1"/>
  <c r="V43" i="68"/>
  <c r="K28" i="8" l="1"/>
  <c r="L28" i="8" s="1"/>
  <c r="T44" i="68"/>
  <c r="V44" i="68"/>
  <c r="S45" i="68"/>
  <c r="W45" i="68" s="1"/>
  <c r="K29" i="8" l="1"/>
  <c r="L29" i="8" s="1"/>
  <c r="T45" i="68"/>
  <c r="S46" i="68"/>
  <c r="W46" i="68" s="1"/>
  <c r="V45" i="68"/>
  <c r="K30" i="8" l="1"/>
  <c r="L30" i="8" s="1"/>
  <c r="T46" i="68"/>
  <c r="V46" i="68"/>
  <c r="S47" i="68"/>
  <c r="W47" i="68" s="1"/>
  <c r="K31" i="8" l="1"/>
  <c r="L31" i="8" s="1"/>
  <c r="T47" i="68"/>
  <c r="S48" i="68"/>
  <c r="W48" i="68" s="1"/>
  <c r="V47" i="68"/>
  <c r="K32" i="8" l="1"/>
  <c r="L32" i="8" s="1"/>
  <c r="T48" i="68"/>
  <c r="V48" i="68"/>
  <c r="S49" i="68"/>
  <c r="W49" i="68" s="1"/>
  <c r="K33" i="8" l="1"/>
  <c r="L33" i="8" s="1"/>
  <c r="T49" i="68"/>
  <c r="S50" i="68"/>
  <c r="W50" i="68" s="1"/>
  <c r="V49" i="68"/>
  <c r="K34" i="8" l="1"/>
  <c r="L34" i="8" s="1"/>
  <c r="T50" i="68"/>
  <c r="S51" i="68"/>
  <c r="W51" i="68" s="1"/>
  <c r="V50" i="68"/>
  <c r="K35" i="8" l="1"/>
  <c r="L35" i="8" s="1"/>
  <c r="T51" i="68"/>
  <c r="S52" i="68"/>
  <c r="W52" i="68" s="1"/>
  <c r="V51" i="68"/>
  <c r="K36" i="8" l="1"/>
  <c r="L36" i="8" s="1"/>
  <c r="T52" i="68"/>
  <c r="S53" i="68"/>
  <c r="W53" i="68" s="1"/>
  <c r="V52" i="68"/>
  <c r="K37" i="8" l="1"/>
  <c r="L37" i="8" s="1"/>
  <c r="T53" i="68"/>
  <c r="S54" i="68"/>
  <c r="W54" i="68" s="1"/>
  <c r="V53" i="68"/>
  <c r="K38" i="8" l="1"/>
  <c r="L38" i="8" s="1"/>
  <c r="N6" i="8"/>
  <c r="T54" i="68"/>
  <c r="V54" i="68"/>
  <c r="S55" i="68"/>
  <c r="W55" i="68" s="1"/>
  <c r="N7" i="8" l="1"/>
  <c r="O7" i="8" s="1"/>
  <c r="T55" i="68"/>
  <c r="S56" i="68"/>
  <c r="W56" i="68" s="1"/>
  <c r="V55" i="68"/>
  <c r="N8" i="8" l="1"/>
  <c r="O8" i="8" s="1"/>
  <c r="T56" i="68"/>
  <c r="V56" i="68"/>
  <c r="S57" i="68"/>
  <c r="W57" i="68" s="1"/>
  <c r="N9" i="8" l="1"/>
  <c r="O9" i="8" s="1"/>
  <c r="T57" i="68"/>
  <c r="S58" i="68"/>
  <c r="W58" i="68" s="1"/>
  <c r="V57" i="68"/>
  <c r="N10" i="8" l="1"/>
  <c r="O10" i="8" s="1"/>
  <c r="T58" i="68"/>
  <c r="S59" i="68"/>
  <c r="W59" i="68" s="1"/>
  <c r="V58" i="68"/>
  <c r="N11" i="8" l="1"/>
  <c r="O11" i="8" s="1"/>
  <c r="T59" i="68"/>
  <c r="V59" i="68"/>
  <c r="S60" i="68"/>
  <c r="W60" i="68" s="1"/>
  <c r="N12" i="8" l="1"/>
  <c r="O12" i="8" s="1"/>
  <c r="T60" i="68"/>
  <c r="V60" i="68"/>
  <c r="S61" i="68"/>
  <c r="W61" i="68" s="1"/>
  <c r="N13" i="8" l="1"/>
  <c r="O13" i="8" s="1"/>
  <c r="T61" i="68"/>
  <c r="S62" i="68"/>
  <c r="W62" i="68" s="1"/>
  <c r="V61" i="68"/>
  <c r="N14" i="8" l="1"/>
  <c r="O14" i="8" s="1"/>
  <c r="T62" i="68"/>
  <c r="V62" i="68"/>
  <c r="S63" i="68"/>
  <c r="W63" i="68" s="1"/>
  <c r="N15" i="8" l="1"/>
  <c r="O15" i="8" s="1"/>
  <c r="T63" i="68"/>
  <c r="S64" i="68"/>
  <c r="W64" i="68" s="1"/>
  <c r="V63" i="68"/>
  <c r="N16" i="8" l="1"/>
  <c r="O16" i="8" s="1"/>
  <c r="T64" i="68"/>
  <c r="V64" i="68"/>
  <c r="S65" i="68"/>
  <c r="W65" i="68" s="1"/>
  <c r="N17" i="8" l="1"/>
  <c r="O17" i="8" s="1"/>
  <c r="T65" i="68"/>
  <c r="S66" i="68"/>
  <c r="W66" i="68" s="1"/>
  <c r="V65" i="68"/>
  <c r="N18" i="8" l="1"/>
  <c r="O18" i="8" s="1"/>
  <c r="T66" i="68"/>
  <c r="S67" i="68"/>
  <c r="W67" i="68" s="1"/>
  <c r="V66" i="68"/>
  <c r="N19" i="8" l="1"/>
  <c r="O19" i="8" s="1"/>
  <c r="T67" i="68"/>
  <c r="S68" i="68"/>
  <c r="W68" i="68" s="1"/>
  <c r="V67" i="68"/>
  <c r="N20" i="8" l="1"/>
  <c r="O20" i="8" s="1"/>
  <c r="T68" i="68"/>
  <c r="S69" i="68"/>
  <c r="W69" i="68" s="1"/>
  <c r="V68" i="68"/>
  <c r="N21" i="8" l="1"/>
  <c r="O21" i="8" s="1"/>
  <c r="T69" i="68"/>
  <c r="S70" i="68"/>
  <c r="W70" i="68" s="1"/>
  <c r="V69" i="68"/>
  <c r="N22" i="8" l="1"/>
  <c r="O22" i="8" s="1"/>
  <c r="T70" i="68"/>
  <c r="V70" i="68"/>
  <c r="S71" i="68"/>
  <c r="W71" i="68" s="1"/>
  <c r="N23" i="8" l="1"/>
  <c r="O23" i="8" s="1"/>
  <c r="T71" i="68"/>
  <c r="S72" i="68"/>
  <c r="W72" i="68" s="1"/>
  <c r="V71" i="68"/>
  <c r="N24" i="8" l="1"/>
  <c r="O24" i="8" s="1"/>
  <c r="T72" i="68"/>
  <c r="S73" i="68"/>
  <c r="W73" i="68" s="1"/>
  <c r="V72" i="68"/>
  <c r="N25" i="8" l="1"/>
  <c r="O25" i="8" s="1"/>
  <c r="T73" i="68"/>
  <c r="S74" i="68"/>
  <c r="W74" i="68" s="1"/>
  <c r="V73" i="68"/>
  <c r="N26" i="8" l="1"/>
  <c r="O26" i="8" s="1"/>
  <c r="T74" i="68"/>
  <c r="S75" i="68"/>
  <c r="W75" i="68" s="1"/>
  <c r="V74" i="68"/>
  <c r="N27" i="8" l="1"/>
  <c r="O27" i="8" s="1"/>
  <c r="T75" i="68"/>
  <c r="S76" i="68"/>
  <c r="W76" i="68" s="1"/>
  <c r="V75" i="68"/>
  <c r="N28" i="8" l="1"/>
  <c r="O28" i="8" s="1"/>
  <c r="T76" i="68"/>
  <c r="S77" i="68"/>
  <c r="W77" i="68" s="1"/>
  <c r="V76" i="68"/>
  <c r="N29" i="8" l="1"/>
  <c r="O29" i="8" s="1"/>
  <c r="T77" i="68"/>
  <c r="S78" i="68"/>
  <c r="W78" i="68" s="1"/>
  <c r="V77" i="68"/>
  <c r="N30" i="8" l="1"/>
  <c r="O30" i="8" s="1"/>
  <c r="T78" i="68"/>
  <c r="V78" i="68"/>
  <c r="S79" i="68"/>
  <c r="W79" i="68" s="1"/>
  <c r="N31" i="8" l="1"/>
  <c r="T79" i="68"/>
  <c r="S80" i="68"/>
  <c r="W80" i="68" s="1"/>
  <c r="V79" i="68"/>
  <c r="N32" i="8" l="1"/>
  <c r="O31" i="8"/>
  <c r="T80" i="68"/>
  <c r="S81" i="68"/>
  <c r="W81" i="68" s="1"/>
  <c r="V80" i="68"/>
  <c r="N33" i="8" l="1"/>
  <c r="O33" i="8" s="1"/>
  <c r="O32" i="8"/>
  <c r="T81" i="68"/>
  <c r="S82" i="68"/>
  <c r="W82" i="68" s="1"/>
  <c r="V81" i="68"/>
  <c r="N34" i="8" l="1"/>
  <c r="O34" i="8" s="1"/>
  <c r="T82" i="68"/>
  <c r="S83" i="68"/>
  <c r="W83" i="68" s="1"/>
  <c r="V82" i="68"/>
  <c r="N35" i="8" l="1"/>
  <c r="T83" i="68"/>
  <c r="S84" i="68"/>
  <c r="W84" i="68" s="1"/>
  <c r="V83" i="68"/>
  <c r="N36" i="8" l="1"/>
  <c r="O36" i="8" s="1"/>
  <c r="O35" i="8"/>
  <c r="T84" i="68"/>
  <c r="S85" i="68"/>
  <c r="W85" i="68" s="1"/>
  <c r="V84" i="68"/>
  <c r="N37" i="8" l="1"/>
  <c r="O37" i="8" s="1"/>
  <c r="T85" i="68"/>
  <c r="S86" i="68"/>
  <c r="W86" i="68" s="1"/>
  <c r="V85" i="68"/>
  <c r="N38" i="8" l="1"/>
  <c r="O38" i="8" s="1"/>
  <c r="T86" i="68"/>
  <c r="V86" i="68"/>
  <c r="S87" i="68"/>
  <c r="W87" i="68" s="1"/>
  <c r="T87" i="68" l="1"/>
  <c r="S88" i="68"/>
  <c r="W88" i="68" s="1"/>
  <c r="V87" i="68"/>
  <c r="T88" i="68" l="1"/>
  <c r="S89" i="68"/>
  <c r="W89" i="68" s="1"/>
  <c r="V88" i="68"/>
  <c r="T89" i="68" l="1"/>
  <c r="S90" i="68"/>
  <c r="W90" i="68" s="1"/>
  <c r="V89" i="68"/>
  <c r="T90" i="68" l="1"/>
  <c r="S91" i="68"/>
  <c r="W91" i="68" s="1"/>
  <c r="V90" i="68"/>
  <c r="T91" i="68" l="1"/>
  <c r="S92" i="68"/>
  <c r="U92" i="68" s="1"/>
  <c r="V91" i="68"/>
  <c r="T92" i="68" l="1"/>
  <c r="S93" i="68"/>
  <c r="U93" i="68" s="1"/>
  <c r="V92" i="68"/>
  <c r="T93" i="68" l="1"/>
  <c r="S94" i="68"/>
  <c r="U94" i="68" s="1"/>
  <c r="V93" i="68"/>
  <c r="T94" i="68" l="1"/>
  <c r="V94" i="68"/>
  <c r="S95" i="68"/>
  <c r="U95" i="68" s="1"/>
  <c r="T95" i="68" l="1"/>
  <c r="S96" i="68"/>
  <c r="U96" i="68" s="1"/>
  <c r="V95" i="68"/>
  <c r="T96" i="68" l="1"/>
  <c r="S97" i="68"/>
  <c r="U97" i="68" s="1"/>
  <c r="V96" i="68"/>
  <c r="T97" i="68" l="1"/>
  <c r="S98" i="68"/>
  <c r="U98" i="68" s="1"/>
  <c r="V97" i="68"/>
  <c r="T98" i="68" l="1"/>
  <c r="S99" i="68"/>
  <c r="U99" i="68" s="1"/>
  <c r="V98" i="68"/>
  <c r="T99" i="68" l="1"/>
  <c r="S100" i="68"/>
  <c r="U100" i="68" s="1"/>
  <c r="V99" i="68"/>
  <c r="T100" i="68" l="1"/>
  <c r="S101" i="68"/>
  <c r="U101" i="68" s="1"/>
  <c r="V100" i="68"/>
  <c r="T101" i="68" l="1"/>
  <c r="S102" i="68"/>
  <c r="U102" i="68" s="1"/>
  <c r="V101" i="68"/>
  <c r="T102" i="68" l="1"/>
  <c r="V102" i="68"/>
  <c r="S103" i="68"/>
  <c r="U103" i="68" s="1"/>
  <c r="T103" i="68" l="1"/>
  <c r="S104" i="68"/>
  <c r="U104" i="68" s="1"/>
  <c r="V103" i="68"/>
  <c r="T104" i="68" l="1"/>
  <c r="S105" i="68"/>
  <c r="U105" i="68" s="1"/>
  <c r="V104" i="68"/>
  <c r="T105" i="68" l="1"/>
  <c r="S106" i="68"/>
  <c r="U106" i="68" s="1"/>
  <c r="V105" i="68"/>
  <c r="T106" i="68" l="1"/>
  <c r="S107" i="68"/>
  <c r="U107" i="68" s="1"/>
  <c r="V106" i="68"/>
  <c r="T107" i="68" l="1"/>
  <c r="S108" i="68"/>
  <c r="U108" i="68" s="1"/>
  <c r="V107" i="68"/>
  <c r="T108" i="68" l="1"/>
  <c r="S109" i="68"/>
  <c r="U109" i="68" s="1"/>
  <c r="V108" i="68"/>
  <c r="T109" i="68" l="1"/>
  <c r="S110" i="68"/>
  <c r="U110" i="68" s="1"/>
  <c r="V109" i="68"/>
  <c r="T110" i="68" l="1"/>
  <c r="V110" i="68"/>
  <c r="S111" i="68"/>
  <c r="U111" i="68" s="1"/>
  <c r="T111" i="68" l="1"/>
  <c r="S112" i="68"/>
  <c r="U112" i="68" s="1"/>
  <c r="V111" i="68"/>
  <c r="T112" i="68" l="1"/>
  <c r="S113" i="68"/>
  <c r="U113" i="68" s="1"/>
  <c r="V112" i="68"/>
  <c r="T113" i="68" l="1"/>
  <c r="S114" i="68"/>
  <c r="U114" i="68" s="1"/>
  <c r="V113" i="68"/>
  <c r="T114" i="68" l="1"/>
  <c r="S115" i="68"/>
  <c r="U115" i="68" s="1"/>
  <c r="V114" i="68"/>
  <c r="T115" i="68" l="1"/>
  <c r="S116" i="68"/>
  <c r="U116" i="68" s="1"/>
  <c r="V115" i="68"/>
  <c r="T116" i="68" l="1"/>
  <c r="S117" i="68"/>
  <c r="U117" i="68" s="1"/>
  <c r="V116" i="68"/>
  <c r="T117" i="68" l="1"/>
  <c r="S118" i="68"/>
  <c r="U118" i="68" s="1"/>
  <c r="V117" i="68"/>
  <c r="T118" i="68" l="1"/>
  <c r="V118" i="68"/>
  <c r="S119" i="68"/>
  <c r="U119" i="68" s="1"/>
  <c r="T119" i="68" l="1"/>
  <c r="S120" i="68"/>
  <c r="U120" i="68" s="1"/>
  <c r="V119" i="68"/>
  <c r="T120" i="68" l="1"/>
  <c r="S121" i="68"/>
  <c r="U121" i="68" s="1"/>
  <c r="V120" i="68"/>
  <c r="T121" i="68" l="1"/>
  <c r="S122" i="68"/>
  <c r="U122" i="68" s="1"/>
  <c r="V121" i="68"/>
  <c r="T122" i="68" l="1"/>
  <c r="S123" i="68"/>
  <c r="U123" i="68" s="1"/>
  <c r="V122" i="68"/>
  <c r="T123" i="68" l="1"/>
  <c r="S124" i="68"/>
  <c r="U124" i="68" s="1"/>
  <c r="V123" i="68"/>
  <c r="T124" i="68" l="1"/>
  <c r="S125" i="68"/>
  <c r="U125" i="68" s="1"/>
  <c r="V124" i="68"/>
  <c r="T125" i="68" l="1"/>
  <c r="S126" i="68"/>
  <c r="U126" i="68" s="1"/>
  <c r="V125" i="68"/>
  <c r="T126" i="68" l="1"/>
  <c r="V126" i="68"/>
  <c r="S127" i="68"/>
  <c r="U127" i="68" s="1"/>
  <c r="T127" i="68" l="1"/>
  <c r="S128" i="68"/>
  <c r="U128" i="68" s="1"/>
  <c r="V127" i="68"/>
  <c r="T128" i="68" l="1"/>
  <c r="S129" i="68"/>
  <c r="U129" i="68" s="1"/>
  <c r="V128" i="68"/>
  <c r="T129" i="68" l="1"/>
  <c r="S130" i="68"/>
  <c r="U130" i="68" s="1"/>
  <c r="V129" i="68"/>
  <c r="T130" i="68" l="1"/>
  <c r="S131" i="68"/>
  <c r="U131" i="68" s="1"/>
  <c r="V130" i="68"/>
  <c r="T131" i="68" l="1"/>
  <c r="S132" i="68"/>
  <c r="U132" i="68" s="1"/>
  <c r="V131" i="68"/>
  <c r="T132" i="68" l="1"/>
  <c r="S133" i="68"/>
  <c r="U133" i="68" s="1"/>
  <c r="V132" i="68"/>
  <c r="T133" i="68" l="1"/>
  <c r="V133" i="68"/>
  <c r="S134" i="68"/>
  <c r="U134" i="68" s="1"/>
  <c r="T134" i="68" l="1"/>
  <c r="V134" i="68"/>
  <c r="S135" i="68"/>
  <c r="U135" i="68" s="1"/>
  <c r="T135" i="68" l="1"/>
  <c r="S136" i="68"/>
  <c r="U136" i="68" s="1"/>
  <c r="V135" i="68"/>
  <c r="T136" i="68" l="1"/>
  <c r="S137" i="68"/>
  <c r="U137" i="68" s="1"/>
  <c r="V136" i="68"/>
  <c r="T137" i="68" l="1"/>
  <c r="V137" i="68"/>
  <c r="S138" i="68"/>
  <c r="U138" i="68" s="1"/>
  <c r="T138" i="68" l="1"/>
  <c r="S139" i="68"/>
  <c r="U139" i="68" s="1"/>
  <c r="V138" i="68"/>
  <c r="T139" i="68" l="1"/>
  <c r="S140" i="68"/>
  <c r="U140" i="68" s="1"/>
  <c r="V139" i="68"/>
  <c r="T140" i="68" l="1"/>
  <c r="S141" i="68"/>
  <c r="U141" i="68" s="1"/>
  <c r="V140" i="68"/>
  <c r="T141" i="68" l="1"/>
  <c r="S142" i="68"/>
  <c r="U142" i="68" s="1"/>
  <c r="V141" i="68"/>
  <c r="T142" i="68" l="1"/>
  <c r="V142" i="68"/>
  <c r="S143" i="68"/>
  <c r="U143" i="68" s="1"/>
  <c r="T143" i="68" l="1"/>
  <c r="V143" i="68"/>
  <c r="S144" i="68"/>
  <c r="U144" i="68" s="1"/>
  <c r="T144" i="68" l="1"/>
  <c r="S145" i="68"/>
  <c r="U145" i="68" s="1"/>
  <c r="V144" i="68"/>
  <c r="T145" i="68" l="1"/>
  <c r="S146" i="68"/>
  <c r="U146" i="68" s="1"/>
  <c r="V145" i="68"/>
  <c r="T146" i="68" l="1"/>
  <c r="S147" i="68"/>
  <c r="U147" i="68" s="1"/>
  <c r="V146" i="68"/>
  <c r="T147" i="68" l="1"/>
  <c r="S148" i="68"/>
  <c r="U148" i="68" s="1"/>
  <c r="V147" i="68"/>
  <c r="T148" i="68" l="1"/>
  <c r="S149" i="68"/>
  <c r="U149" i="68" s="1"/>
  <c r="V148" i="68"/>
  <c r="T149" i="68" l="1"/>
  <c r="V149" i="68"/>
  <c r="S150" i="68"/>
  <c r="U150" i="68" s="1"/>
  <c r="T150" i="68" l="1"/>
  <c r="V150" i="68"/>
  <c r="S151" i="68"/>
  <c r="U151" i="68" s="1"/>
  <c r="T151" i="68" l="1"/>
  <c r="S152" i="68"/>
  <c r="U152" i="68" s="1"/>
  <c r="V151" i="68"/>
  <c r="T152" i="68" l="1"/>
  <c r="V152" i="68"/>
  <c r="S153" i="68"/>
  <c r="U153" i="68" s="1"/>
  <c r="T153" i="68" l="1"/>
  <c r="S154" i="68"/>
  <c r="U154" i="68" s="1"/>
  <c r="V153" i="68"/>
  <c r="T154" i="68" l="1"/>
  <c r="S155" i="68"/>
  <c r="U155" i="68" s="1"/>
  <c r="V154" i="68"/>
  <c r="T155" i="68" l="1"/>
  <c r="S156" i="68"/>
  <c r="U156" i="68" s="1"/>
  <c r="V155" i="68"/>
  <c r="T156" i="68" l="1"/>
  <c r="S157" i="68"/>
  <c r="U157" i="68" s="1"/>
  <c r="V156" i="68"/>
  <c r="T157" i="68" l="1"/>
  <c r="S158" i="68"/>
  <c r="U158" i="68" s="1"/>
  <c r="V157" i="68"/>
  <c r="T158" i="68" l="1"/>
  <c r="V158" i="68"/>
  <c r="S159" i="68"/>
  <c r="U159" i="68" s="1"/>
  <c r="T159" i="68" l="1"/>
  <c r="S160" i="68"/>
  <c r="U160" i="68" s="1"/>
  <c r="V159" i="68"/>
  <c r="T160" i="68" l="1"/>
  <c r="S161" i="68"/>
  <c r="U161" i="68" s="1"/>
  <c r="V160" i="68"/>
  <c r="T161" i="68" l="1"/>
  <c r="S162" i="68"/>
  <c r="U162" i="68" s="1"/>
  <c r="V161" i="68"/>
  <c r="T162" i="68" l="1"/>
  <c r="S163" i="68"/>
  <c r="U163" i="68" s="1"/>
  <c r="V162" i="68"/>
  <c r="T163" i="68" l="1"/>
  <c r="S164" i="68"/>
  <c r="U164" i="68" s="1"/>
  <c r="V163" i="68"/>
  <c r="T164" i="68" l="1"/>
  <c r="S165" i="68"/>
  <c r="U165" i="68" s="1"/>
  <c r="V164" i="68"/>
  <c r="T165" i="68" l="1"/>
  <c r="S166" i="68"/>
  <c r="U166" i="68" s="1"/>
  <c r="V165" i="68"/>
  <c r="T166" i="68" l="1"/>
  <c r="V166" i="68"/>
  <c r="S167" i="68"/>
  <c r="U167" i="68" s="1"/>
  <c r="T167" i="68" l="1"/>
  <c r="S168" i="68"/>
  <c r="U168" i="68" s="1"/>
  <c r="V167" i="68"/>
  <c r="T168" i="68" l="1"/>
  <c r="S169" i="68"/>
  <c r="U169" i="68" s="1"/>
  <c r="V168" i="68"/>
  <c r="T169" i="68" l="1"/>
  <c r="S170" i="68"/>
  <c r="U170" i="68" s="1"/>
  <c r="V169" i="68"/>
  <c r="T170" i="68" l="1"/>
  <c r="S171" i="68"/>
  <c r="U171" i="68" s="1"/>
  <c r="V170" i="68"/>
  <c r="T171" i="68" l="1"/>
  <c r="S172" i="68"/>
  <c r="U172" i="68" s="1"/>
  <c r="V171" i="68"/>
  <c r="T172" i="68" l="1"/>
  <c r="S173" i="68"/>
  <c r="U173" i="68" s="1"/>
  <c r="V172" i="68"/>
  <c r="T173" i="68" l="1"/>
  <c r="S174" i="68"/>
  <c r="U174" i="68" s="1"/>
  <c r="V173" i="68"/>
  <c r="T174" i="68" l="1"/>
  <c r="V174" i="68"/>
  <c r="S175" i="68"/>
  <c r="U175" i="68" s="1"/>
  <c r="T175" i="68" l="1"/>
  <c r="S176" i="68"/>
  <c r="U176" i="68" s="1"/>
  <c r="V175" i="68"/>
  <c r="T176" i="68" l="1"/>
  <c r="S177" i="68"/>
  <c r="U177" i="68" s="1"/>
  <c r="V176" i="68"/>
  <c r="T177" i="68" l="1"/>
  <c r="S178" i="68"/>
  <c r="U178" i="68" s="1"/>
  <c r="V177" i="68"/>
  <c r="T178" i="68" l="1"/>
  <c r="S179" i="68"/>
  <c r="U179" i="68" s="1"/>
  <c r="V178" i="68"/>
  <c r="T179" i="68" l="1"/>
  <c r="S180" i="68"/>
  <c r="U180" i="68" s="1"/>
  <c r="V179" i="68"/>
  <c r="T180" i="68" l="1"/>
  <c r="S181" i="68"/>
  <c r="U181" i="68" s="1"/>
  <c r="V180" i="68"/>
  <c r="T181" i="68" l="1"/>
  <c r="S182" i="68"/>
  <c r="U182" i="68" s="1"/>
  <c r="V181" i="68"/>
  <c r="T182" i="68" l="1"/>
  <c r="V182" i="68"/>
  <c r="S183" i="68"/>
  <c r="U183" i="68" s="1"/>
  <c r="T183" i="68" l="1"/>
  <c r="S184" i="68"/>
  <c r="U184" i="68" s="1"/>
  <c r="V183" i="68"/>
  <c r="T184" i="68" l="1"/>
  <c r="S185" i="68"/>
  <c r="U185" i="68" s="1"/>
  <c r="V184" i="68"/>
  <c r="T185" i="68" l="1"/>
  <c r="S186" i="68"/>
  <c r="U186" i="68" s="1"/>
  <c r="V185" i="68"/>
  <c r="T186" i="68" l="1"/>
  <c r="S187" i="68"/>
  <c r="U187" i="68" s="1"/>
  <c r="V186" i="68"/>
  <c r="T187" i="68" l="1"/>
  <c r="S188" i="68"/>
  <c r="U188" i="68" s="1"/>
  <c r="V187" i="68"/>
  <c r="T188" i="68" l="1"/>
  <c r="S189" i="68"/>
  <c r="U189" i="68" s="1"/>
  <c r="V188" i="68"/>
  <c r="T189" i="68" l="1"/>
  <c r="S190" i="68"/>
  <c r="U190" i="68" s="1"/>
  <c r="V189" i="68"/>
  <c r="T190" i="68" l="1"/>
  <c r="V190" i="68"/>
  <c r="S191" i="68"/>
  <c r="U191" i="68" s="1"/>
  <c r="T191" i="68" l="1"/>
  <c r="S192" i="68"/>
  <c r="U192" i="68" s="1"/>
  <c r="V191" i="68"/>
  <c r="T192" i="68" l="1"/>
  <c r="S193" i="68"/>
  <c r="U193" i="68" s="1"/>
  <c r="V192" i="68"/>
  <c r="T193" i="68" l="1"/>
  <c r="S194" i="68"/>
  <c r="U194" i="68" s="1"/>
  <c r="V193" i="68"/>
  <c r="T194" i="68" l="1"/>
  <c r="S195" i="68"/>
  <c r="U195" i="68" s="1"/>
  <c r="V194" i="68"/>
  <c r="T195" i="68" l="1"/>
  <c r="V195" i="68"/>
  <c r="S196" i="68"/>
  <c r="U196" i="68" s="1"/>
  <c r="T196" i="68" l="1"/>
  <c r="S197" i="68"/>
  <c r="U197" i="68" s="1"/>
  <c r="V196" i="68"/>
  <c r="T197" i="68" l="1"/>
  <c r="S198" i="68"/>
  <c r="U198" i="68" s="1"/>
  <c r="V197" i="68"/>
  <c r="T198" i="68" l="1"/>
  <c r="V198" i="68"/>
  <c r="S199" i="68"/>
  <c r="U199" i="68" s="1"/>
  <c r="T199" i="68" l="1"/>
  <c r="S200" i="68"/>
  <c r="U200" i="68" s="1"/>
  <c r="V199" i="68"/>
  <c r="T200" i="68" l="1"/>
  <c r="S201" i="68"/>
  <c r="U201" i="68" s="1"/>
  <c r="V200" i="68"/>
  <c r="T201" i="68" l="1"/>
  <c r="S202" i="68"/>
  <c r="U202" i="68" s="1"/>
  <c r="V201" i="68"/>
  <c r="T202" i="68" l="1"/>
  <c r="S203" i="68"/>
  <c r="U203" i="68" s="1"/>
  <c r="V202" i="68"/>
  <c r="T203" i="68" l="1"/>
  <c r="S204" i="68"/>
  <c r="U204" i="68" s="1"/>
  <c r="V203" i="68"/>
  <c r="T204" i="68" l="1"/>
  <c r="S205" i="68"/>
  <c r="U205" i="68" s="1"/>
  <c r="V204" i="68"/>
  <c r="T205" i="68" l="1"/>
  <c r="S206" i="68"/>
  <c r="U206" i="68" s="1"/>
  <c r="V205" i="68"/>
  <c r="T206" i="68" l="1"/>
  <c r="V206" i="68"/>
  <c r="S207" i="68"/>
  <c r="U207" i="68" s="1"/>
  <c r="T207" i="68" l="1"/>
  <c r="S208" i="68"/>
  <c r="U208" i="68" s="1"/>
  <c r="V207" i="68"/>
  <c r="T208" i="68" l="1"/>
  <c r="S209" i="68"/>
  <c r="U209" i="68" s="1"/>
  <c r="V208" i="68"/>
  <c r="T209" i="68" l="1"/>
  <c r="S210" i="68"/>
  <c r="U210" i="68" s="1"/>
  <c r="V209" i="68"/>
  <c r="T210" i="68" l="1"/>
  <c r="S211" i="68"/>
  <c r="U211" i="68" s="1"/>
  <c r="V210" i="68"/>
  <c r="T211" i="68" l="1"/>
  <c r="S212" i="68"/>
  <c r="U212" i="68" s="1"/>
  <c r="V211" i="68"/>
  <c r="T212" i="68" l="1"/>
  <c r="S213" i="68"/>
  <c r="U213" i="68" s="1"/>
  <c r="V212" i="68"/>
  <c r="T213" i="68" l="1"/>
  <c r="S214" i="68"/>
  <c r="U214" i="68" s="1"/>
  <c r="V213" i="68"/>
  <c r="T214" i="68" l="1"/>
  <c r="V214" i="68"/>
  <c r="S215" i="68"/>
  <c r="U215" i="68" s="1"/>
  <c r="T215" i="68" l="1"/>
  <c r="S216" i="68"/>
  <c r="U216" i="68" s="1"/>
  <c r="V215" i="68"/>
  <c r="T216" i="68" l="1"/>
  <c r="S217" i="68"/>
  <c r="U217" i="68" s="1"/>
  <c r="V216" i="68"/>
  <c r="T217" i="68" l="1"/>
  <c r="S218" i="68"/>
  <c r="U218" i="68" s="1"/>
  <c r="V217" i="68"/>
  <c r="T218" i="68" l="1"/>
  <c r="S219" i="68"/>
  <c r="U219" i="68" s="1"/>
  <c r="V218" i="68"/>
  <c r="T219" i="68" l="1"/>
  <c r="S220" i="68"/>
  <c r="U220" i="68" s="1"/>
  <c r="V219" i="68"/>
  <c r="T220" i="68" l="1"/>
  <c r="S221" i="68"/>
  <c r="U221" i="68" s="1"/>
  <c r="V220" i="68"/>
  <c r="T221" i="68" l="1"/>
  <c r="S222" i="68"/>
  <c r="U222" i="68" s="1"/>
  <c r="V221" i="68"/>
  <c r="T222" i="68" l="1"/>
  <c r="V222" i="68"/>
  <c r="S223" i="68"/>
  <c r="U223" i="68" s="1"/>
  <c r="T223" i="68" l="1"/>
  <c r="S224" i="68"/>
  <c r="U224" i="68" s="1"/>
  <c r="V223" i="68"/>
  <c r="T224" i="68" l="1"/>
  <c r="S225" i="68"/>
  <c r="U225" i="68" s="1"/>
  <c r="V224" i="68"/>
  <c r="T225" i="68" l="1"/>
  <c r="S226" i="68"/>
  <c r="U226" i="68" s="1"/>
  <c r="V225" i="68"/>
  <c r="T226" i="68" l="1"/>
  <c r="S227" i="68"/>
  <c r="U227" i="68" s="1"/>
  <c r="V226" i="68"/>
  <c r="T227" i="68" l="1"/>
  <c r="S228" i="68"/>
  <c r="U228" i="68" s="1"/>
  <c r="V227" i="68"/>
  <c r="T228" i="68" l="1"/>
  <c r="S229" i="68"/>
  <c r="U229" i="68" s="1"/>
  <c r="V228" i="68"/>
  <c r="T229" i="68" l="1"/>
  <c r="S230" i="68"/>
  <c r="U230" i="68" s="1"/>
  <c r="V229" i="68"/>
  <c r="T230" i="68" l="1"/>
  <c r="V230" i="68"/>
  <c r="S231" i="68"/>
  <c r="U231" i="68" s="1"/>
  <c r="T231" i="68" l="1"/>
  <c r="V231" i="68"/>
  <c r="S232" i="68"/>
  <c r="U232" i="68" s="1"/>
  <c r="T232" i="68" l="1"/>
  <c r="S233" i="68"/>
  <c r="U233" i="68" s="1"/>
  <c r="V232" i="68"/>
  <c r="T233" i="68" l="1"/>
  <c r="S234" i="68"/>
  <c r="U234" i="68" s="1"/>
  <c r="V233" i="68"/>
  <c r="T234" i="68" l="1"/>
  <c r="S235" i="68"/>
  <c r="U235" i="68" s="1"/>
  <c r="V234" i="68"/>
  <c r="T235" i="68" l="1"/>
  <c r="S236" i="68"/>
  <c r="U236" i="68" s="1"/>
  <c r="V235" i="68"/>
  <c r="T236" i="68" l="1"/>
  <c r="S237" i="68"/>
  <c r="U237" i="68" s="1"/>
  <c r="V236" i="68"/>
  <c r="T237" i="68" l="1"/>
  <c r="S238" i="68"/>
  <c r="U238" i="68" s="1"/>
  <c r="V237" i="68"/>
  <c r="T238" i="68" l="1"/>
  <c r="V238" i="68"/>
  <c r="S239" i="68"/>
  <c r="U239" i="68" s="1"/>
  <c r="T239" i="68" l="1"/>
  <c r="V239" i="68"/>
  <c r="S240" i="68"/>
  <c r="U240" i="68" s="1"/>
  <c r="T240" i="68" l="1"/>
  <c r="S241" i="68"/>
  <c r="U241" i="68" s="1"/>
  <c r="V240" i="68"/>
  <c r="T241" i="68" l="1"/>
  <c r="S242" i="68"/>
  <c r="U242" i="68" s="1"/>
  <c r="V241" i="68"/>
  <c r="T242" i="68" l="1"/>
  <c r="S243" i="68"/>
  <c r="U243" i="68" s="1"/>
  <c r="V242" i="68"/>
  <c r="T243" i="68" l="1"/>
  <c r="S244" i="68"/>
  <c r="U244" i="68" s="1"/>
  <c r="V243" i="68"/>
  <c r="T244" i="68" l="1"/>
  <c r="S245" i="68"/>
  <c r="U245" i="68" s="1"/>
  <c r="V244" i="68"/>
  <c r="T245" i="68" l="1"/>
  <c r="V245" i="68"/>
  <c r="S246" i="68"/>
  <c r="U246" i="68" s="1"/>
  <c r="T246" i="68" l="1"/>
  <c r="V246" i="68"/>
  <c r="S247" i="68"/>
  <c r="U247" i="68" s="1"/>
  <c r="T247" i="68" l="1"/>
  <c r="V247" i="68"/>
  <c r="S248" i="68"/>
  <c r="U248" i="68" s="1"/>
  <c r="T248" i="68" l="1"/>
  <c r="V248" i="68"/>
  <c r="S249" i="68"/>
  <c r="U249" i="68" s="1"/>
  <c r="T249" i="68" l="1"/>
  <c r="V249" i="68"/>
  <c r="S250" i="68"/>
  <c r="U250" i="68" s="1"/>
  <c r="T250" i="68" l="1"/>
  <c r="V250" i="68"/>
  <c r="S251" i="68"/>
  <c r="U251" i="68" s="1"/>
  <c r="T251" i="68" l="1"/>
  <c r="V251" i="68"/>
  <c r="S252" i="68"/>
  <c r="U252" i="68" s="1"/>
  <c r="T252" i="68" l="1"/>
  <c r="V252" i="68"/>
  <c r="S253" i="68"/>
  <c r="U253" i="68" s="1"/>
  <c r="T253" i="68" l="1"/>
  <c r="V253" i="68"/>
  <c r="S254" i="68"/>
  <c r="U254" i="68" s="1"/>
  <c r="T254" i="68" l="1"/>
  <c r="V254" i="68"/>
  <c r="S255" i="68"/>
  <c r="U255" i="68" s="1"/>
  <c r="T255" i="68" l="1"/>
  <c r="V255" i="68"/>
  <c r="S256" i="68"/>
  <c r="U256" i="68" s="1"/>
  <c r="T256" i="68" l="1"/>
  <c r="V256" i="68"/>
  <c r="S257" i="68"/>
  <c r="U257" i="68" s="1"/>
  <c r="T257" i="68" l="1"/>
  <c r="V257" i="68"/>
  <c r="S258" i="68"/>
  <c r="U258" i="68" s="1"/>
  <c r="T258" i="68" l="1"/>
  <c r="V258" i="68"/>
  <c r="S259" i="68"/>
  <c r="U259" i="68" s="1"/>
  <c r="T259" i="68" l="1"/>
  <c r="V259" i="68"/>
  <c r="S260" i="68"/>
  <c r="U260" i="68" s="1"/>
  <c r="T260" i="68" l="1"/>
  <c r="V260" i="68"/>
  <c r="S261" i="68"/>
  <c r="U261" i="68" s="1"/>
  <c r="T261" i="68" l="1"/>
  <c r="V261" i="68"/>
  <c r="S262" i="68"/>
  <c r="U262" i="68" s="1"/>
  <c r="T262" i="68" l="1"/>
  <c r="V262" i="68"/>
  <c r="S263" i="68"/>
  <c r="U263" i="68" s="1"/>
  <c r="T263" i="68" l="1"/>
  <c r="V263" i="68"/>
  <c r="S264" i="68"/>
  <c r="U264" i="68" s="1"/>
  <c r="T264" i="68" l="1"/>
  <c r="V264" i="68"/>
  <c r="S265" i="68"/>
  <c r="U265" i="68" s="1"/>
  <c r="T265" i="68" l="1"/>
  <c r="V265" i="68"/>
  <c r="S266" i="68"/>
  <c r="U266" i="68" s="1"/>
  <c r="T266" i="68" l="1"/>
  <c r="V266" i="68"/>
  <c r="S267" i="68"/>
  <c r="U267" i="68" s="1"/>
  <c r="T267" i="68" l="1"/>
  <c r="V267" i="68"/>
  <c r="S268" i="68"/>
  <c r="U268" i="68" s="1"/>
  <c r="T268" i="68" l="1"/>
  <c r="V268" i="68"/>
  <c r="S269" i="68"/>
  <c r="U269" i="68" s="1"/>
  <c r="T269" i="68" l="1"/>
  <c r="V269" i="68"/>
  <c r="S270" i="68"/>
  <c r="U270" i="68" s="1"/>
  <c r="T270" i="68" l="1"/>
  <c r="V270" i="68"/>
  <c r="S271" i="68"/>
  <c r="U271" i="68" s="1"/>
  <c r="T271" i="68" l="1"/>
  <c r="V271" i="68"/>
  <c r="S272" i="68"/>
  <c r="U272" i="68" s="1"/>
  <c r="T272" i="68" l="1"/>
  <c r="V272" i="68"/>
  <c r="S273" i="68"/>
  <c r="U273" i="68" s="1"/>
  <c r="T273" i="68" l="1"/>
  <c r="V273" i="68"/>
  <c r="S274" i="68"/>
  <c r="U274" i="68" s="1"/>
  <c r="T274" i="68" l="1"/>
  <c r="V274" i="68"/>
  <c r="S275" i="68"/>
  <c r="U275" i="68" s="1"/>
  <c r="T275" i="68" l="1"/>
  <c r="V275" i="68"/>
  <c r="S276" i="68"/>
  <c r="U276" i="68" s="1"/>
  <c r="T276" i="68" l="1"/>
  <c r="V276" i="68"/>
  <c r="S277" i="68"/>
  <c r="U277" i="68" s="1"/>
  <c r="T277" i="68" l="1"/>
  <c r="V277" i="68"/>
  <c r="S278" i="68"/>
  <c r="U278" i="68" s="1"/>
  <c r="T278" i="68" l="1"/>
  <c r="V278" i="68"/>
  <c r="S279" i="68"/>
  <c r="U279" i="68" s="1"/>
  <c r="T279" i="68" l="1"/>
  <c r="V279" i="68"/>
  <c r="S280" i="68"/>
  <c r="U280" i="68" s="1"/>
  <c r="T280" i="68" l="1"/>
  <c r="V280" i="68"/>
  <c r="S281" i="68"/>
  <c r="U281" i="68" s="1"/>
  <c r="T281" i="68" l="1"/>
  <c r="V281" i="68"/>
  <c r="S282" i="68"/>
  <c r="U282" i="68" s="1"/>
  <c r="T282" i="68" l="1"/>
  <c r="V282" i="68"/>
  <c r="S283" i="68"/>
  <c r="U283" i="68" s="1"/>
  <c r="T283" i="68" l="1"/>
  <c r="V283" i="68"/>
  <c r="S284" i="68"/>
  <c r="U284" i="68" s="1"/>
  <c r="T284" i="68" l="1"/>
  <c r="V284" i="68"/>
  <c r="S285" i="68"/>
  <c r="U285" i="68" s="1"/>
  <c r="T285" i="68" l="1"/>
  <c r="V285" i="68"/>
  <c r="S286" i="68"/>
  <c r="U286" i="68" s="1"/>
  <c r="T286" i="68" l="1"/>
  <c r="V286" i="68"/>
  <c r="S287" i="68"/>
  <c r="U287" i="68" s="1"/>
  <c r="T287" i="68" l="1"/>
  <c r="V287" i="68"/>
  <c r="S288" i="68"/>
  <c r="U288" i="68" s="1"/>
  <c r="T288" i="68" l="1"/>
  <c r="V288" i="68"/>
  <c r="S289" i="68"/>
  <c r="U289" i="68" s="1"/>
  <c r="T289" i="68" l="1"/>
  <c r="V289" i="68"/>
  <c r="S290" i="68"/>
  <c r="U290" i="68" s="1"/>
  <c r="T290" i="68" l="1"/>
  <c r="V290" i="68"/>
  <c r="S291" i="68"/>
  <c r="U291" i="68" s="1"/>
  <c r="T291" i="68" l="1"/>
  <c r="V291" i="68"/>
  <c r="S292" i="68"/>
  <c r="U292" i="68" s="1"/>
  <c r="T292" i="68" l="1"/>
  <c r="V292" i="68"/>
  <c r="S293" i="68"/>
  <c r="U293" i="68" s="1"/>
  <c r="T293" i="68" l="1"/>
  <c r="V293" i="68"/>
  <c r="S294" i="68"/>
  <c r="U294" i="68" s="1"/>
  <c r="T294" i="68" l="1"/>
  <c r="V294" i="68"/>
  <c r="S295" i="68"/>
  <c r="U295" i="68" s="1"/>
  <c r="T295" i="68" l="1"/>
  <c r="V295" i="68"/>
  <c r="S296" i="68"/>
  <c r="U296" i="68" s="1"/>
  <c r="T296" i="68" l="1"/>
  <c r="V296" i="68"/>
  <c r="S297" i="68"/>
  <c r="U297" i="68" s="1"/>
  <c r="T297" i="68" l="1"/>
  <c r="V297" i="68"/>
  <c r="S298" i="68"/>
  <c r="U298" i="68" s="1"/>
  <c r="T298" i="68" l="1"/>
  <c r="V298" i="68"/>
  <c r="S299" i="68"/>
  <c r="U299" i="68" s="1"/>
  <c r="T299" i="68" l="1"/>
  <c r="V299" i="68"/>
  <c r="S300" i="68"/>
  <c r="U300" i="68" s="1"/>
  <c r="T300" i="68" l="1"/>
  <c r="V300" i="68"/>
  <c r="S301" i="68"/>
  <c r="U301" i="68" s="1"/>
  <c r="T301" i="68" l="1"/>
  <c r="V301" i="68"/>
  <c r="S302" i="68"/>
  <c r="U302" i="68" s="1"/>
  <c r="T302" i="68" l="1"/>
  <c r="V302" i="68"/>
  <c r="S303" i="68"/>
  <c r="U303" i="68" s="1"/>
  <c r="T303" i="68" l="1"/>
  <c r="V303" i="68"/>
  <c r="S304" i="68"/>
  <c r="U304" i="68" s="1"/>
  <c r="T304" i="68" l="1"/>
  <c r="V304" i="68"/>
  <c r="S305" i="68"/>
  <c r="U305" i="68" s="1"/>
  <c r="T305" i="68" l="1"/>
  <c r="V305" i="68"/>
  <c r="S306" i="68"/>
  <c r="U306" i="68" s="1"/>
  <c r="T306" i="68" l="1"/>
  <c r="V306" i="68"/>
  <c r="S307" i="68"/>
  <c r="U307" i="68" s="1"/>
  <c r="T307" i="68" l="1"/>
  <c r="V307" i="68"/>
  <c r="S308" i="68"/>
  <c r="U308" i="68" s="1"/>
  <c r="T308" i="68" l="1"/>
  <c r="V308" i="68"/>
  <c r="S309" i="68"/>
  <c r="U309" i="68" s="1"/>
  <c r="T309" i="68" l="1"/>
  <c r="V309" i="68"/>
  <c r="S310" i="68"/>
  <c r="U310" i="68" s="1"/>
  <c r="T310" i="68" l="1"/>
  <c r="V310" i="68"/>
  <c r="S311" i="68"/>
  <c r="U311" i="68" s="1"/>
  <c r="T311" i="68" l="1"/>
  <c r="V311" i="68"/>
  <c r="S312" i="68"/>
  <c r="U312" i="68" s="1"/>
  <c r="T312" i="68" l="1"/>
  <c r="V312" i="68"/>
  <c r="S313" i="68"/>
  <c r="U313" i="68" s="1"/>
  <c r="T313" i="68" l="1"/>
  <c r="V313" i="68"/>
  <c r="S314" i="68"/>
  <c r="U314" i="68" s="1"/>
  <c r="T314" i="68" l="1"/>
  <c r="V314" i="68"/>
  <c r="S315" i="68"/>
  <c r="U315" i="68" s="1"/>
  <c r="T315" i="68" l="1"/>
  <c r="V315" i="68"/>
  <c r="S316" i="68"/>
  <c r="U316" i="68" s="1"/>
  <c r="T316" i="68" l="1"/>
  <c r="V316" i="68"/>
  <c r="S317" i="68"/>
  <c r="U317" i="68" s="1"/>
  <c r="T317" i="68" l="1"/>
  <c r="V317" i="68"/>
  <c r="S318" i="68"/>
  <c r="U318" i="68" s="1"/>
  <c r="T318" i="68" l="1"/>
  <c r="V318" i="68"/>
  <c r="S319" i="68"/>
  <c r="U319" i="68" s="1"/>
  <c r="T319" i="68" l="1"/>
  <c r="V319" i="68"/>
  <c r="S320" i="68"/>
  <c r="U320" i="68" s="1"/>
  <c r="T320" i="68" l="1"/>
  <c r="V320" i="68"/>
  <c r="S321" i="68"/>
  <c r="U321" i="68" s="1"/>
  <c r="T321" i="68" l="1"/>
  <c r="V321" i="68"/>
  <c r="S322" i="68"/>
  <c r="U322" i="68" s="1"/>
  <c r="T322" i="68" l="1"/>
  <c r="V322" i="68"/>
  <c r="S323" i="68"/>
  <c r="U323" i="68" s="1"/>
  <c r="T323" i="68" l="1"/>
  <c r="V323" i="68"/>
  <c r="S324" i="68"/>
  <c r="U324" i="68" s="1"/>
  <c r="T324" i="68" l="1"/>
  <c r="V324" i="68"/>
  <c r="S325" i="68"/>
  <c r="U325" i="68" s="1"/>
  <c r="T325" i="68" l="1"/>
  <c r="V325" i="68"/>
  <c r="S326" i="68"/>
  <c r="U326" i="68" s="1"/>
  <c r="T326" i="68" l="1"/>
  <c r="V326" i="68"/>
  <c r="S327" i="68"/>
  <c r="U327" i="68" s="1"/>
  <c r="T327" i="68" l="1"/>
  <c r="V327" i="68"/>
  <c r="S328" i="68"/>
  <c r="U328" i="68" s="1"/>
  <c r="T328" i="68" l="1"/>
  <c r="V328" i="68"/>
  <c r="S329" i="68"/>
  <c r="U329" i="68" s="1"/>
  <c r="T329" i="68" l="1"/>
  <c r="V329" i="68"/>
  <c r="S330" i="68"/>
  <c r="U330" i="68" s="1"/>
  <c r="T330" i="68" l="1"/>
  <c r="V330" i="68"/>
  <c r="S331" i="68"/>
  <c r="U331" i="68" s="1"/>
  <c r="T331" i="68" l="1"/>
  <c r="V331" i="68"/>
  <c r="S332" i="68"/>
  <c r="U332" i="68" s="1"/>
  <c r="T332" i="68" l="1"/>
  <c r="V332" i="68"/>
  <c r="S333" i="68"/>
  <c r="U333" i="68" s="1"/>
  <c r="T333" i="68" l="1"/>
  <c r="V333" i="68"/>
  <c r="S334" i="68"/>
  <c r="U334" i="68" s="1"/>
  <c r="T334" i="68" l="1"/>
  <c r="V334" i="68"/>
  <c r="S335" i="68"/>
  <c r="U335" i="68" s="1"/>
  <c r="T335" i="68" l="1"/>
  <c r="V335" i="68"/>
  <c r="S336" i="68"/>
  <c r="U336" i="68" s="1"/>
  <c r="T336" i="68" l="1"/>
  <c r="V336" i="68"/>
  <c r="S337" i="68"/>
  <c r="U337" i="68" s="1"/>
  <c r="T337" i="68" l="1"/>
  <c r="V337" i="68"/>
  <c r="S338" i="68"/>
  <c r="U338" i="68" s="1"/>
  <c r="T338" i="68" l="1"/>
  <c r="V338" i="68"/>
  <c r="S339" i="68"/>
  <c r="U339" i="68" s="1"/>
  <c r="T339" i="68" l="1"/>
  <c r="V339" i="68"/>
  <c r="S340" i="68"/>
  <c r="U340" i="68" s="1"/>
  <c r="T340" i="68" l="1"/>
  <c r="V340" i="68"/>
  <c r="S341" i="68"/>
  <c r="U341" i="68" s="1"/>
  <c r="T341" i="68" l="1"/>
  <c r="V341" i="68"/>
  <c r="S342" i="68"/>
  <c r="U342" i="68" s="1"/>
  <c r="T342" i="68" l="1"/>
  <c r="V342" i="68"/>
  <c r="S343" i="68"/>
  <c r="U343" i="68" s="1"/>
  <c r="T343" i="68" l="1"/>
  <c r="V343" i="68"/>
  <c r="S344" i="68"/>
  <c r="U344" i="68" s="1"/>
  <c r="T344" i="68" l="1"/>
  <c r="V344" i="68"/>
  <c r="S345" i="68"/>
  <c r="U345" i="68" s="1"/>
  <c r="T345" i="68" l="1"/>
  <c r="V345" i="68"/>
  <c r="S346" i="68"/>
  <c r="U346" i="68" s="1"/>
  <c r="T346" i="68" l="1"/>
  <c r="V346" i="68"/>
  <c r="S347" i="68"/>
  <c r="U347" i="68" s="1"/>
  <c r="T347" i="68" l="1"/>
  <c r="V347" i="68"/>
  <c r="S348" i="68"/>
  <c r="U348" i="68" s="1"/>
  <c r="T348" i="68" l="1"/>
  <c r="V348" i="68"/>
  <c r="S349" i="68"/>
  <c r="U349" i="68" s="1"/>
  <c r="T349" i="68" l="1"/>
  <c r="V349" i="68"/>
  <c r="S350" i="68"/>
  <c r="U350" i="68" s="1"/>
  <c r="T350" i="68" l="1"/>
  <c r="V350" i="68"/>
  <c r="S351" i="68"/>
  <c r="U351" i="68" s="1"/>
  <c r="T351" i="68" l="1"/>
  <c r="V351" i="68"/>
  <c r="S352" i="68"/>
  <c r="U352" i="68" s="1"/>
  <c r="T352" i="68" l="1"/>
  <c r="V352" i="68"/>
  <c r="S353" i="68"/>
  <c r="U353" i="68" s="1"/>
  <c r="T353" i="68" l="1"/>
  <c r="V353" i="68"/>
  <c r="S354" i="68"/>
  <c r="U354" i="68" s="1"/>
  <c r="T354" i="68" l="1"/>
  <c r="V354" i="68"/>
  <c r="S355" i="68"/>
  <c r="U355" i="68" s="1"/>
  <c r="T355" i="68" l="1"/>
  <c r="V355" i="68"/>
  <c r="S356" i="68"/>
  <c r="U356" i="68" s="1"/>
  <c r="T356" i="68" l="1"/>
  <c r="V356" i="68"/>
  <c r="S357" i="68"/>
  <c r="U357" i="68" s="1"/>
  <c r="T357" i="68" l="1"/>
  <c r="V357" i="68"/>
  <c r="S358" i="68"/>
  <c r="U358" i="68" l="1"/>
  <c r="S359" i="68"/>
  <c r="T358" i="68"/>
  <c r="V358" i="68"/>
  <c r="S360" i="68" l="1"/>
  <c r="U359" i="68"/>
  <c r="T359" i="68"/>
  <c r="V359" i="68"/>
  <c r="U360" i="68" l="1"/>
  <c r="T360" i="68"/>
  <c r="S361" i="68"/>
  <c r="V360" i="68"/>
  <c r="U361" i="68" l="1"/>
  <c r="T361" i="68"/>
  <c r="S362" i="68"/>
  <c r="V361" i="68"/>
  <c r="U362" i="68" l="1"/>
  <c r="T362" i="68"/>
  <c r="S363" i="68"/>
  <c r="V362" i="68"/>
  <c r="U363" i="68" l="1"/>
  <c r="T363" i="68"/>
  <c r="S364" i="68"/>
  <c r="V363" i="68"/>
  <c r="U364" i="68" l="1"/>
  <c r="T364" i="68"/>
  <c r="S365" i="68"/>
  <c r="V364" i="68"/>
  <c r="U365" i="68" l="1"/>
  <c r="T365" i="68"/>
  <c r="S366" i="68"/>
  <c r="V365" i="68"/>
  <c r="U366" i="68" l="1"/>
  <c r="T366" i="68"/>
  <c r="V366" i="68"/>
  <c r="S367" i="68"/>
  <c r="W367" i="68" s="1"/>
  <c r="T367" i="68" l="1"/>
  <c r="V367" i="68"/>
  <c r="F51" i="92" l="1"/>
  <c r="D51" i="92" l="1"/>
  <c r="G51" i="92" s="1"/>
  <c r="E51" i="92"/>
  <c r="D12" i="98"/>
  <c r="P12" i="98" l="1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D36" i="96"/>
  <c r="P36" i="96" s="1"/>
  <c r="F47" i="88"/>
  <c r="F49" i="88" s="1"/>
  <c r="F51" i="88" s="1"/>
  <c r="F14" i="93" s="1"/>
  <c r="F15" i="93" s="1"/>
  <c r="E27" i="92" l="1"/>
  <c r="G19" i="82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E17" i="88"/>
  <c r="G49" i="88"/>
  <c r="E14" i="93"/>
  <c r="H51" i="88"/>
  <c r="G48" i="88"/>
  <c r="G50" i="88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G51" i="88" l="1"/>
  <c r="G15" i="88"/>
  <c r="G13" i="88"/>
  <c r="G12" i="88"/>
  <c r="H17" i="88"/>
  <c r="G14" i="88"/>
  <c r="G16" i="88"/>
  <c r="G11" i="88"/>
  <c r="F25" i="92"/>
  <c r="H14" i="93"/>
  <c r="E15" i="93"/>
  <c r="F38" i="93"/>
  <c r="E25" i="93"/>
  <c r="P9" i="96"/>
  <c r="P23" i="96"/>
  <c r="P30" i="96"/>
  <c r="P16" i="96"/>
  <c r="P37" i="96"/>
  <c r="G14" i="93" l="1"/>
  <c r="G12" i="93"/>
  <c r="G11" i="93"/>
  <c r="G13" i="93"/>
  <c r="H15" i="93"/>
  <c r="G17" i="88"/>
  <c r="G15" i="93" l="1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<sst xmlns="http://schemas.openxmlformats.org/spreadsheetml/2006/main" count="800" uniqueCount="297">
  <si>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</si>
  <si>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</si>
  <si>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</si>
  <si>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</si>
  <si>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</si>
  <si>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</si>
  <si>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</si>
  <si>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</si>
  <si>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</si>
  <si>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</si>
  <si>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</si>
  <si>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</si>
  <si>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</si>
  <si>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</si>
  <si>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</si>
  <si>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</si>
  <si>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</si>
  <si>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</si>
  <si>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</si>
  <si>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</si>
  <si>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</si>
  <si>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</si>
  <si>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</si>
  <si>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</si>
  <si>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</si>
  <si>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</si>
  <si>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</si>
  <si>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</si>
  <si>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</si>
  <si>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</si>
  <si>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</si>
  <si>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</si>
  <si>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</si>
  <si>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</si>
  <si>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</si>
  <si>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</si>
  <si>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</si>
  <si>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</si>
  <si>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</si>
  <si>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</si>
  <si>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</si>
  <si>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</si>
  <si>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</si>
  <si>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</si>
  <si>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</si>
  <si>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</si>
  <si>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</si>
  <si>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</si>
  <si>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</si>
  <si>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</si>
  <si>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</si>
  <si>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</si>
  <si>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</si>
  <si>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</si>
  <si>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</si>
  <si>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</si>
  <si>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</si>
  <si>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</si>
  <si>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</si>
  <si>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</si>
  <si>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</si>
  <si>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</si>
  <si>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</si>
  <si>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</si>
  <si>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</si>
  <si>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</si>
  <si>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</si>
  <si>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</si>
  <si>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</si>
  <si>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</si>
  <si>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</si>
  <si>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</si>
  <si>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</si>
  <si>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</si>
  <si>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</si>
  <si>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</si>
  <si>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</si>
  <si>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</si>
  <si>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</si>
  <si>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</si>
  <si>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</si>
  <si>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</si>
  <si>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</si>
  <si>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</si>
  <si>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</si>
  <si>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</si>
  <si>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</si>
  <si>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</si>
  <si>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</si>
  <si>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</si>
  <si>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</si>
  <si>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</si>
  <si>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</si>
  <si>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</si>
  <si>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</si>
  <si>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</si>
  <si>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</si>
  <si>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</si>
  <si>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Zkratka</t>
  </si>
  <si>
    <t>Význam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</si>
  <si>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</si>
  <si>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</si>
  <si>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</si>
  <si>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</si>
  <si>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</si>
  <si>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</si>
  <si>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</si>
  <si>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</si>
  <si>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</si>
  <si>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</si>
  <si>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</si>
  <si>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</si>
  <si>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</si>
  <si>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</si>
  <si>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</si>
  <si>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</si>
  <si>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</si>
  <si>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</si>
  <si>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%</t>
  </si>
  <si>
    <t>Kategorie</t>
  </si>
  <si>
    <t>DTG</t>
  </si>
  <si>
    <t>Denní teplotní gradient (změna spotřeby plynu při jednotkové změně teploty)</t>
  </si>
  <si>
    <t>ERÚ</t>
  </si>
  <si>
    <t>Energetický regulační úřad</t>
  </si>
  <si>
    <t>OTE</t>
  </si>
  <si>
    <t>Společnost OTE, a.s. (operátor trhu)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</si>
  <si>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</si>
  <si>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</si>
  <si>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</si>
  <si>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</si>
  <si>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</si>
  <si>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</si>
  <si>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</si>
  <si>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</si>
  <si>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</si>
  <si>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</si>
  <si>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</si>
  <si>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</si>
  <si>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</si>
  <si>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</si>
  <si>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</si>
  <si>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</si>
  <si>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</si>
  <si>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</si>
  <si>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</si>
  <si>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</si>
  <si>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</si>
  <si>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</si>
  <si>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</si>
  <si>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</si>
  <si>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</si>
  <si>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</si>
  <si>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</si>
  <si>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</si>
  <si>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</si>
  <si>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</si>
  <si>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</si>
  <si>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</si>
  <si>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</si>
  <si>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</si>
  <si>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</si>
  <si>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</si>
  <si>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</si>
  <si>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</si>
  <si>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</si>
  <si>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</si>
  <si>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</si>
  <si>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</si>
  <si>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</si>
  <si>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</si>
  <si>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</si>
  <si>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</si>
  <si>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</si>
  <si>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</si>
  <si>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</si>
  <si>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</si>
  <si>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</si>
  <si>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</si>
  <si>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</si>
  <si>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</si>
  <si>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</si>
  <si>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</si>
  <si>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</si>
  <si>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</si>
  <si>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</si>
  <si>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</si>
  <si>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</si>
  <si>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</si>
  <si>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</si>
  <si>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</si>
  <si>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</si>
  <si>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</si>
  <si>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</si>
  <si>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</si>
  <si>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</si>
  <si>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</si>
  <si>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</si>
  <si>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</si>
  <si>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</si>
  <si>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</si>
  <si>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</si>
  <si>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</si>
  <si>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</si>
  <si>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</si>
  <si>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</si>
  <si>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</si>
  <si>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</si>
  <si>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</si>
  <si>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</si>
  <si>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</si>
  <si>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</si>
  <si>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</si>
  <si>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</si>
  <si>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</si>
  <si>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</si>
  <si>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</si>
  <si>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</si>
  <si>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</si>
  <si>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</si>
  <si>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</si>
  <si>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</si>
  <si>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</si>
  <si>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</si>
  <si>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</si>
  <si>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</si>
  <si>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</si>
  <si>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</si>
  <si>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</si>
  <si>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</si>
  <si>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</si>
  <si>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</si>
  <si>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</si>
  <si>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</si>
  <si>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</si>
  <si>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</si>
  <si>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</si>
  <si>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</si>
  <si>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</si>
  <si>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</si>
  <si>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</si>
  <si>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</si>
  <si>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</si>
  <si>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</si>
  <si>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</si>
  <si>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</si>
  <si>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</si>
  <si>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</si>
  <si>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</si>
  <si>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</si>
  <si>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</si>
  <si>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</si>
  <si>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</si>
  <si>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</si>
  <si>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</si>
  <si>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</si>
  <si>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</si>
  <si>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</si>
  <si>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</si>
  <si>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</si>
  <si>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</si>
  <si>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</si>
  <si>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</si>
  <si>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</si>
  <si>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</si>
  <si>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</si>
  <si>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</si>
  <si>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</si>
  <si>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</si>
  <si>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</si>
  <si>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</si>
  <si>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</si>
  <si>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</si>
  <si>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</si>
  <si>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</si>
  <si>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</si>
  <si>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</si>
  <si>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</si>
  <si>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</si>
  <si>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</si>
  <si>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</si>
  <si>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</si>
  <si>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</si>
  <si>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</si>
  <si>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</si>
  <si>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</si>
  <si>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</si>
  <si>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</si>
  <si>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</si>
  <si>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</si>
  <si>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</si>
  <si>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</si>
  <si>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</si>
  <si>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</si>
  <si>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</si>
  <si>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</si>
  <si>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m+1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</si>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</sst>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dddd"/>
    <numFmt numFmtId="171" formatCode="#,##0.00000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936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2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2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5" fillId="3" borderId="41" xfId="2" applyNumberFormat="1" applyFont="1" applyFill="1" applyBorder="1" applyAlignment="1">
      <alignment vertical="center" wrapText="1"/>
    </xf>
    <xf numFmtId="1" fontId="35" fillId="3" borderId="42" xfId="2" applyNumberFormat="1" applyFont="1" applyFill="1" applyBorder="1" applyAlignment="1">
      <alignment vertical="center" wrapText="1"/>
    </xf>
    <xf numFmtId="1" fontId="35" fillId="3" borderId="43" xfId="2" applyNumberFormat="1" applyFont="1" applyFill="1" applyBorder="1" applyAlignment="1">
      <alignment vertical="center" wrapText="1"/>
    </xf>
    <xf numFmtId="1" fontId="35" fillId="3" borderId="44" xfId="2" applyNumberFormat="1" applyFont="1" applyFill="1" applyBorder="1" applyAlignment="1">
      <alignment vertical="center" wrapText="1"/>
    </xf>
    <xf numFmtId="1" fontId="35" fillId="3" borderId="45" xfId="2" applyNumberFormat="1" applyFont="1" applyFill="1" applyBorder="1" applyAlignment="1">
      <alignment vertical="center" wrapText="1"/>
    </xf>
    <xf numFmtId="1" fontId="35" fillId="3" borderId="46" xfId="2" applyNumberFormat="1" applyFont="1" applyFill="1" applyBorder="1" applyAlignment="1">
      <alignment vertical="center" wrapText="1"/>
    </xf>
    <xf numFmtId="1" fontId="35" fillId="3" borderId="47" xfId="2" applyNumberFormat="1" applyFont="1" applyFill="1" applyBorder="1" applyAlignment="1">
      <alignment vertical="center" wrapText="1"/>
    </xf>
    <xf numFmtId="1" fontId="35" fillId="3" borderId="48" xfId="2" applyNumberFormat="1" applyFont="1" applyFill="1" applyBorder="1" applyAlignment="1">
      <alignment vertical="center" wrapText="1"/>
    </xf>
    <xf numFmtId="1" fontId="35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5" fillId="3" borderId="0" xfId="2" applyNumberFormat="1" applyFont="1" applyFill="1" applyBorder="1" applyAlignment="1">
      <alignment vertical="center" wrapText="1"/>
    </xf>
    <xf numFmtId="1" fontId="35" fillId="3" borderId="51" xfId="2" applyNumberFormat="1" applyFont="1" applyFill="1" applyBorder="1" applyAlignment="1">
      <alignment vertical="center" wrapText="1"/>
    </xf>
    <xf numFmtId="1" fontId="35" fillId="3" borderId="50" xfId="2" applyNumberFormat="1" applyFont="1" applyFill="1" applyBorder="1" applyAlignment="1">
      <alignment vertical="center" wrapText="1"/>
    </xf>
    <xf numFmtId="1" fontId="35" fillId="3" borderId="52" xfId="2" applyNumberFormat="1" applyFont="1" applyFill="1" applyBorder="1" applyAlignment="1">
      <alignment vertical="center" wrapText="1"/>
    </xf>
    <xf numFmtId="1" fontId="35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5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5" fillId="9" borderId="45" xfId="2" applyNumberFormat="1" applyFont="1" applyFill="1" applyBorder="1" applyAlignment="1">
      <alignment vertical="center" wrapText="1"/>
    </xf>
    <xf numFmtId="1" fontId="35" fillId="12" borderId="45" xfId="2" applyNumberFormat="1" applyFont="1" applyFill="1" applyBorder="1" applyAlignment="1">
      <alignment vertical="center" wrapText="1"/>
    </xf>
    <xf numFmtId="1" fontId="39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5" fillId="3" borderId="55" xfId="2" applyNumberFormat="1" applyFont="1" applyFill="1" applyBorder="1" applyAlignment="1">
      <alignment vertical="center" wrapText="1"/>
    </xf>
    <xf numFmtId="1" fontId="35" fillId="10" borderId="45" xfId="2" applyNumberFormat="1" applyFont="1" applyFill="1" applyBorder="1" applyAlignment="1">
      <alignment vertical="center" wrapText="1"/>
    </xf>
    <xf numFmtId="1" fontId="35" fillId="11" borderId="45" xfId="2" applyNumberFormat="1" applyFont="1" applyFill="1" applyBorder="1" applyAlignment="1">
      <alignment vertical="center" wrapText="1"/>
    </xf>
    <xf numFmtId="1" fontId="36" fillId="2" borderId="0" xfId="2" applyNumberFormat="1" applyFont="1" applyFill="1" applyAlignment="1">
      <alignment horizontal="left" vertical="top"/>
    </xf>
    <xf numFmtId="1" fontId="36" fillId="2" borderId="0" xfId="2" applyNumberFormat="1" applyFont="1" applyFill="1" applyAlignment="1">
      <alignment horizontal="right" vertical="top"/>
    </xf>
    <xf numFmtId="1" fontId="36" fillId="2" borderId="0" xfId="0" applyNumberFormat="1" applyFont="1" applyFill="1" applyAlignment="1">
      <alignment horizontal="left" vertical="center" wrapText="1"/>
    </xf>
    <xf numFmtId="0" fontId="37" fillId="3" borderId="0" xfId="0" applyFont="1" applyFill="1" applyBorder="1"/>
    <xf numFmtId="0" fontId="42" fillId="3" borderId="0" xfId="0" applyFont="1" applyFill="1" applyBorder="1"/>
    <xf numFmtId="0" fontId="40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top"/>
    </xf>
    <xf numFmtId="0" fontId="43" fillId="3" borderId="0" xfId="0" applyFont="1" applyFill="1" applyBorder="1" applyAlignment="1">
      <alignment vertical="top"/>
    </xf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7" fillId="2" borderId="60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4" fillId="2" borderId="62" xfId="0" applyFont="1" applyFill="1" applyBorder="1" applyAlignment="1">
      <alignment horizontal="center" vertical="center" wrapText="1"/>
    </xf>
    <xf numFmtId="164" fontId="44" fillId="2" borderId="60" xfId="1" applyNumberFormat="1" applyFont="1" applyFill="1" applyBorder="1" applyAlignment="1">
      <alignment horizontal="right" vertical="center"/>
    </xf>
    <xf numFmtId="164" fontId="44" fillId="12" borderId="60" xfId="1" applyNumberFormat="1" applyFont="1" applyFill="1" applyBorder="1" applyAlignment="1">
      <alignment horizontal="right" vertical="center"/>
    </xf>
    <xf numFmtId="164" fontId="44" fillId="9" borderId="60" xfId="1" applyNumberFormat="1" applyFont="1" applyFill="1" applyBorder="1" applyAlignment="1">
      <alignment horizontal="right" vertical="center"/>
    </xf>
    <xf numFmtId="0" fontId="45" fillId="3" borderId="61" xfId="0" applyFont="1" applyFill="1" applyBorder="1" applyAlignment="1">
      <alignment vertical="center"/>
    </xf>
    <xf numFmtId="0" fontId="45" fillId="3" borderId="60" xfId="0" applyFont="1" applyFill="1" applyBorder="1" applyAlignment="1">
      <alignment vertical="center"/>
    </xf>
    <xf numFmtId="164" fontId="44" fillId="2" borderId="60" xfId="1" applyNumberFormat="1" applyFont="1" applyFill="1" applyBorder="1" applyAlignment="1">
      <alignment vertical="center"/>
    </xf>
    <xf numFmtId="164" fontId="44" fillId="12" borderId="60" xfId="1" applyNumberFormat="1" applyFont="1" applyFill="1" applyBorder="1" applyAlignment="1">
      <alignment vertical="center"/>
    </xf>
    <xf numFmtId="164" fontId="44" fillId="3" borderId="60" xfId="1" applyNumberFormat="1" applyFont="1" applyFill="1" applyBorder="1" applyAlignment="1">
      <alignment vertical="center"/>
    </xf>
    <xf numFmtId="164" fontId="44" fillId="9" borderId="60" xfId="1" applyNumberFormat="1" applyFont="1" applyFill="1" applyBorder="1" applyAlignment="1">
      <alignment vertical="center"/>
    </xf>
    <xf numFmtId="0" fontId="45" fillId="3" borderId="62" xfId="0" applyFont="1" applyFill="1" applyBorder="1" applyAlignment="1">
      <alignment vertical="center"/>
    </xf>
    <xf numFmtId="164" fontId="44" fillId="3" borderId="60" xfId="1" applyNumberFormat="1" applyFont="1" applyFill="1" applyBorder="1" applyAlignment="1">
      <alignment horizontal="right" vertical="center"/>
    </xf>
    <xf numFmtId="0" fontId="44" fillId="2" borderId="60" xfId="0" applyFont="1" applyFill="1" applyBorder="1" applyAlignment="1">
      <alignment horizontal="right" vertical="center" wrapText="1"/>
    </xf>
    <xf numFmtId="0" fontId="44" fillId="2" borderId="62" xfId="0" applyFont="1" applyFill="1" applyBorder="1" applyAlignment="1">
      <alignment horizontal="right" vertical="center" wrapText="1"/>
    </xf>
    <xf numFmtId="0" fontId="45" fillId="2" borderId="61" xfId="0" applyFont="1" applyFill="1" applyBorder="1" applyAlignment="1">
      <alignment horizontal="right" vertical="center"/>
    </xf>
    <xf numFmtId="0" fontId="37" fillId="2" borderId="0" xfId="0" applyFont="1" applyFill="1" applyBorder="1" applyAlignment="1">
      <alignment horizontal="right" vertical="center"/>
    </xf>
    <xf numFmtId="0" fontId="4" fillId="2" borderId="63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wrapText="1"/>
    </xf>
    <xf numFmtId="0" fontId="4" fillId="2" borderId="63" xfId="0" applyFont="1" applyFill="1" applyBorder="1" applyAlignment="1">
      <alignment horizontal="center" vertical="center" wrapText="1"/>
    </xf>
    <xf numFmtId="164" fontId="4" fillId="2" borderId="63" xfId="1" applyNumberFormat="1" applyFont="1" applyFill="1" applyBorder="1" applyAlignment="1">
      <alignment horizontal="right" vertical="center"/>
    </xf>
    <xf numFmtId="164" fontId="4" fillId="12" borderId="63" xfId="1" applyNumberFormat="1" applyFont="1" applyFill="1" applyBorder="1" applyAlignment="1">
      <alignment horizontal="right" vertical="center"/>
    </xf>
    <xf numFmtId="164" fontId="4" fillId="9" borderId="63" xfId="1" applyNumberFormat="1" applyFont="1" applyFill="1" applyBorder="1" applyAlignment="1">
      <alignment horizontal="right" vertical="center"/>
    </xf>
    <xf numFmtId="0" fontId="3" fillId="3" borderId="64" xfId="0" applyFont="1" applyFill="1" applyBorder="1" applyAlignment="1">
      <alignment vertical="center"/>
    </xf>
    <xf numFmtId="0" fontId="3" fillId="3" borderId="63" xfId="0" applyFont="1" applyFill="1" applyBorder="1" applyAlignment="1">
      <alignment vertical="center"/>
    </xf>
    <xf numFmtId="164" fontId="4" fillId="2" borderId="63" xfId="1" applyNumberFormat="1" applyFont="1" applyFill="1" applyBorder="1" applyAlignment="1">
      <alignment vertical="center"/>
    </xf>
    <xf numFmtId="164" fontId="4" fillId="12" borderId="63" xfId="1" applyNumberFormat="1" applyFont="1" applyFill="1" applyBorder="1" applyAlignment="1">
      <alignment vertical="center"/>
    </xf>
    <xf numFmtId="164" fontId="4" fillId="9" borderId="63" xfId="1" applyNumberFormat="1" applyFont="1" applyFill="1" applyBorder="1" applyAlignment="1">
      <alignment vertical="center"/>
    </xf>
    <xf numFmtId="0" fontId="3" fillId="3" borderId="65" xfId="0" applyFont="1" applyFill="1" applyBorder="1" applyAlignment="1">
      <alignment vertical="center"/>
    </xf>
    <xf numFmtId="0" fontId="4" fillId="2" borderId="63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3" fillId="2" borderId="64" xfId="0" applyFont="1" applyFill="1" applyBorder="1" applyAlignment="1">
      <alignment vertical="center"/>
    </xf>
    <xf numFmtId="0" fontId="4" fillId="2" borderId="65" xfId="0" applyFont="1" applyFill="1" applyBorder="1" applyAlignment="1">
      <alignment horizontal="center" vertical="center" wrapText="1"/>
    </xf>
    <xf numFmtId="164" fontId="4" fillId="3" borderId="63" xfId="1" applyNumberFormat="1" applyFont="1" applyFill="1" applyBorder="1" applyAlignment="1">
      <alignment horizontal="right" vertical="center"/>
    </xf>
    <xf numFmtId="3" fontId="4" fillId="3" borderId="63" xfId="0" applyNumberFormat="1" applyFont="1" applyFill="1" applyBorder="1" applyAlignment="1">
      <alignment horizontal="right" vertical="center"/>
    </xf>
    <xf numFmtId="0" fontId="4" fillId="2" borderId="66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wrapText="1"/>
    </xf>
    <xf numFmtId="0" fontId="4" fillId="2" borderId="66" xfId="0" applyFont="1" applyFill="1" applyBorder="1" applyAlignment="1">
      <alignment horizontal="center" vertical="center" wrapText="1"/>
    </xf>
    <xf numFmtId="164" fontId="4" fillId="2" borderId="66" xfId="1" applyNumberFormat="1" applyFont="1" applyFill="1" applyBorder="1" applyAlignment="1">
      <alignment horizontal="right" vertical="center"/>
    </xf>
    <xf numFmtId="164" fontId="4" fillId="12" borderId="66" xfId="1" applyNumberFormat="1" applyFont="1" applyFill="1" applyBorder="1" applyAlignment="1">
      <alignment horizontal="right" vertical="center"/>
    </xf>
    <xf numFmtId="164" fontId="4" fillId="9" borderId="66" xfId="1" applyNumberFormat="1" applyFont="1" applyFill="1" applyBorder="1" applyAlignment="1">
      <alignment horizontal="right" vertical="center"/>
    </xf>
    <xf numFmtId="0" fontId="3" fillId="3" borderId="67" xfId="0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3" fillId="3" borderId="68" xfId="0" applyFont="1" applyFill="1" applyBorder="1" applyAlignment="1">
      <alignment vertical="center"/>
    </xf>
    <xf numFmtId="0" fontId="4" fillId="2" borderId="66" xfId="0" applyFont="1" applyFill="1" applyBorder="1" applyAlignment="1">
      <alignment vertical="center" wrapText="1"/>
    </xf>
    <xf numFmtId="0" fontId="4" fillId="2" borderId="68" xfId="0" applyFont="1" applyFill="1" applyBorder="1" applyAlignment="1">
      <alignment vertical="center" wrapText="1"/>
    </xf>
    <xf numFmtId="0" fontId="3" fillId="2" borderId="67" xfId="0" applyFont="1" applyFill="1" applyBorder="1" applyAlignment="1">
      <alignment vertical="center"/>
    </xf>
    <xf numFmtId="0" fontId="4" fillId="2" borderId="68" xfId="0" applyFont="1" applyFill="1" applyBorder="1" applyAlignment="1">
      <alignment horizontal="center" vertical="center" wrapText="1"/>
    </xf>
    <xf numFmtId="164" fontId="4" fillId="3" borderId="66" xfId="1" applyNumberFormat="1" applyFont="1" applyFill="1" applyBorder="1" applyAlignment="1">
      <alignment horizontal="right" vertical="center"/>
    </xf>
    <xf numFmtId="3" fontId="4" fillId="3" borderId="66" xfId="0" applyNumberFormat="1" applyFont="1" applyFill="1" applyBorder="1" applyAlignment="1">
      <alignment horizontal="right" vertical="center"/>
    </xf>
    <xf numFmtId="0" fontId="44" fillId="2" borderId="6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4" xfId="1" applyNumberFormat="1" applyFont="1" applyFill="1" applyBorder="1" applyAlignment="1">
      <alignment horizontal="right" vertical="center"/>
    </xf>
    <xf numFmtId="164" fontId="44" fillId="2" borderId="61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7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4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69" xfId="0" applyFont="1" applyFill="1" applyBorder="1" applyAlignment="1">
      <alignment horizontal="center" wrapText="1"/>
    </xf>
    <xf numFmtId="0" fontId="4" fillId="2" borderId="69" xfId="0" applyFont="1" applyFill="1" applyBorder="1" applyAlignment="1">
      <alignment horizontal="center" vertical="center" wrapText="1"/>
    </xf>
    <xf numFmtId="164" fontId="4" fillId="2" borderId="70" xfId="1" applyNumberFormat="1" applyFont="1" applyFill="1" applyBorder="1" applyAlignment="1">
      <alignment horizontal="right" vertical="center"/>
    </xf>
    <xf numFmtId="0" fontId="3" fillId="3" borderId="69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4" fillId="2" borderId="72" xfId="1" applyNumberFormat="1" applyFont="1" applyFill="1" applyBorder="1" applyAlignment="1">
      <alignment horizontal="right" vertical="center"/>
    </xf>
    <xf numFmtId="0" fontId="45" fillId="3" borderId="71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69" xfId="1" applyNumberFormat="1" applyFont="1" applyFill="1" applyBorder="1" applyAlignment="1">
      <alignment horizontal="right" vertical="center"/>
    </xf>
    <xf numFmtId="166" fontId="44" fillId="2" borderId="71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69" xfId="1" applyNumberFormat="1" applyFont="1" applyFill="1" applyBorder="1" applyAlignment="1">
      <alignment horizontal="right" vertical="center"/>
    </xf>
    <xf numFmtId="166" fontId="44" fillId="9" borderId="71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4" fillId="2" borderId="71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3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3" xfId="0" applyFont="1" applyFill="1" applyBorder="1" applyAlignment="1">
      <alignment horizontal="center" vertical="center" wrapText="1"/>
    </xf>
    <xf numFmtId="166" fontId="4" fillId="2" borderId="73" xfId="0" applyNumberFormat="1" applyFont="1" applyFill="1" applyBorder="1" applyAlignment="1">
      <alignment horizontal="right" vertical="center"/>
    </xf>
    <xf numFmtId="166" fontId="4" fillId="9" borderId="73" xfId="0" applyNumberFormat="1" applyFont="1" applyFill="1" applyBorder="1" applyAlignment="1">
      <alignment horizontal="right" vertical="center"/>
    </xf>
    <xf numFmtId="3" fontId="4" fillId="2" borderId="74" xfId="0" applyNumberFormat="1" applyFont="1" applyFill="1" applyBorder="1" applyAlignment="1">
      <alignment horizontal="right" vertical="center"/>
    </xf>
    <xf numFmtId="0" fontId="3" fillId="3" borderId="73" xfId="0" applyFont="1" applyFill="1" applyBorder="1" applyAlignment="1">
      <alignment vertical="center"/>
    </xf>
    <xf numFmtId="0" fontId="4" fillId="2" borderId="75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vertical="center" wrapText="1"/>
    </xf>
    <xf numFmtId="166" fontId="4" fillId="2" borderId="75" xfId="0" applyNumberFormat="1" applyFont="1" applyFill="1" applyBorder="1" applyAlignment="1">
      <alignment horizontal="right" vertical="center"/>
    </xf>
    <xf numFmtId="166" fontId="4" fillId="9" borderId="75" xfId="0" applyNumberFormat="1" applyFont="1" applyFill="1" applyBorder="1" applyAlignment="1">
      <alignment horizontal="right" vertical="center"/>
    </xf>
    <xf numFmtId="3" fontId="4" fillId="2" borderId="76" xfId="0" applyNumberFormat="1" applyFont="1" applyFill="1" applyBorder="1" applyAlignment="1">
      <alignment horizontal="right" vertical="center"/>
    </xf>
    <xf numFmtId="3" fontId="4" fillId="3" borderId="75" xfId="0" applyNumberFormat="1" applyFont="1" applyFill="1" applyBorder="1" applyAlignment="1">
      <alignment vertical="center"/>
    </xf>
    <xf numFmtId="0" fontId="4" fillId="2" borderId="69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3" xfId="1" applyNumberFormat="1" applyFont="1" applyFill="1" applyBorder="1" applyAlignment="1">
      <alignment horizontal="right" vertical="center"/>
    </xf>
    <xf numFmtId="164" fontId="4" fillId="11" borderId="66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7" xfId="0" applyNumberFormat="1" applyFont="1" applyFill="1" applyBorder="1" applyAlignment="1">
      <alignment horizontal="right" vertical="center"/>
    </xf>
    <xf numFmtId="3" fontId="4" fillId="3" borderId="66" xfId="0" applyNumberFormat="1" applyFont="1" applyFill="1" applyBorder="1" applyAlignment="1">
      <alignment vertical="center"/>
    </xf>
    <xf numFmtId="166" fontId="44" fillId="2" borderId="60" xfId="1" applyNumberFormat="1" applyFont="1" applyFill="1" applyBorder="1" applyAlignment="1">
      <alignment horizontal="right" vertical="center"/>
    </xf>
    <xf numFmtId="166" fontId="44" fillId="9" borderId="60" xfId="1" applyNumberFormat="1" applyFont="1" applyFill="1" applyBorder="1" applyAlignment="1">
      <alignment horizontal="right" vertical="center"/>
    </xf>
    <xf numFmtId="166" fontId="4" fillId="2" borderId="66" xfId="0" applyNumberFormat="1" applyFont="1" applyFill="1" applyBorder="1" applyAlignment="1">
      <alignment horizontal="right" vertical="center"/>
    </xf>
    <xf numFmtId="166" fontId="4" fillId="3" borderId="66" xfId="0" applyNumberFormat="1" applyFont="1" applyFill="1" applyBorder="1" applyAlignment="1">
      <alignment horizontal="right" vertical="center"/>
    </xf>
    <xf numFmtId="166" fontId="4" fillId="9" borderId="66" xfId="0" applyNumberFormat="1" applyFont="1" applyFill="1" applyBorder="1" applyAlignment="1">
      <alignment horizontal="right" vertical="center"/>
    </xf>
    <xf numFmtId="166" fontId="4" fillId="3" borderId="75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7" xfId="2" applyFont="1" applyFill="1" applyBorder="1" applyAlignment="1">
      <alignment horizontal="center" vertical="center" wrapText="1"/>
    </xf>
    <xf numFmtId="3" fontId="4" fillId="3" borderId="78" xfId="2" applyNumberFormat="1" applyFont="1" applyFill="1" applyBorder="1" applyAlignment="1">
      <alignment horizontal="right" vertical="center" wrapText="1"/>
    </xf>
    <xf numFmtId="3" fontId="4" fillId="3" borderId="77" xfId="2" applyNumberFormat="1" applyFont="1" applyFill="1" applyBorder="1" applyAlignment="1">
      <alignment horizontal="center" vertical="center" wrapText="1"/>
    </xf>
    <xf numFmtId="3" fontId="4" fillId="3" borderId="78" xfId="2" applyNumberFormat="1" applyFont="1" applyFill="1" applyBorder="1" applyAlignment="1">
      <alignment vertical="center"/>
    </xf>
    <xf numFmtId="3" fontId="4" fillId="3" borderId="77" xfId="2" applyNumberFormat="1" applyFont="1" applyFill="1" applyBorder="1" applyAlignment="1">
      <alignment horizontal="center" vertical="center"/>
    </xf>
    <xf numFmtId="3" fontId="4" fillId="3" borderId="78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8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79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79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79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79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0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2" xfId="2" applyFont="1" applyFill="1" applyBorder="1"/>
    <xf numFmtId="0" fontId="3" fillId="2" borderId="81" xfId="2" applyFont="1" applyFill="1" applyBorder="1" applyAlignment="1">
      <alignment horizontal="right"/>
    </xf>
    <xf numFmtId="0" fontId="3" fillId="2" borderId="83" xfId="2" applyFont="1" applyFill="1" applyBorder="1"/>
    <xf numFmtId="0" fontId="3" fillId="2" borderId="81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4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0" fillId="3" borderId="86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right" vertical="center"/>
    </xf>
    <xf numFmtId="0" fontId="40" fillId="3" borderId="88" xfId="0" applyFont="1" applyFill="1" applyBorder="1" applyAlignment="1">
      <alignment horizontal="left" vertical="center"/>
    </xf>
    <xf numFmtId="0" fontId="4" fillId="2" borderId="88" xfId="0" applyFont="1" applyFill="1" applyBorder="1" applyAlignment="1">
      <alignment horizontal="left" vertical="center" wrapText="1"/>
    </xf>
    <xf numFmtId="0" fontId="4" fillId="2" borderId="69" xfId="0" applyFont="1" applyFill="1" applyBorder="1" applyAlignment="1">
      <alignment horizontal="right" vertical="center"/>
    </xf>
    <xf numFmtId="0" fontId="4" fillId="2" borderId="86" xfId="0" applyFont="1" applyFill="1" applyBorder="1" applyAlignment="1">
      <alignment horizontal="right" vertical="center" wrapText="1"/>
    </xf>
    <xf numFmtId="0" fontId="4" fillId="2" borderId="89" xfId="0" applyFont="1" applyFill="1" applyBorder="1" applyAlignment="1">
      <alignment vertical="center"/>
    </xf>
    <xf numFmtId="0" fontId="4" fillId="2" borderId="88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0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0" fontId="4" fillId="2" borderId="11" xfId="0" applyNumberFormat="1" applyFont="1" applyFill="1" applyBorder="1" applyAlignment="1">
      <alignment horizontal="left"/>
    </xf>
    <xf numFmtId="0" fontId="4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47" fillId="2" borderId="0" xfId="2" applyNumberFormat="1" applyFont="1" applyFill="1" applyAlignment="1">
      <alignment horizontal="right"/>
    </xf>
    <xf numFmtId="164" fontId="44" fillId="2" borderId="71" xfId="1" applyNumberFormat="1" applyFont="1" applyFill="1" applyBorder="1" applyAlignment="1">
      <alignment horizontal="right" vertical="center"/>
    </xf>
    <xf numFmtId="164" fontId="44" fillId="3" borderId="71" xfId="1" applyNumberFormat="1" applyFont="1" applyFill="1" applyBorder="1" applyAlignment="1">
      <alignment horizontal="right" vertical="center"/>
    </xf>
    <xf numFmtId="164" fontId="44" fillId="11" borderId="71" xfId="1" applyNumberFormat="1" applyFont="1" applyFill="1" applyBorder="1" applyAlignment="1">
      <alignment horizontal="right" vertical="center"/>
    </xf>
    <xf numFmtId="0" fontId="14" fillId="2" borderId="91" xfId="2" applyFont="1" applyFill="1" applyBorder="1" applyAlignment="1"/>
    <xf numFmtId="0" fontId="32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/>
    <xf numFmtId="0" fontId="37" fillId="2" borderId="0" xfId="2" applyFont="1" applyFill="1" applyBorder="1" applyAlignment="1">
      <alignment wrapText="1"/>
    </xf>
    <xf numFmtId="0" fontId="37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92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7" fillId="3" borderId="0" xfId="2" applyNumberFormat="1" applyFont="1" applyFill="1" applyBorder="1" applyAlignment="1">
      <alignment vertical="center" wrapText="1"/>
    </xf>
    <xf numFmtId="166" fontId="37" fillId="3" borderId="0" xfId="2" applyNumberFormat="1" applyFont="1" applyFill="1" applyBorder="1" applyAlignment="1">
      <alignment horizontal="left" wrapText="1"/>
    </xf>
    <xf numFmtId="166" fontId="37" fillId="3" borderId="0" xfId="2" applyNumberFormat="1" applyFont="1" applyFill="1" applyBorder="1" applyAlignment="1">
      <alignment horizontal="center" wrapText="1"/>
    </xf>
    <xf numFmtId="0" fontId="48" fillId="14" borderId="0" xfId="2" applyFont="1" applyFill="1" applyAlignment="1">
      <alignment horizontal="left" vertical="center" wrapText="1"/>
    </xf>
    <xf numFmtId="0" fontId="48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7" fillId="2" borderId="0" xfId="2" applyFont="1" applyFill="1"/>
    <xf numFmtId="0" fontId="50" fillId="3" borderId="0" xfId="2" applyFont="1" applyFill="1" applyAlignment="1">
      <alignment vertical="center" wrapText="1"/>
    </xf>
    <xf numFmtId="0" fontId="50" fillId="2" borderId="0" xfId="2" applyFont="1" applyFill="1" applyAlignment="1">
      <alignment vertical="center" wrapText="1"/>
    </xf>
    <xf numFmtId="166" fontId="50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0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0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0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0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0" fillId="3" borderId="87" xfId="0" applyFont="1" applyFill="1" applyBorder="1" applyAlignment="1">
      <alignment horizontal="left" vertical="center"/>
    </xf>
    <xf numFmtId="0" fontId="4" fillId="3" borderId="95" xfId="2" applyFont="1" applyFill="1" applyBorder="1" applyAlignment="1">
      <alignment horizontal="right" vertical="center"/>
    </xf>
    <xf numFmtId="0" fontId="4" fillId="3" borderId="96" xfId="2" applyFont="1" applyFill="1" applyBorder="1" applyAlignment="1">
      <alignment horizontal="left" vertical="center" wrapText="1"/>
    </xf>
    <xf numFmtId="164" fontId="15" fillId="3" borderId="97" xfId="1" applyNumberFormat="1" applyFont="1" applyFill="1" applyBorder="1" applyAlignment="1">
      <alignment horizontal="right" vertical="center"/>
    </xf>
    <xf numFmtId="164" fontId="15" fillId="3" borderId="96" xfId="1" applyNumberFormat="1" applyFont="1" applyFill="1" applyBorder="1" applyAlignment="1">
      <alignment horizontal="right" vertical="center"/>
    </xf>
    <xf numFmtId="164" fontId="4" fillId="3" borderId="97" xfId="1" applyNumberFormat="1" applyFont="1" applyFill="1" applyBorder="1" applyAlignment="1">
      <alignment horizontal="right" vertical="center"/>
    </xf>
    <xf numFmtId="164" fontId="4" fillId="3" borderId="96" xfId="1" applyNumberFormat="1" applyFont="1" applyFill="1" applyBorder="1" applyAlignment="1">
      <alignment horizontal="right" vertical="center"/>
    </xf>
    <xf numFmtId="164" fontId="4" fillId="3" borderId="98" xfId="1" applyNumberFormat="1" applyFont="1" applyFill="1" applyBorder="1" applyAlignment="1">
      <alignment horizontal="right" vertical="center"/>
    </xf>
    <xf numFmtId="0" fontId="4" fillId="9" borderId="95" xfId="2" applyFont="1" applyFill="1" applyBorder="1" applyAlignment="1">
      <alignment horizontal="right" vertical="center" wrapText="1"/>
    </xf>
    <xf numFmtId="0" fontId="4" fillId="9" borderId="96" xfId="2" applyFont="1" applyFill="1" applyBorder="1" applyAlignment="1">
      <alignment horizontal="left" vertical="center"/>
    </xf>
    <xf numFmtId="166" fontId="15" fillId="9" borderId="97" xfId="2" applyNumberFormat="1" applyFont="1" applyFill="1" applyBorder="1" applyAlignment="1">
      <alignment horizontal="right" vertical="center"/>
    </xf>
    <xf numFmtId="166" fontId="15" fillId="9" borderId="96" xfId="2" applyNumberFormat="1" applyFont="1" applyFill="1" applyBorder="1" applyAlignment="1">
      <alignment horizontal="right" vertical="center"/>
    </xf>
    <xf numFmtId="166" fontId="4" fillId="9" borderId="97" xfId="2" applyNumberFormat="1" applyFont="1" applyFill="1" applyBorder="1" applyAlignment="1">
      <alignment horizontal="right" vertical="center"/>
    </xf>
    <xf numFmtId="166" fontId="4" fillId="9" borderId="96" xfId="2" applyNumberFormat="1" applyFont="1" applyFill="1" applyBorder="1" applyAlignment="1">
      <alignment horizontal="right" vertical="center"/>
    </xf>
    <xf numFmtId="166" fontId="4" fillId="9" borderId="98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95" xfId="2" applyFont="1" applyFill="1" applyBorder="1" applyAlignment="1">
      <alignment horizontal="right" vertical="center"/>
    </xf>
    <xf numFmtId="0" fontId="4" fillId="3" borderId="96" xfId="2" applyFont="1" applyFill="1" applyBorder="1" applyAlignment="1">
      <alignment horizontal="left" vertical="center"/>
    </xf>
    <xf numFmtId="166" fontId="15" fillId="3" borderId="97" xfId="2" applyNumberFormat="1" applyFont="1" applyFill="1" applyBorder="1" applyAlignment="1">
      <alignment horizontal="right" vertical="center"/>
    </xf>
    <xf numFmtId="166" fontId="15" fillId="3" borderId="96" xfId="2" applyNumberFormat="1" applyFont="1" applyFill="1" applyBorder="1" applyAlignment="1">
      <alignment horizontal="right" vertical="center"/>
    </xf>
    <xf numFmtId="166" fontId="4" fillId="3" borderId="97" xfId="2" applyNumberFormat="1" applyFont="1" applyFill="1" applyBorder="1" applyAlignment="1">
      <alignment horizontal="right" vertical="center"/>
    </xf>
    <xf numFmtId="166" fontId="4" fillId="3" borderId="96" xfId="2" applyNumberFormat="1" applyFont="1" applyFill="1" applyBorder="1" applyAlignment="1">
      <alignment horizontal="right" vertical="center"/>
    </xf>
    <xf numFmtId="166" fontId="4" fillId="3" borderId="98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0" xfId="2" applyFont="1" applyFill="1" applyBorder="1"/>
    <xf numFmtId="0" fontId="3" fillId="2" borderId="69" xfId="2" applyFont="1" applyFill="1" applyBorder="1"/>
    <xf numFmtId="0" fontId="3" fillId="2" borderId="99" xfId="2" applyFont="1" applyFill="1" applyBorder="1"/>
    <xf numFmtId="0" fontId="37" fillId="2" borderId="86" xfId="2" applyFont="1" applyFill="1" applyBorder="1" applyAlignment="1">
      <alignment horizontal="right"/>
    </xf>
    <xf numFmtId="166" fontId="37" fillId="3" borderId="100" xfId="2" applyNumberFormat="1" applyFont="1" applyFill="1" applyBorder="1" applyAlignment="1">
      <alignment horizontal="right" vertical="center"/>
    </xf>
    <xf numFmtId="0" fontId="37" fillId="2" borderId="88" xfId="2" applyFont="1" applyFill="1" applyBorder="1" applyAlignment="1">
      <alignment horizontal="right"/>
    </xf>
    <xf numFmtId="166" fontId="37" fillId="3" borderId="101" xfId="2" applyNumberFormat="1" applyFont="1" applyFill="1" applyBorder="1" applyAlignment="1">
      <alignment horizontal="right" vertical="center"/>
    </xf>
    <xf numFmtId="165" fontId="37" fillId="2" borderId="89" xfId="2" applyNumberFormat="1" applyFont="1" applyFill="1" applyBorder="1"/>
    <xf numFmtId="165" fontId="37" fillId="2" borderId="90" xfId="2" applyNumberFormat="1" applyFont="1" applyFill="1" applyBorder="1"/>
    <xf numFmtId="165" fontId="37" fillId="2" borderId="86" xfId="2" applyNumberFormat="1" applyFont="1" applyFill="1" applyBorder="1"/>
    <xf numFmtId="165" fontId="37" fillId="2" borderId="85" xfId="2" applyNumberFormat="1" applyFont="1" applyFill="1" applyBorder="1"/>
    <xf numFmtId="165" fontId="37" fillId="2" borderId="88" xfId="2" applyNumberFormat="1" applyFont="1" applyFill="1" applyBorder="1"/>
    <xf numFmtId="165" fontId="37" fillId="2" borderId="87" xfId="2" applyNumberFormat="1" applyFont="1" applyFill="1" applyBorder="1"/>
    <xf numFmtId="166" fontId="44" fillId="3" borderId="0" xfId="2" applyNumberFormat="1" applyFont="1" applyFill="1" applyBorder="1" applyAlignment="1">
      <alignment vertical="center" wrapText="1"/>
    </xf>
    <xf numFmtId="0" fontId="49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0" fillId="3" borderId="69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46" fillId="2" borderId="0" xfId="1" applyFont="1" applyFill="1"/>
    <xf numFmtId="0" fontId="4" fillId="2" borderId="0" xfId="0" applyFont="1" applyFill="1" applyBorder="1" applyAlignment="1">
      <alignment horizontal="left" vertical="center" wrapText="1"/>
    </xf>
    <xf numFmtId="0" fontId="37" fillId="3" borderId="90" xfId="0" applyFont="1" applyFill="1" applyBorder="1"/>
    <xf numFmtId="0" fontId="14" fillId="2" borderId="88" xfId="0" applyFont="1" applyFill="1" applyBorder="1"/>
    <xf numFmtId="0" fontId="4" fillId="2" borderId="88" xfId="0" applyFont="1" applyFill="1" applyBorder="1"/>
    <xf numFmtId="0" fontId="18" fillId="10" borderId="102" xfId="0" applyFont="1" applyFill="1" applyBorder="1" applyAlignment="1">
      <alignment horizontal="right" vertical="center"/>
    </xf>
    <xf numFmtId="166" fontId="9" fillId="2" borderId="0" xfId="0" applyNumberFormat="1" applyFont="1" applyFill="1"/>
    <xf numFmtId="171" fontId="3" fillId="2" borderId="0" xfId="0" applyNumberFormat="1" applyFont="1" applyFill="1"/>
    <xf numFmtId="1" fontId="39" fillId="13" borderId="45" xfId="2" applyNumberFormat="1" applyFont="1" applyFill="1" applyBorder="1" applyAlignment="1">
      <alignment horizontal="center" vertical="center" wrapText="1"/>
    </xf>
    <xf numFmtId="1" fontId="38" fillId="3" borderId="0" xfId="2" applyNumberFormat="1" applyFont="1" applyFill="1" applyBorder="1" applyAlignment="1">
      <alignment horizontal="center" vertical="center" wrapText="1"/>
    </xf>
    <xf numFmtId="1" fontId="38" fillId="3" borderId="47" xfId="2" applyNumberFormat="1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2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2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32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6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wrapText="1"/>
    </xf>
    <xf numFmtId="0" fontId="44" fillId="2" borderId="60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wrapText="1"/>
    </xf>
    <xf numFmtId="0" fontId="44" fillId="2" borderId="71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6" fillId="2" borderId="0" xfId="0" applyNumberFormat="1" applyFont="1" applyFill="1" applyBorder="1" applyAlignment="1">
      <alignment horizontal="left"/>
    </xf>
    <xf numFmtId="0" fontId="36" fillId="2" borderId="0" xfId="0" applyFont="1" applyFill="1" applyBorder="1" applyAlignment="1">
      <alignment horizontal="left"/>
    </xf>
    <xf numFmtId="1" fontId="36" fillId="3" borderId="0" xfId="0" applyNumberFormat="1" applyFont="1" applyFill="1" applyBorder="1" applyAlignment="1">
      <alignment horizontal="right" wrapText="1"/>
    </xf>
    <xf numFmtId="0" fontId="36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6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37" fillId="2" borderId="86" xfId="2" applyFont="1" applyFill="1" applyBorder="1" applyAlignment="1">
      <alignment horizontal="right"/>
    </xf>
    <xf numFmtId="0" fontId="37" fillId="2" borderId="88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1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6" fillId="3" borderId="0" xfId="2" applyNumberFormat="1" applyFont="1" applyFill="1" applyBorder="1" applyAlignment="1">
      <alignment horizontal="center" wrapText="1"/>
    </xf>
    <xf numFmtId="0" fontId="36" fillId="3" borderId="0" xfId="2" applyFont="1" applyFill="1" applyBorder="1" applyAlignment="1">
      <alignment horizontal="center" wrapText="1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0" fontId="34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left"/>
    </xf>
    <xf numFmtId="0" fontId="37" fillId="2" borderId="0" xfId="2" applyFont="1" applyFill="1" applyAlignment="1">
      <alignment horizontal="center" vertical="center"/>
    </xf>
    <xf numFmtId="0" fontId="49" fillId="2" borderId="0" xfId="2" applyFont="1" applyFill="1" applyAlignment="1">
      <alignment horizontal="left" vertical="top" wrapText="1"/>
    </xf>
    <xf numFmtId="166" fontId="4" fillId="3" borderId="0" xfId="2" applyNumberFormat="1" applyFont="1" applyFill="1" applyBorder="1" applyAlignment="1">
      <alignment horizontal="center" wrapText="1"/>
    </xf>
    <xf numFmtId="0" fontId="49" fillId="3" borderId="0" xfId="2" applyFont="1" applyFill="1" applyBorder="1" applyAlignment="1">
      <alignment horizontal="left"/>
    </xf>
    <xf numFmtId="166" fontId="4" fillId="3" borderId="0" xfId="2" applyNumberFormat="1" applyFont="1" applyFill="1" applyBorder="1" applyAlignment="1">
      <alignment horizontal="left" wrapText="1"/>
    </xf>
    <xf numFmtId="0" fontId="37" fillId="2" borderId="0" xfId="2" applyFont="1" applyFill="1" applyAlignment="1">
      <alignment horizontal="left" vertical="center" wrapText="1"/>
    </xf>
    <xf numFmtId="0" fontId="37" fillId="2" borderId="0" xfId="2" applyFont="1" applyFill="1" applyAlignment="1">
      <alignment horizontal="left" vertical="center"/>
    </xf>
    <xf numFmtId="3" fontId="18" fillId="10" borderId="0" xfId="2" applyNumberFormat="1" applyFont="1" applyFill="1" applyBorder="1" applyAlignment="1">
      <alignment horizontal="center" vertical="center" wrapText="1"/>
    </xf>
    <xf numFmtId="3" fontId="44" fillId="9" borderId="0" xfId="2" applyNumberFormat="1" applyFont="1" applyFill="1" applyBorder="1" applyAlignment="1">
      <alignment horizontal="center" vertical="center" wrapText="1"/>
    </xf>
    <xf numFmtId="166" fontId="42" fillId="3" borderId="0" xfId="2" applyNumberFormat="1" applyFont="1" applyFill="1" applyBorder="1" applyAlignment="1">
      <alignment horizontal="left" wrapText="1"/>
    </xf>
    <xf numFmtId="166" fontId="51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left" vertical="center" wrapText="1"/>
    </xf>
    <xf numFmtId="0" fontId="47" fillId="2" borderId="0" xfId="2" applyFont="1" applyFill="1" applyAlignment="1">
      <alignment horizontal="center" wrapText="1"/>
    </xf>
    <xf numFmtId="0" fontId="48" fillId="14" borderId="0" xfId="2" applyFont="1" applyFill="1" applyAlignment="1">
      <alignment horizontal="center" vertical="center" wrapText="1"/>
    </xf>
    <xf numFmtId="0" fontId="48" fillId="14" borderId="0" xfId="2" applyFont="1" applyFill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4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94" xfId="2" applyNumberFormat="1" applyFont="1" applyFill="1" applyBorder="1" applyAlignment="1">
      <alignment horizontal="center" vertical="center" wrapText="1"/>
    </xf>
    <xf numFmtId="3" fontId="18" fillId="16" borderId="93" xfId="2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2810.4587529424284</c:v>
                </c:pt>
                <c:pt idx="1">
                  <c:v>-2174.4978706760799</c:v>
                </c:pt>
                <c:pt idx="2">
                  <c:v>292.54134999999997</c:v>
                </c:pt>
                <c:pt idx="3">
                  <c:v>-21.868192999999998</c:v>
                </c:pt>
                <c:pt idx="4">
                  <c:v>12.209621000000002</c:v>
                </c:pt>
                <c:pt idx="5">
                  <c:v>-15.87094454716728</c:v>
                </c:pt>
                <c:pt idx="6">
                  <c:v>-902.97271571918134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08786048"/>
        <c:axId val="108787584"/>
        <c:axId val="0"/>
      </c:bar3DChart>
      <c:catAx>
        <c:axId val="108786048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08787584"/>
        <c:crosses val="autoZero"/>
        <c:auto val="1"/>
        <c:lblAlgn val="ctr"/>
        <c:lblOffset val="100"/>
        <c:noMultiLvlLbl val="0"/>
      </c:catAx>
      <c:valAx>
        <c:axId val="108787584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8786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11210</c:v>
                </c:pt>
                <c:pt idx="4">
                  <c:v>19688</c:v>
                </c:pt>
                <c:pt idx="5">
                  <c:v>11609</c:v>
                </c:pt>
                <c:pt idx="6">
                  <c:v>11190</c:v>
                </c:pt>
                <c:pt idx="7">
                  <c:v>11846</c:v>
                </c:pt>
                <c:pt idx="8">
                  <c:v>12336</c:v>
                </c:pt>
                <c:pt idx="9">
                  <c:v>13353</c:v>
                </c:pt>
                <c:pt idx="10">
                  <c:v>12445</c:v>
                </c:pt>
                <c:pt idx="11">
                  <c:v>11733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93120"/>
        <c:axId val="121123584"/>
      </c:barChart>
      <c:catAx>
        <c:axId val="12109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23584"/>
        <c:crosses val="autoZero"/>
        <c:auto val="1"/>
        <c:lblAlgn val="ctr"/>
        <c:lblOffset val="100"/>
        <c:noMultiLvlLbl val="0"/>
      </c:catAx>
      <c:valAx>
        <c:axId val="121123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1093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10.568222416653482</c:v>
                </c:pt>
                <c:pt idx="182">
                  <c:v>10.252008199334703</c:v>
                </c:pt>
                <c:pt idx="183">
                  <c:v>9.4581659337544721</c:v>
                </c:pt>
                <c:pt idx="184">
                  <c:v>7.7685839626013005</c:v>
                </c:pt>
                <c:pt idx="185">
                  <c:v>7.4815198200827711</c:v>
                </c:pt>
                <c:pt idx="186">
                  <c:v>8.3956674696080977</c:v>
                </c:pt>
                <c:pt idx="187">
                  <c:v>9.7410070359215304</c:v>
                </c:pt>
                <c:pt idx="188">
                  <c:v>10.124209009856298</c:v>
                </c:pt>
                <c:pt idx="189">
                  <c:v>10.304019398838161</c:v>
                </c:pt>
                <c:pt idx="190">
                  <c:v>10.221858257142756</c:v>
                </c:pt>
                <c:pt idx="191">
                  <c:v>8.3894033132418855</c:v>
                </c:pt>
                <c:pt idx="192">
                  <c:v>8.3843553337064272</c:v>
                </c:pt>
                <c:pt idx="193">
                  <c:v>10.601010610209597</c:v>
                </c:pt>
                <c:pt idx="194">
                  <c:v>10.208741115734895</c:v>
                </c:pt>
                <c:pt idx="195">
                  <c:v>12.924143254571844</c:v>
                </c:pt>
                <c:pt idx="196">
                  <c:v>12.551668019700053</c:v>
                </c:pt>
                <c:pt idx="197">
                  <c:v>9.2990339430508389</c:v>
                </c:pt>
                <c:pt idx="198">
                  <c:v>7.6959416619133822</c:v>
                </c:pt>
                <c:pt idx="199">
                  <c:v>8.1498811526718686</c:v>
                </c:pt>
                <c:pt idx="200">
                  <c:v>9.6753351346492096</c:v>
                </c:pt>
                <c:pt idx="201">
                  <c:v>9.662856919296491</c:v>
                </c:pt>
                <c:pt idx="202">
                  <c:v>11.966225353661841</c:v>
                </c:pt>
                <c:pt idx="203">
                  <c:v>11.939966236043933</c:v>
                </c:pt>
                <c:pt idx="204">
                  <c:v>9.5720171627676969</c:v>
                </c:pt>
                <c:pt idx="205">
                  <c:v>8.0197646721725331</c:v>
                </c:pt>
                <c:pt idx="206">
                  <c:v>8.041607397011342</c:v>
                </c:pt>
                <c:pt idx="207">
                  <c:v>9.2368345783925179</c:v>
                </c:pt>
                <c:pt idx="208">
                  <c:v>9.2604844650181324</c:v>
                </c:pt>
                <c:pt idx="209">
                  <c:v>9.5109604735889803</c:v>
                </c:pt>
                <c:pt idx="210">
                  <c:v>9.960010804085428</c:v>
                </c:pt>
                <c:pt idx="211">
                  <c:v>9.0208912166222479</c:v>
                </c:pt>
                <c:pt idx="212">
                  <c:v>7.3274770439122872</c:v>
                </c:pt>
                <c:pt idx="213">
                  <c:v>7.3591133063275187</c:v>
                </c:pt>
                <c:pt idx="214">
                  <c:v>8.4957021969041211</c:v>
                </c:pt>
                <c:pt idx="215">
                  <c:v>8.5215988993338367</c:v>
                </c:pt>
                <c:pt idx="216">
                  <c:v>8.3804475972986712</c:v>
                </c:pt>
                <c:pt idx="217">
                  <c:v>8.7797788551200622</c:v>
                </c:pt>
                <c:pt idx="218">
                  <c:v>7.897185705717761</c:v>
                </c:pt>
                <c:pt idx="219">
                  <c:v>6.9156343597705554</c:v>
                </c:pt>
                <c:pt idx="220">
                  <c:v>7.0797433898515889</c:v>
                </c:pt>
                <c:pt idx="221">
                  <c:v>8.7429757997753992</c:v>
                </c:pt>
                <c:pt idx="222">
                  <c:v>8.8873771330949971</c:v>
                </c:pt>
                <c:pt idx="223">
                  <c:v>9.342068052433266</c:v>
                </c:pt>
                <c:pt idx="224">
                  <c:v>9.0227963088585845</c:v>
                </c:pt>
                <c:pt idx="225">
                  <c:v>8.617923221165789</c:v>
                </c:pt>
                <c:pt idx="226">
                  <c:v>7.6367264902928698</c:v>
                </c:pt>
                <c:pt idx="227">
                  <c:v>7.6500080231819716</c:v>
                </c:pt>
                <c:pt idx="228">
                  <c:v>10.770115115200538</c:v>
                </c:pt>
                <c:pt idx="229">
                  <c:v>12.275837216732805</c:v>
                </c:pt>
                <c:pt idx="230">
                  <c:v>10.30598544170101</c:v>
                </c:pt>
                <c:pt idx="231">
                  <c:v>10.198907925134305</c:v>
                </c:pt>
                <c:pt idx="232">
                  <c:v>9.732554603645001</c:v>
                </c:pt>
                <c:pt idx="233">
                  <c:v>8.1906102744069553</c:v>
                </c:pt>
                <c:pt idx="234">
                  <c:v>8.2763648372854224</c:v>
                </c:pt>
                <c:pt idx="235">
                  <c:v>10.116631278412976</c:v>
                </c:pt>
                <c:pt idx="236">
                  <c:v>10.634514211604086</c:v>
                </c:pt>
                <c:pt idx="237">
                  <c:v>10.43281949410752</c:v>
                </c:pt>
                <c:pt idx="238">
                  <c:v>10.258901112878878</c:v>
                </c:pt>
                <c:pt idx="239">
                  <c:v>9.621705007623234</c:v>
                </c:pt>
                <c:pt idx="240">
                  <c:v>7.90341361582934</c:v>
                </c:pt>
                <c:pt idx="241">
                  <c:v>8.0524275904776808</c:v>
                </c:pt>
                <c:pt idx="242">
                  <c:v>10.083864108825882</c:v>
                </c:pt>
                <c:pt idx="243">
                  <c:v>9.7007445267766368</c:v>
                </c:pt>
                <c:pt idx="244">
                  <c:v>10.351424075733302</c:v>
                </c:pt>
                <c:pt idx="245">
                  <c:v>10.675088543805986</c:v>
                </c:pt>
                <c:pt idx="246">
                  <c:v>11.29469983214782</c:v>
                </c:pt>
                <c:pt idx="247">
                  <c:v>8.1970730704195525</c:v>
                </c:pt>
                <c:pt idx="248">
                  <c:v>9.2336958503371118</c:v>
                </c:pt>
                <c:pt idx="249">
                  <c:v>11.597554488210992</c:v>
                </c:pt>
                <c:pt idx="250">
                  <c:v>11.40204196931642</c:v>
                </c:pt>
                <c:pt idx="251">
                  <c:v>12.222584744863941</c:v>
                </c:pt>
                <c:pt idx="252">
                  <c:v>12.198425235856467</c:v>
                </c:pt>
                <c:pt idx="253">
                  <c:v>14.667928928492055</c:v>
                </c:pt>
                <c:pt idx="254">
                  <c:v>9.4355036584976215</c:v>
                </c:pt>
                <c:pt idx="255">
                  <c:v>9.3491360221922815</c:v>
                </c:pt>
                <c:pt idx="256">
                  <c:v>11.066872022129369</c:v>
                </c:pt>
                <c:pt idx="257">
                  <c:v>11.139047681373635</c:v>
                </c:pt>
                <c:pt idx="258">
                  <c:v>10.696748561847132</c:v>
                </c:pt>
                <c:pt idx="259">
                  <c:v>10.390631158546531</c:v>
                </c:pt>
                <c:pt idx="260">
                  <c:v>10.437855721536367</c:v>
                </c:pt>
                <c:pt idx="261">
                  <c:v>8.9750896284534942</c:v>
                </c:pt>
                <c:pt idx="262">
                  <c:v>10.140231654609236</c:v>
                </c:pt>
                <c:pt idx="263">
                  <c:v>14.685402776933721</c:v>
                </c:pt>
                <c:pt idx="264">
                  <c:v>12.553554758620496</c:v>
                </c:pt>
                <c:pt idx="265">
                  <c:v>14.359633688987152</c:v>
                </c:pt>
                <c:pt idx="266">
                  <c:v>13.187685903645663</c:v>
                </c:pt>
                <c:pt idx="267">
                  <c:v>12.952785702018016</c:v>
                </c:pt>
                <c:pt idx="268">
                  <c:v>11.714102901755435</c:v>
                </c:pt>
                <c:pt idx="269">
                  <c:v>12.05665177038618</c:v>
                </c:pt>
                <c:pt idx="270">
                  <c:v>13.31929253083147</c:v>
                </c:pt>
                <c:pt idx="271">
                  <c:v>16.378723737316371</c:v>
                </c:pt>
                <c:pt idx="272">
                  <c:v>18.580584968434316</c:v>
                </c:pt>
                <c:pt idx="273">
                  <c:v>18.92168176607754</c:v>
                </c:pt>
                <c:pt idx="274">
                  <c:v>17.859079077775508</c:v>
                </c:pt>
                <c:pt idx="275">
                  <c:v>14.158911197204462</c:v>
                </c:pt>
                <c:pt idx="276">
                  <c:v>13.891405785625052</c:v>
                </c:pt>
                <c:pt idx="277">
                  <c:v>15.701599472846643</c:v>
                </c:pt>
                <c:pt idx="278">
                  <c:v>16.066707061324717</c:v>
                </c:pt>
                <c:pt idx="279">
                  <c:v>18.367584583883939</c:v>
                </c:pt>
                <c:pt idx="280">
                  <c:v>19.573674881397462</c:v>
                </c:pt>
                <c:pt idx="281">
                  <c:v>20.108905185047394</c:v>
                </c:pt>
                <c:pt idx="282">
                  <c:v>17.884759805823556</c:v>
                </c:pt>
                <c:pt idx="283">
                  <c:v>20.746931442756491</c:v>
                </c:pt>
                <c:pt idx="284">
                  <c:v>27.530719494693717</c:v>
                </c:pt>
                <c:pt idx="285">
                  <c:v>30.622928281272621</c:v>
                </c:pt>
                <c:pt idx="286">
                  <c:v>29.183774606730523</c:v>
                </c:pt>
                <c:pt idx="287">
                  <c:v>28.202373459662063</c:v>
                </c:pt>
                <c:pt idx="288">
                  <c:v>25.078679715217604</c:v>
                </c:pt>
                <c:pt idx="289">
                  <c:v>21.138062621865899</c:v>
                </c:pt>
                <c:pt idx="290">
                  <c:v>22.284270149972549</c:v>
                </c:pt>
                <c:pt idx="291">
                  <c:v>27.370289306637236</c:v>
                </c:pt>
                <c:pt idx="292">
                  <c:v>28.051681025234185</c:v>
                </c:pt>
                <c:pt idx="293">
                  <c:v>27.064873591736855</c:v>
                </c:pt>
                <c:pt idx="294">
                  <c:v>24.094114205962875</c:v>
                </c:pt>
                <c:pt idx="295">
                  <c:v>22.978637688539639</c:v>
                </c:pt>
                <c:pt idx="296">
                  <c:v>21.87958899760692</c:v>
                </c:pt>
                <c:pt idx="297">
                  <c:v>21.544798719380612</c:v>
                </c:pt>
                <c:pt idx="298">
                  <c:v>23.314474077801947</c:v>
                </c:pt>
                <c:pt idx="299">
                  <c:v>23.946853764479457</c:v>
                </c:pt>
                <c:pt idx="300">
                  <c:v>24.437909136442212</c:v>
                </c:pt>
                <c:pt idx="301">
                  <c:v>25.783659866615498</c:v>
                </c:pt>
                <c:pt idx="302">
                  <c:v>24.610811256989859</c:v>
                </c:pt>
                <c:pt idx="303">
                  <c:v>19.977506028373849</c:v>
                </c:pt>
                <c:pt idx="304">
                  <c:v>21.975291745103874</c:v>
                </c:pt>
                <c:pt idx="305">
                  <c:v>28.830017212961707</c:v>
                </c:pt>
                <c:pt idx="306">
                  <c:v>30.353094090966358</c:v>
                </c:pt>
                <c:pt idx="307">
                  <c:v>30.413648252252301</c:v>
                </c:pt>
                <c:pt idx="308">
                  <c:v>28.898448038579161</c:v>
                </c:pt>
                <c:pt idx="309">
                  <c:v>26.146870802521956</c:v>
                </c:pt>
                <c:pt idx="310">
                  <c:v>20.134828403783803</c:v>
                </c:pt>
                <c:pt idx="311">
                  <c:v>18.652227528093444</c:v>
                </c:pt>
                <c:pt idx="312">
                  <c:v>22.613414268942723</c:v>
                </c:pt>
                <c:pt idx="313">
                  <c:v>20.403618575984876</c:v>
                </c:pt>
                <c:pt idx="314">
                  <c:v>20.109653320035573</c:v>
                </c:pt>
                <c:pt idx="315">
                  <c:v>23.855454835256761</c:v>
                </c:pt>
                <c:pt idx="316">
                  <c:v>22.998249844479609</c:v>
                </c:pt>
                <c:pt idx="317">
                  <c:v>21.660337925754305</c:v>
                </c:pt>
                <c:pt idx="318">
                  <c:v>21.777963192946068</c:v>
                </c:pt>
                <c:pt idx="319">
                  <c:v>21.955628335468212</c:v>
                </c:pt>
                <c:pt idx="320">
                  <c:v>22.232103099684998</c:v>
                </c:pt>
                <c:pt idx="321">
                  <c:v>22.227674118059344</c:v>
                </c:pt>
                <c:pt idx="322">
                  <c:v>23.165451921104371</c:v>
                </c:pt>
                <c:pt idx="323">
                  <c:v>26.737527328958677</c:v>
                </c:pt>
                <c:pt idx="324">
                  <c:v>25.254805639672956</c:v>
                </c:pt>
                <c:pt idx="325">
                  <c:v>28.793857454408549</c:v>
                </c:pt>
                <c:pt idx="326">
                  <c:v>36.749598399109999</c:v>
                </c:pt>
                <c:pt idx="327">
                  <c:v>36.718734036907357</c:v>
                </c:pt>
                <c:pt idx="328">
                  <c:v>39.431885445269579</c:v>
                </c:pt>
                <c:pt idx="329">
                  <c:v>36.881404552546698</c:v>
                </c:pt>
                <c:pt idx="330">
                  <c:v>34.675773337714588</c:v>
                </c:pt>
                <c:pt idx="331">
                  <c:v>30.962272180776093</c:v>
                </c:pt>
                <c:pt idx="332">
                  <c:v>30.541974773037943</c:v>
                </c:pt>
                <c:pt idx="333">
                  <c:v>31.185551236045413</c:v>
                </c:pt>
                <c:pt idx="334">
                  <c:v>30.306001980670718</c:v>
                </c:pt>
                <c:pt idx="335">
                  <c:v>29.021468193895977</c:v>
                </c:pt>
                <c:pt idx="336">
                  <c:v>31.395932327263182</c:v>
                </c:pt>
                <c:pt idx="337">
                  <c:v>30.625802027613254</c:v>
                </c:pt>
                <c:pt idx="338">
                  <c:v>26.801844107656034</c:v>
                </c:pt>
                <c:pt idx="339">
                  <c:v>27.797686702170981</c:v>
                </c:pt>
                <c:pt idx="340">
                  <c:v>32.187244322035838</c:v>
                </c:pt>
                <c:pt idx="341">
                  <c:v>31.413098162149787</c:v>
                </c:pt>
                <c:pt idx="342">
                  <c:v>32.219446115150575</c:v>
                </c:pt>
                <c:pt idx="343">
                  <c:v>33.307818532835618</c:v>
                </c:pt>
                <c:pt idx="344">
                  <c:v>33.052125485259069</c:v>
                </c:pt>
                <c:pt idx="345">
                  <c:v>28.854517786107621</c:v>
                </c:pt>
                <c:pt idx="346">
                  <c:v>29.408472849359399</c:v>
                </c:pt>
                <c:pt idx="347">
                  <c:v>34.509998691494509</c:v>
                </c:pt>
                <c:pt idx="348">
                  <c:v>34.352662078829468</c:v>
                </c:pt>
                <c:pt idx="349">
                  <c:v>31.973088325273611</c:v>
                </c:pt>
                <c:pt idx="350">
                  <c:v>31.206554504471672</c:v>
                </c:pt>
                <c:pt idx="351">
                  <c:v>28.853140547199217</c:v>
                </c:pt>
                <c:pt idx="352">
                  <c:v>25.530285415587532</c:v>
                </c:pt>
                <c:pt idx="353">
                  <c:v>27.657558506556839</c:v>
                </c:pt>
                <c:pt idx="354">
                  <c:v>30.062330926735253</c:v>
                </c:pt>
                <c:pt idx="355">
                  <c:v>26.402039472681921</c:v>
                </c:pt>
                <c:pt idx="356">
                  <c:v>24.814562479022648</c:v>
                </c:pt>
                <c:pt idx="357">
                  <c:v>23.656104953044064</c:v>
                </c:pt>
                <c:pt idx="358">
                  <c:v>22.716489605055276</c:v>
                </c:pt>
                <c:pt idx="359">
                  <c:v>21.847434865338133</c:v>
                </c:pt>
                <c:pt idx="360">
                  <c:v>24.429568140989709</c:v>
                </c:pt>
                <c:pt idx="361">
                  <c:v>26.189235055052912</c:v>
                </c:pt>
                <c:pt idx="362">
                  <c:v>27.919529029109722</c:v>
                </c:pt>
                <c:pt idx="363">
                  <c:v>31.400429941866612</c:v>
                </c:pt>
                <c:pt idx="364">
                  <c:v>33.060100065268387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9088"/>
        <c:axId val="121454976"/>
      </c:lineChart>
      <c:dateAx>
        <c:axId val="121449088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21454976"/>
        <c:crosses val="autoZero"/>
        <c:auto val="1"/>
        <c:lblOffset val="100"/>
        <c:baseTimeUnit val="days"/>
      </c:dateAx>
      <c:valAx>
        <c:axId val="121454976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1449088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622.80856614391325</c:v>
                </c:pt>
                <c:pt idx="4">
                  <c:v>404.77237581362579</c:v>
                </c:pt>
                <c:pt idx="5">
                  <c:v>314.40782647711256</c:v>
                </c:pt>
                <c:pt idx="6">
                  <c:v>298.38639432190473</c:v>
                </c:pt>
                <c:pt idx="7">
                  <c:v>277.51120821690495</c:v>
                </c:pt>
                <c:pt idx="8">
                  <c:v>352.96079611407475</c:v>
                </c:pt>
                <c:pt idx="9">
                  <c:v>692.3772462549789</c:v>
                </c:pt>
                <c:pt idx="10">
                  <c:v>806.33735989642719</c:v>
                </c:pt>
                <c:pt idx="11">
                  <c:v>902.97257119574556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647.29636373718301</c:v>
                </c:pt>
                <c:pt idx="4">
                  <c:v>399.23311790096943</c:v>
                </c:pt>
                <c:pt idx="5">
                  <c:v>318.95062063632389</c:v>
                </c:pt>
                <c:pt idx="6">
                  <c:v>302.4372465189378</c:v>
                </c:pt>
                <c:pt idx="7">
                  <c:v>299.01838851541652</c:v>
                </c:pt>
                <c:pt idx="8">
                  <c:v>359.74623069021459</c:v>
                </c:pt>
                <c:pt idx="9">
                  <c:v>698.83677162586446</c:v>
                </c:pt>
                <c:pt idx="10">
                  <c:v>918.63175948797254</c:v>
                </c:pt>
                <c:pt idx="11">
                  <c:v>1056.2893320424055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503296"/>
        <c:axId val="121258752"/>
      </c:barChart>
      <c:catAx>
        <c:axId val="12050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258752"/>
        <c:crosses val="autoZero"/>
        <c:auto val="1"/>
        <c:lblAlgn val="ctr"/>
        <c:lblOffset val="100"/>
        <c:noMultiLvlLbl val="0"/>
      </c:catAx>
      <c:valAx>
        <c:axId val="121258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0503296"/>
        <c:crosses val="autoZero"/>
        <c:crossBetween val="between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109171.41700001099</c:v>
                </c:pt>
                <c:pt idx="1">
                  <c:v>745440.98971917026</c:v>
                </c:pt>
                <c:pt idx="2">
                  <c:v>35234.444000000003</c:v>
                </c:pt>
                <c:pt idx="3">
                  <c:v>13125.865000000002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130521.31581140724</c:v>
                </c:pt>
                <c:pt idx="1">
                  <c:v>813198.85580880602</c:v>
                </c:pt>
                <c:pt idx="2">
                  <c:v>39224.879000000001</c:v>
                </c:pt>
                <c:pt idx="3">
                  <c:v>4910.264000000001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11404160"/>
        <c:axId val="111405696"/>
        <c:axId val="0"/>
      </c:bar3DChart>
      <c:catAx>
        <c:axId val="11140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1405696"/>
        <c:crosses val="autoZero"/>
        <c:auto val="1"/>
        <c:lblAlgn val="ctr"/>
        <c:lblOffset val="100"/>
        <c:noMultiLvlLbl val="0"/>
      </c:catAx>
      <c:valAx>
        <c:axId val="1114056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40416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109171.41700001099</c:v>
                </c:pt>
                <c:pt idx="1">
                  <c:v>745440.98971917026</c:v>
                </c:pt>
                <c:pt idx="2">
                  <c:v>35234.444000000003</c:v>
                </c:pt>
                <c:pt idx="3">
                  <c:v>13125.865000000002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599926139885780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30146.053999999996</c:v>
                </c:pt>
                <c:pt idx="1">
                  <c:v>146472.20000000001</c:v>
                </c:pt>
                <c:pt idx="2">
                  <c:v>24426</c:v>
                </c:pt>
                <c:pt idx="3">
                  <c:v>38105.200000000004</c:v>
                </c:pt>
                <c:pt idx="4">
                  <c:v>40155.699999999997</c:v>
                </c:pt>
                <c:pt idx="5">
                  <c:v>97934.781999999992</c:v>
                </c:pt>
                <c:pt idx="6">
                  <c:v>55918.9</c:v>
                </c:pt>
                <c:pt idx="7">
                  <c:v>44412.7</c:v>
                </c:pt>
                <c:pt idx="8">
                  <c:v>44364.100000000006</c:v>
                </c:pt>
                <c:pt idx="9">
                  <c:v>106324.49353188</c:v>
                </c:pt>
                <c:pt idx="10">
                  <c:v>113996.622</c:v>
                </c:pt>
                <c:pt idx="11">
                  <c:v>87224.856999999989</c:v>
                </c:pt>
                <c:pt idx="12">
                  <c:v>41880.123999999996</c:v>
                </c:pt>
                <c:pt idx="13">
                  <c:v>51584.2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33433.468000000001</c:v>
                </c:pt>
                <c:pt idx="1">
                  <c:v>142912.6</c:v>
                </c:pt>
                <c:pt idx="2">
                  <c:v>25537.4</c:v>
                </c:pt>
                <c:pt idx="3">
                  <c:v>40815.300000000003</c:v>
                </c:pt>
                <c:pt idx="4">
                  <c:v>41899.9</c:v>
                </c:pt>
                <c:pt idx="5">
                  <c:v>102795.628</c:v>
                </c:pt>
                <c:pt idx="6">
                  <c:v>56908</c:v>
                </c:pt>
                <c:pt idx="7">
                  <c:v>42047.6</c:v>
                </c:pt>
                <c:pt idx="8">
                  <c:v>43774.5</c:v>
                </c:pt>
                <c:pt idx="9">
                  <c:v>127657.15101042917</c:v>
                </c:pt>
                <c:pt idx="10">
                  <c:v>120583.10999999999</c:v>
                </c:pt>
                <c:pt idx="11">
                  <c:v>82159.226999999999</c:v>
                </c:pt>
                <c:pt idx="12">
                  <c:v>42290.824000000001</c:v>
                </c:pt>
                <c:pt idx="13">
                  <c:v>53791.1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16147328"/>
        <c:axId val="116148864"/>
        <c:axId val="0"/>
      </c:bar3DChart>
      <c:catAx>
        <c:axId val="116147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6148864"/>
        <c:crosses val="autoZero"/>
        <c:auto val="1"/>
        <c:lblAlgn val="ctr"/>
        <c:lblOffset val="100"/>
        <c:noMultiLvlLbl val="0"/>
      </c:catAx>
      <c:valAx>
        <c:axId val="1161488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1473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42339</c:v>
                </c:pt>
                <c:pt idx="1">
                  <c:v>42340</c:v>
                </c:pt>
                <c:pt idx="2">
                  <c:v>42341</c:v>
                </c:pt>
                <c:pt idx="3">
                  <c:v>42342</c:v>
                </c:pt>
                <c:pt idx="4">
                  <c:v>42343</c:v>
                </c:pt>
                <c:pt idx="5">
                  <c:v>42344</c:v>
                </c:pt>
                <c:pt idx="6">
                  <c:v>42345</c:v>
                </c:pt>
                <c:pt idx="7">
                  <c:v>42346</c:v>
                </c:pt>
                <c:pt idx="8">
                  <c:v>42347</c:v>
                </c:pt>
                <c:pt idx="9">
                  <c:v>42348</c:v>
                </c:pt>
                <c:pt idx="10">
                  <c:v>42349</c:v>
                </c:pt>
                <c:pt idx="11">
                  <c:v>42350</c:v>
                </c:pt>
                <c:pt idx="12">
                  <c:v>42351</c:v>
                </c:pt>
                <c:pt idx="13">
                  <c:v>42352</c:v>
                </c:pt>
                <c:pt idx="14">
                  <c:v>42353</c:v>
                </c:pt>
                <c:pt idx="15">
                  <c:v>42354</c:v>
                </c:pt>
                <c:pt idx="16">
                  <c:v>42355</c:v>
                </c:pt>
                <c:pt idx="17">
                  <c:v>42356</c:v>
                </c:pt>
                <c:pt idx="18">
                  <c:v>42357</c:v>
                </c:pt>
                <c:pt idx="19">
                  <c:v>42358</c:v>
                </c:pt>
                <c:pt idx="20">
                  <c:v>42359</c:v>
                </c:pt>
                <c:pt idx="21">
                  <c:v>42360</c:v>
                </c:pt>
                <c:pt idx="22">
                  <c:v>42361</c:v>
                </c:pt>
                <c:pt idx="23">
                  <c:v>42362</c:v>
                </c:pt>
                <c:pt idx="24">
                  <c:v>42363</c:v>
                </c:pt>
                <c:pt idx="25">
                  <c:v>42364</c:v>
                </c:pt>
                <c:pt idx="26">
                  <c:v>42365</c:v>
                </c:pt>
                <c:pt idx="27">
                  <c:v>42366</c:v>
                </c:pt>
                <c:pt idx="28">
                  <c:v>42367</c:v>
                </c:pt>
                <c:pt idx="29">
                  <c:v>42368</c:v>
                </c:pt>
                <c:pt idx="30">
                  <c:v>42369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30.306001980670718</c:v>
                </c:pt>
                <c:pt idx="1">
                  <c:v>29.021468193895977</c:v>
                </c:pt>
                <c:pt idx="2">
                  <c:v>31.395932327263182</c:v>
                </c:pt>
                <c:pt idx="3">
                  <c:v>30.625802027613254</c:v>
                </c:pt>
                <c:pt idx="4">
                  <c:v>26.801844107656034</c:v>
                </c:pt>
                <c:pt idx="5">
                  <c:v>27.797686702170981</c:v>
                </c:pt>
                <c:pt idx="6">
                  <c:v>32.187244322035838</c:v>
                </c:pt>
                <c:pt idx="7">
                  <c:v>31.413098162149787</c:v>
                </c:pt>
                <c:pt idx="8">
                  <c:v>32.219446115150575</c:v>
                </c:pt>
                <c:pt idx="9">
                  <c:v>33.307818532835618</c:v>
                </c:pt>
                <c:pt idx="10">
                  <c:v>33.052125485259069</c:v>
                </c:pt>
                <c:pt idx="11">
                  <c:v>28.854517786107621</c:v>
                </c:pt>
                <c:pt idx="12">
                  <c:v>29.408472849359399</c:v>
                </c:pt>
                <c:pt idx="13">
                  <c:v>34.509998691494509</c:v>
                </c:pt>
                <c:pt idx="14">
                  <c:v>34.352662078829468</c:v>
                </c:pt>
                <c:pt idx="15">
                  <c:v>31.973088325273611</c:v>
                </c:pt>
                <c:pt idx="16">
                  <c:v>31.206554504471672</c:v>
                </c:pt>
                <c:pt idx="17">
                  <c:v>28.853140547199217</c:v>
                </c:pt>
                <c:pt idx="18">
                  <c:v>25.530285415587532</c:v>
                </c:pt>
                <c:pt idx="19">
                  <c:v>27.657558506556839</c:v>
                </c:pt>
                <c:pt idx="20">
                  <c:v>30.062330926735253</c:v>
                </c:pt>
                <c:pt idx="21">
                  <c:v>26.402039472681921</c:v>
                </c:pt>
                <c:pt idx="22">
                  <c:v>24.814562479022648</c:v>
                </c:pt>
                <c:pt idx="23">
                  <c:v>23.656104953044064</c:v>
                </c:pt>
                <c:pt idx="24">
                  <c:v>22.716489605055276</c:v>
                </c:pt>
                <c:pt idx="25">
                  <c:v>21.847434865338133</c:v>
                </c:pt>
                <c:pt idx="26">
                  <c:v>24.429568140989709</c:v>
                </c:pt>
                <c:pt idx="27">
                  <c:v>26.189235055052912</c:v>
                </c:pt>
                <c:pt idx="28">
                  <c:v>27.919529029109722</c:v>
                </c:pt>
                <c:pt idx="29">
                  <c:v>31.400429941866612</c:v>
                </c:pt>
                <c:pt idx="30">
                  <c:v>33.060100065268387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99264"/>
        <c:axId val="117901184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42339</c:v>
                </c:pt>
                <c:pt idx="1">
                  <c:v>42340</c:v>
                </c:pt>
                <c:pt idx="2">
                  <c:v>42341</c:v>
                </c:pt>
                <c:pt idx="3">
                  <c:v>42342</c:v>
                </c:pt>
                <c:pt idx="4">
                  <c:v>42343</c:v>
                </c:pt>
                <c:pt idx="5">
                  <c:v>42344</c:v>
                </c:pt>
                <c:pt idx="6">
                  <c:v>42345</c:v>
                </c:pt>
                <c:pt idx="7">
                  <c:v>42346</c:v>
                </c:pt>
                <c:pt idx="8">
                  <c:v>42347</c:v>
                </c:pt>
                <c:pt idx="9">
                  <c:v>42348</c:v>
                </c:pt>
                <c:pt idx="10">
                  <c:v>42349</c:v>
                </c:pt>
                <c:pt idx="11">
                  <c:v>42350</c:v>
                </c:pt>
                <c:pt idx="12">
                  <c:v>42351</c:v>
                </c:pt>
                <c:pt idx="13">
                  <c:v>42352</c:v>
                </c:pt>
                <c:pt idx="14">
                  <c:v>42353</c:v>
                </c:pt>
                <c:pt idx="15">
                  <c:v>42354</c:v>
                </c:pt>
                <c:pt idx="16">
                  <c:v>42355</c:v>
                </c:pt>
                <c:pt idx="17">
                  <c:v>42356</c:v>
                </c:pt>
                <c:pt idx="18">
                  <c:v>42357</c:v>
                </c:pt>
                <c:pt idx="19">
                  <c:v>42358</c:v>
                </c:pt>
                <c:pt idx="20">
                  <c:v>42359</c:v>
                </c:pt>
                <c:pt idx="21">
                  <c:v>42360</c:v>
                </c:pt>
                <c:pt idx="22">
                  <c:v>42361</c:v>
                </c:pt>
                <c:pt idx="23">
                  <c:v>42362</c:v>
                </c:pt>
                <c:pt idx="24">
                  <c:v>42363</c:v>
                </c:pt>
                <c:pt idx="25">
                  <c:v>42364</c:v>
                </c:pt>
                <c:pt idx="26">
                  <c:v>42365</c:v>
                </c:pt>
                <c:pt idx="27">
                  <c:v>42366</c:v>
                </c:pt>
                <c:pt idx="28">
                  <c:v>42367</c:v>
                </c:pt>
                <c:pt idx="29">
                  <c:v>42368</c:v>
                </c:pt>
                <c:pt idx="30">
                  <c:v>42369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6.4</c:v>
                </c:pt>
                <c:pt idx="1">
                  <c:v>7</c:v>
                </c:pt>
                <c:pt idx="2">
                  <c:v>4</c:v>
                </c:pt>
                <c:pt idx="3">
                  <c:v>3.9</c:v>
                </c:pt>
                <c:pt idx="4">
                  <c:v>4.9000000000000004</c:v>
                </c:pt>
                <c:pt idx="5">
                  <c:v>3.3</c:v>
                </c:pt>
                <c:pt idx="6">
                  <c:v>3.6</c:v>
                </c:pt>
                <c:pt idx="7">
                  <c:v>2</c:v>
                </c:pt>
                <c:pt idx="8">
                  <c:v>2.8</c:v>
                </c:pt>
                <c:pt idx="9">
                  <c:v>0.6</c:v>
                </c:pt>
                <c:pt idx="10">
                  <c:v>0.9</c:v>
                </c:pt>
                <c:pt idx="11">
                  <c:v>3.7</c:v>
                </c:pt>
                <c:pt idx="12">
                  <c:v>4.3</c:v>
                </c:pt>
                <c:pt idx="13">
                  <c:v>1.4</c:v>
                </c:pt>
                <c:pt idx="14">
                  <c:v>2.9</c:v>
                </c:pt>
                <c:pt idx="15">
                  <c:v>2.9</c:v>
                </c:pt>
                <c:pt idx="16">
                  <c:v>4.4000000000000004</c:v>
                </c:pt>
                <c:pt idx="17">
                  <c:v>5.0999999999999996</c:v>
                </c:pt>
                <c:pt idx="18">
                  <c:v>4.8</c:v>
                </c:pt>
                <c:pt idx="19">
                  <c:v>2.6</c:v>
                </c:pt>
                <c:pt idx="20">
                  <c:v>3.4</c:v>
                </c:pt>
                <c:pt idx="21">
                  <c:v>7.4</c:v>
                </c:pt>
                <c:pt idx="22">
                  <c:v>6.5</c:v>
                </c:pt>
                <c:pt idx="23">
                  <c:v>4.2</c:v>
                </c:pt>
                <c:pt idx="24">
                  <c:v>5.5</c:v>
                </c:pt>
                <c:pt idx="25">
                  <c:v>6.2</c:v>
                </c:pt>
                <c:pt idx="26">
                  <c:v>3.7</c:v>
                </c:pt>
                <c:pt idx="27">
                  <c:v>4.5</c:v>
                </c:pt>
                <c:pt idx="28">
                  <c:v>2.2999999999999998</c:v>
                </c:pt>
                <c:pt idx="29">
                  <c:v>-1.7</c:v>
                </c:pt>
                <c:pt idx="30">
                  <c:v>-3.9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13472"/>
        <c:axId val="117911552"/>
      </c:lineChart>
      <c:dateAx>
        <c:axId val="1178992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17901184"/>
        <c:crossesAt val="0"/>
        <c:auto val="1"/>
        <c:lblOffset val="100"/>
        <c:baseTimeUnit val="days"/>
        <c:majorUnit val="1"/>
      </c:dateAx>
      <c:valAx>
        <c:axId val="117901184"/>
        <c:scaling>
          <c:orientation val="minMax"/>
          <c:max val="41"/>
          <c:min val="2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7899264"/>
        <c:crosses val="autoZero"/>
        <c:crossBetween val="between"/>
        <c:majorUnit val="1.5"/>
      </c:valAx>
      <c:valAx>
        <c:axId val="117911552"/>
        <c:scaling>
          <c:orientation val="maxMin"/>
          <c:max val="8"/>
          <c:min val="-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17913472"/>
        <c:crosses val="max"/>
        <c:crossBetween val="between"/>
        <c:majorUnit val="1"/>
      </c:valAx>
      <c:dateAx>
        <c:axId val="117913472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17911552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929472"/>
        <c:axId val="117931392"/>
      </c:barChart>
      <c:dateAx>
        <c:axId val="117929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1793139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93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792947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35936"/>
        <c:axId val="120937472"/>
      </c:barChart>
      <c:catAx>
        <c:axId val="12093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937472"/>
        <c:crosses val="autoZero"/>
        <c:auto val="1"/>
        <c:lblAlgn val="ctr"/>
        <c:lblOffset val="100"/>
        <c:noMultiLvlLbl val="0"/>
      </c:catAx>
      <c:valAx>
        <c:axId val="1209374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93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59</c:v>
                </c:pt>
                <c:pt idx="7">
                  <c:v>19</c:v>
                </c:pt>
                <c:pt idx="8">
                  <c:v>28</c:v>
                </c:pt>
                <c:pt idx="9">
                  <c:v>18</c:v>
                </c:pt>
                <c:pt idx="10">
                  <c:v>26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60128"/>
        <c:axId val="120961664"/>
      </c:barChart>
      <c:catAx>
        <c:axId val="12096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961664"/>
        <c:crosses val="autoZero"/>
        <c:auto val="1"/>
        <c:lblAlgn val="ctr"/>
        <c:lblOffset val="100"/>
        <c:noMultiLvlLbl val="0"/>
      </c:catAx>
      <c:valAx>
        <c:axId val="120961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960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840</c:v>
                </c:pt>
                <c:pt idx="4">
                  <c:v>1284</c:v>
                </c:pt>
                <c:pt idx="5">
                  <c:v>725</c:v>
                </c:pt>
                <c:pt idx="6">
                  <c:v>1062</c:v>
                </c:pt>
                <c:pt idx="7">
                  <c:v>982</c:v>
                </c:pt>
                <c:pt idx="8">
                  <c:v>857</c:v>
                </c:pt>
                <c:pt idx="9">
                  <c:v>829</c:v>
                </c:pt>
                <c:pt idx="10">
                  <c:v>1276</c:v>
                </c:pt>
                <c:pt idx="11">
                  <c:v>1099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80064"/>
        <c:axId val="121081856"/>
      </c:barChart>
      <c:catAx>
        <c:axId val="12108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081856"/>
        <c:crosses val="autoZero"/>
        <c:auto val="1"/>
        <c:lblAlgn val="ctr"/>
        <c:lblOffset val="100"/>
        <c:noMultiLvlLbl val="0"/>
      </c:catAx>
      <c:valAx>
        <c:axId val="121081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1080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104775</xdr:rowOff>
    </xdr:from>
    <xdr:to>
      <xdr:col>3</xdr:col>
      <xdr:colOff>733425</xdr:colOff>
      <xdr:row>30</xdr:row>
      <xdr:rowOff>266700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650"/>
          <a:ext cx="5915025" cy="92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Z PS1"/>
      <sheetName val="MZ PS2"/>
    </sheetNames>
    <sheetDataSet>
      <sheetData sheetId="0">
        <row r="1">
          <cell r="C1" t="str">
            <v>Leden</v>
          </cell>
          <cell r="D1">
            <v>0</v>
          </cell>
          <cell r="E1">
            <v>0</v>
          </cell>
          <cell r="F1" t="str">
            <v>Únor</v>
          </cell>
          <cell r="G1">
            <v>0</v>
          </cell>
          <cell r="H1">
            <v>0</v>
          </cell>
          <cell r="I1" t="str">
            <v>Březen</v>
          </cell>
          <cell r="J1">
            <v>0</v>
          </cell>
          <cell r="K1">
            <v>0</v>
          </cell>
          <cell r="L1" t="str">
            <v>Duben</v>
          </cell>
          <cell r="M1">
            <v>0</v>
          </cell>
          <cell r="N1">
            <v>0</v>
          </cell>
          <cell r="O1" t="str">
            <v>Květen</v>
          </cell>
          <cell r="P1">
            <v>0</v>
          </cell>
          <cell r="Q1">
            <v>0</v>
          </cell>
          <cell r="R1" t="str">
            <v>Červen</v>
          </cell>
          <cell r="S1">
            <v>0</v>
          </cell>
          <cell r="T1">
            <v>0</v>
          </cell>
          <cell r="U1" t="str">
            <v>Červenec</v>
          </cell>
          <cell r="V1">
            <v>0</v>
          </cell>
          <cell r="W1">
            <v>0</v>
          </cell>
          <cell r="X1" t="str">
            <v>Srpen</v>
          </cell>
          <cell r="Y1">
            <v>0</v>
          </cell>
          <cell r="Z1">
            <v>0</v>
          </cell>
          <cell r="AA1" t="str">
            <v>Září</v>
          </cell>
          <cell r="AB1">
            <v>0</v>
          </cell>
          <cell r="AC1">
            <v>0</v>
          </cell>
          <cell r="AD1" t="str">
            <v>Říjen</v>
          </cell>
          <cell r="AE1">
            <v>0</v>
          </cell>
          <cell r="AF1">
            <v>0</v>
          </cell>
          <cell r="AG1" t="str">
            <v>Listopad</v>
          </cell>
          <cell r="AH1">
            <v>0</v>
          </cell>
          <cell r="AI1">
            <v>0</v>
          </cell>
          <cell r="AJ1" t="str">
            <v>Prosinec</v>
          </cell>
          <cell r="AK1">
            <v>0</v>
          </cell>
          <cell r="AL1">
            <v>0</v>
          </cell>
        </row>
        <row r="13">
          <cell r="C13">
            <v>3284597.7726739408</v>
          </cell>
          <cell r="D13">
            <v>34908877.997999996</v>
          </cell>
          <cell r="E13">
            <v>0</v>
          </cell>
          <cell r="F13">
            <v>2481674.016246439</v>
          </cell>
          <cell r="G13">
            <v>26389225.865000002</v>
          </cell>
          <cell r="H13">
            <v>0</v>
          </cell>
          <cell r="I13">
            <v>3307686.053381158</v>
          </cell>
          <cell r="J13">
            <v>35181867.898999996</v>
          </cell>
          <cell r="K13">
            <v>0</v>
          </cell>
          <cell r="L13">
            <v>3359554.1312374724</v>
          </cell>
          <cell r="M13">
            <v>35761425.901000001</v>
          </cell>
          <cell r="N13">
            <v>0</v>
          </cell>
          <cell r="O13">
            <v>3473460.5549108558</v>
          </cell>
          <cell r="P13">
            <v>37110331.166999996</v>
          </cell>
          <cell r="Q13">
            <v>0</v>
          </cell>
          <cell r="R13">
            <v>3085550.7289798502</v>
          </cell>
          <cell r="S13">
            <v>33002302.838</v>
          </cell>
          <cell r="T13">
            <v>0</v>
          </cell>
          <cell r="U13">
            <v>2758955.7094630236</v>
          </cell>
          <cell r="V13">
            <v>29461295.302999999</v>
          </cell>
          <cell r="W13">
            <v>0</v>
          </cell>
          <cell r="X13">
            <v>2526834.5236839321</v>
          </cell>
          <cell r="Y13">
            <v>27011986.829</v>
          </cell>
          <cell r="Z13">
            <v>0</v>
          </cell>
          <cell r="AA13">
            <v>2822572.1879945146</v>
          </cell>
          <cell r="AB13">
            <v>30149228.651000001</v>
          </cell>
          <cell r="AC13">
            <v>0</v>
          </cell>
          <cell r="AD13">
            <v>2972948.5652494989</v>
          </cell>
          <cell r="AE13">
            <v>31715579.27</v>
          </cell>
          <cell r="AF13">
            <v>0</v>
          </cell>
          <cell r="AG13">
            <v>2795854.0602945024</v>
          </cell>
          <cell r="AH13">
            <v>29743017.061999999</v>
          </cell>
          <cell r="AI13">
            <v>0</v>
          </cell>
          <cell r="AJ13">
            <v>2810276.1367232827</v>
          </cell>
          <cell r="AK13">
            <v>29895398.390000001</v>
          </cell>
          <cell r="AL13">
            <v>0</v>
          </cell>
        </row>
        <row r="22">
          <cell r="C22">
            <v>2846183.9375417819</v>
          </cell>
          <cell r="D22">
            <v>30277699.544</v>
          </cell>
          <cell r="E22">
            <v>0</v>
          </cell>
          <cell r="F22">
            <v>2213891.0476241913</v>
          </cell>
          <cell r="G22">
            <v>23561182.171999998</v>
          </cell>
          <cell r="H22">
            <v>0</v>
          </cell>
          <cell r="I22">
            <v>2973257.2703896565</v>
          </cell>
          <cell r="J22">
            <v>31637112.546</v>
          </cell>
          <cell r="K22">
            <v>0</v>
          </cell>
          <cell r="L22">
            <v>2717204.5553303575</v>
          </cell>
          <cell r="M22">
            <v>28932320.229000002</v>
          </cell>
          <cell r="N22">
            <v>0</v>
          </cell>
          <cell r="O22">
            <v>2660489.4069797872</v>
          </cell>
          <cell r="P22">
            <v>28414675.905000001</v>
          </cell>
          <cell r="Q22">
            <v>0</v>
          </cell>
          <cell r="R22">
            <v>2207667.6083260933</v>
          </cell>
          <cell r="S22">
            <v>23609373.644262001</v>
          </cell>
          <cell r="T22">
            <v>0</v>
          </cell>
          <cell r="U22">
            <v>1962711.9911944673</v>
          </cell>
          <cell r="V22">
            <v>20952293.360000003</v>
          </cell>
          <cell r="W22">
            <v>0</v>
          </cell>
          <cell r="X22">
            <v>1586688.1661832945</v>
          </cell>
          <cell r="Y22">
            <v>16959897.035999998</v>
          </cell>
          <cell r="Z22">
            <v>0</v>
          </cell>
          <cell r="AA22">
            <v>2117974.5414362946</v>
          </cell>
          <cell r="AB22">
            <v>22617914.491</v>
          </cell>
          <cell r="AC22">
            <v>0</v>
          </cell>
          <cell r="AD22">
            <v>2415906.7621648461</v>
          </cell>
          <cell r="AE22">
            <v>25777317.864</v>
          </cell>
          <cell r="AF22">
            <v>0</v>
          </cell>
          <cell r="AG22">
            <v>2331025.0903806109</v>
          </cell>
          <cell r="AH22">
            <v>24808500.864</v>
          </cell>
          <cell r="AI22">
            <v>0</v>
          </cell>
          <cell r="AJ22">
            <v>2174472.2227702369</v>
          </cell>
          <cell r="AK22">
            <v>23140320.869000003</v>
          </cell>
          <cell r="AL22">
            <v>0</v>
          </cell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>
            <v>19612.136999999999</v>
          </cell>
          <cell r="M39">
            <v>209480.465</v>
          </cell>
          <cell r="N39">
            <v>10.68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275.24</v>
          </cell>
          <cell r="V39">
            <v>2939.5630000000001</v>
          </cell>
          <cell r="W39">
            <v>10.68</v>
          </cell>
          <cell r="X39">
            <v>0</v>
          </cell>
          <cell r="Y39">
            <v>0</v>
          </cell>
          <cell r="Z39">
            <v>0</v>
          </cell>
          <cell r="AA39">
            <v>2.1379999999999999</v>
          </cell>
          <cell r="AB39">
            <v>22.827000000000002</v>
          </cell>
          <cell r="AC39">
            <v>10.68</v>
          </cell>
          <cell r="AD39">
            <v>169032.753</v>
          </cell>
          <cell r="AE39">
            <v>1806016.3119999999</v>
          </cell>
          <cell r="AF39">
            <v>10.68</v>
          </cell>
          <cell r="AG39">
            <v>356363.65600000002</v>
          </cell>
          <cell r="AH39">
            <v>3809651.415</v>
          </cell>
          <cell r="AI39">
            <v>10.69</v>
          </cell>
          <cell r="AJ39">
            <v>288618.995</v>
          </cell>
          <cell r="AK39">
            <v>3082514.6150000002</v>
          </cell>
          <cell r="AL39">
            <v>10.68</v>
          </cell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>
            <v>20922.178</v>
          </cell>
          <cell r="M40">
            <v>223151.84099999999</v>
          </cell>
          <cell r="N40">
            <v>10.67</v>
          </cell>
          <cell r="O40">
            <v>361.29300000000001</v>
          </cell>
          <cell r="P40">
            <v>3872.93</v>
          </cell>
          <cell r="Q40">
            <v>10.72</v>
          </cell>
          <cell r="R40">
            <v>136.119</v>
          </cell>
          <cell r="S40">
            <v>1461.345</v>
          </cell>
          <cell r="T40">
            <v>10.74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262.27</v>
          </cell>
          <cell r="AB40">
            <v>2805.69</v>
          </cell>
          <cell r="AC40">
            <v>10.7</v>
          </cell>
          <cell r="AD40">
            <v>2645.5770000000002</v>
          </cell>
          <cell r="AE40">
            <v>28315.278999999999</v>
          </cell>
          <cell r="AF40">
            <v>10.7</v>
          </cell>
          <cell r="AG40">
            <v>15987.061</v>
          </cell>
          <cell r="AH40">
            <v>170848.36199999999</v>
          </cell>
          <cell r="AI40">
            <v>10.69</v>
          </cell>
          <cell r="AJ40">
            <v>3922.355</v>
          </cell>
          <cell r="AK40">
            <v>41854.870999999999</v>
          </cell>
          <cell r="AL40">
            <v>10.67</v>
          </cell>
        </row>
        <row r="41">
          <cell r="C41">
            <v>663076.31099999999</v>
          </cell>
          <cell r="D41">
            <v>7059919.2450000001</v>
          </cell>
          <cell r="E41">
            <v>0</v>
          </cell>
          <cell r="F41">
            <v>730844.38199999998</v>
          </cell>
          <cell r="G41">
            <v>7781463.9450000003</v>
          </cell>
          <cell r="H41">
            <v>0</v>
          </cell>
          <cell r="I41">
            <v>531262.70799999998</v>
          </cell>
          <cell r="J41">
            <v>5653080.3719999995</v>
          </cell>
          <cell r="K41">
            <v>0</v>
          </cell>
          <cell r="L41">
            <v>40534.315000000002</v>
          </cell>
          <cell r="M41">
            <v>432632.30599999998</v>
          </cell>
          <cell r="N41">
            <v>0</v>
          </cell>
          <cell r="O41">
            <v>361.29300000000001</v>
          </cell>
          <cell r="P41">
            <v>3872.93</v>
          </cell>
          <cell r="Q41">
            <v>0</v>
          </cell>
          <cell r="R41">
            <v>136.119</v>
          </cell>
          <cell r="S41">
            <v>1461.345</v>
          </cell>
          <cell r="T41">
            <v>0</v>
          </cell>
          <cell r="U41">
            <v>275.24</v>
          </cell>
          <cell r="V41">
            <v>2939.5630000000001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264.40799999999996</v>
          </cell>
          <cell r="AB41">
            <v>2828.5170000000003</v>
          </cell>
          <cell r="AC41">
            <v>0</v>
          </cell>
          <cell r="AD41">
            <v>171678.33</v>
          </cell>
          <cell r="AE41">
            <v>1834331.591</v>
          </cell>
          <cell r="AF41">
            <v>0</v>
          </cell>
          <cell r="AG41">
            <v>372350.717</v>
          </cell>
          <cell r="AH41">
            <v>3980499.7770000002</v>
          </cell>
          <cell r="AI41">
            <v>0</v>
          </cell>
          <cell r="AJ41">
            <v>292541.34999999998</v>
          </cell>
          <cell r="AK41">
            <v>3124369.486</v>
          </cell>
          <cell r="AL41">
            <v>0</v>
          </cell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>
            <v>47143.756999999998</v>
          </cell>
          <cell r="M43">
            <v>501814.75199999998</v>
          </cell>
          <cell r="N43">
            <v>10.638799537605836</v>
          </cell>
          <cell r="O43">
            <v>386312.03100000002</v>
          </cell>
          <cell r="P43">
            <v>4131655.1979999999</v>
          </cell>
          <cell r="Q43">
            <v>10.7</v>
          </cell>
          <cell r="R43">
            <v>541454.53899999999</v>
          </cell>
          <cell r="S43">
            <v>5801225.2419999996</v>
          </cell>
          <cell r="T43">
            <v>10.71</v>
          </cell>
          <cell r="U43">
            <v>465882.08799999999</v>
          </cell>
          <cell r="V43">
            <v>4978245.7010000004</v>
          </cell>
          <cell r="W43">
            <v>10.69</v>
          </cell>
          <cell r="X43">
            <v>607357.61300000001</v>
          </cell>
          <cell r="Y43">
            <v>6498198.2769999998</v>
          </cell>
          <cell r="Z43">
            <v>10.7</v>
          </cell>
          <cell r="AA43">
            <v>322129.36800000002</v>
          </cell>
          <cell r="AB43">
            <v>3442837.571</v>
          </cell>
          <cell r="AC43">
            <v>10.69</v>
          </cell>
          <cell r="AD43">
            <v>0</v>
          </cell>
          <cell r="AE43">
            <v>0</v>
          </cell>
          <cell r="AF43">
            <v>0</v>
          </cell>
          <cell r="AG43">
            <v>6737.4780000000001</v>
          </cell>
          <cell r="AH43">
            <v>71747.898000000001</v>
          </cell>
          <cell r="AI43">
            <v>10.65</v>
          </cell>
          <cell r="AJ43">
            <v>6778.4219999999996</v>
          </cell>
          <cell r="AK43">
            <v>72014.19</v>
          </cell>
          <cell r="AL43">
            <v>10.62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>
            <v>4902.3109999999997</v>
          </cell>
          <cell r="M44">
            <v>52154.703999999998</v>
          </cell>
          <cell r="N44">
            <v>10.638799537605836</v>
          </cell>
          <cell r="O44">
            <v>20461.151000000002</v>
          </cell>
          <cell r="P44">
            <v>218695.43</v>
          </cell>
          <cell r="Q44">
            <v>10.688324913881921</v>
          </cell>
          <cell r="R44">
            <v>19242.198</v>
          </cell>
          <cell r="S44">
            <v>206305.886</v>
          </cell>
          <cell r="T44">
            <v>10.721534307047458</v>
          </cell>
          <cell r="U44">
            <v>37241.173999999999</v>
          </cell>
          <cell r="V44">
            <v>398086.70600000001</v>
          </cell>
          <cell r="W44">
            <v>10.689424184103327</v>
          </cell>
          <cell r="X44">
            <v>55822.642</v>
          </cell>
          <cell r="Y44">
            <v>597452.34199999995</v>
          </cell>
          <cell r="Z44">
            <v>10.702688382251774</v>
          </cell>
          <cell r="AA44">
            <v>28534.289000000001</v>
          </cell>
          <cell r="AB44">
            <v>305286.83199999999</v>
          </cell>
          <cell r="AC44">
            <v>10.698946520097277</v>
          </cell>
          <cell r="AD44">
            <v>31605.976999999999</v>
          </cell>
          <cell r="AE44">
            <v>338063.06300000002</v>
          </cell>
          <cell r="AF44">
            <v>10.696175062077659</v>
          </cell>
          <cell r="AG44">
            <v>24596.7</v>
          </cell>
          <cell r="AH44">
            <v>262741.93800000002</v>
          </cell>
          <cell r="AI44">
            <v>10.68</v>
          </cell>
          <cell r="AJ44">
            <v>15089.771000000001</v>
          </cell>
          <cell r="AK44">
            <v>160894.34400000001</v>
          </cell>
          <cell r="AL44">
            <v>10.66</v>
          </cell>
        </row>
        <row r="45">
          <cell r="C45">
            <v>16494.134999999998</v>
          </cell>
          <cell r="D45">
            <v>175246.745</v>
          </cell>
          <cell r="E45">
            <v>0</v>
          </cell>
          <cell r="F45">
            <v>9555.2060000000001</v>
          </cell>
          <cell r="G45">
            <v>101322.443</v>
          </cell>
          <cell r="H45">
            <v>0</v>
          </cell>
          <cell r="I45">
            <v>9037.5149999999994</v>
          </cell>
          <cell r="J45">
            <v>95956.741000000009</v>
          </cell>
          <cell r="K45">
            <v>0</v>
          </cell>
          <cell r="L45">
            <v>52046.067999999999</v>
          </cell>
          <cell r="M45">
            <v>553969.45600000001</v>
          </cell>
          <cell r="N45">
            <v>0</v>
          </cell>
          <cell r="O45">
            <v>406773.18200000003</v>
          </cell>
          <cell r="P45">
            <v>4350350.6279999996</v>
          </cell>
          <cell r="Q45">
            <v>0</v>
          </cell>
          <cell r="R45">
            <v>560696.73699999996</v>
          </cell>
          <cell r="S45">
            <v>6007531.1279999996</v>
          </cell>
          <cell r="T45">
            <v>0</v>
          </cell>
          <cell r="U45">
            <v>503123.26199999999</v>
          </cell>
          <cell r="V45">
            <v>5376332.4070000006</v>
          </cell>
          <cell r="W45">
            <v>0</v>
          </cell>
          <cell r="X45">
            <v>663180.255</v>
          </cell>
          <cell r="Y45">
            <v>7095650.6189999999</v>
          </cell>
          <cell r="Z45">
            <v>0</v>
          </cell>
          <cell r="AA45">
            <v>350663.65700000001</v>
          </cell>
          <cell r="AB45">
            <v>3748124.4029999999</v>
          </cell>
          <cell r="AC45">
            <v>0</v>
          </cell>
          <cell r="AD45">
            <v>31605.976999999999</v>
          </cell>
          <cell r="AE45">
            <v>338063.06300000002</v>
          </cell>
          <cell r="AF45">
            <v>0</v>
          </cell>
          <cell r="AG45">
            <v>31334.178</v>
          </cell>
          <cell r="AH45">
            <v>334489.83600000001</v>
          </cell>
          <cell r="AI45">
            <v>0</v>
          </cell>
          <cell r="AJ45">
            <v>21868.192999999999</v>
          </cell>
          <cell r="AK45">
            <v>232908.53400000001</v>
          </cell>
          <cell r="AL45">
            <v>0</v>
          </cell>
        </row>
        <row r="49">
          <cell r="C49">
            <v>18117.960132158838</v>
          </cell>
          <cell r="D49">
            <v>179509.49799999513</v>
          </cell>
          <cell r="E49">
            <v>0</v>
          </cell>
          <cell r="F49">
            <v>12684.402622247586</v>
          </cell>
          <cell r="G49">
            <v>129101.78000000303</v>
          </cell>
          <cell r="H49">
            <v>0</v>
          </cell>
          <cell r="I49">
            <v>6013.9529915014427</v>
          </cell>
          <cell r="J49">
            <v>61052.843999995297</v>
          </cell>
          <cell r="K49">
            <v>0</v>
          </cell>
          <cell r="L49">
            <v>22137.01290711484</v>
          </cell>
          <cell r="M49">
            <v>234875.3429999979</v>
          </cell>
          <cell r="N49">
            <v>0</v>
          </cell>
          <cell r="O49">
            <v>16169.176930368703</v>
          </cell>
          <cell r="P49">
            <v>173853.55899999477</v>
          </cell>
          <cell r="Q49">
            <v>0</v>
          </cell>
          <cell r="R49">
            <v>15995.512653756887</v>
          </cell>
          <cell r="S49">
            <v>162297.60973799974</v>
          </cell>
          <cell r="T49">
            <v>0</v>
          </cell>
          <cell r="U49">
            <v>8145.1462685563019</v>
          </cell>
          <cell r="V49">
            <v>92700.816999996081</v>
          </cell>
          <cell r="W49">
            <v>0</v>
          </cell>
          <cell r="X49">
            <v>12446.211500637699</v>
          </cell>
          <cell r="Y49">
            <v>125442.86900000181</v>
          </cell>
          <cell r="Z49">
            <v>0</v>
          </cell>
          <cell r="AA49">
            <v>13798.279558220063</v>
          </cell>
          <cell r="AB49">
            <v>146856.14100000029</v>
          </cell>
          <cell r="AC49">
            <v>0</v>
          </cell>
          <cell r="AD49">
            <v>17919.10708465286</v>
          </cell>
          <cell r="AE49">
            <v>182462.83699999942</v>
          </cell>
          <cell r="AF49">
            <v>0</v>
          </cell>
          <cell r="AG49">
            <v>12377.146913891498</v>
          </cell>
          <cell r="AH49">
            <v>126883.13999999932</v>
          </cell>
          <cell r="AI49">
            <v>0</v>
          </cell>
          <cell r="AJ49">
            <v>15869.609953045816</v>
          </cell>
          <cell r="AK49">
            <v>163633.26499999638</v>
          </cell>
          <cell r="AL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  <sheetName val="Lis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274.00412384216952</v>
          </cell>
          <cell r="G3">
            <v>680.41601284216961</v>
          </cell>
          <cell r="H3">
            <v>1240.9766308421695</v>
          </cell>
          <cell r="I3">
            <v>1743.8246528421696</v>
          </cell>
          <cell r="J3">
            <v>2407.0049078421694</v>
          </cell>
          <cell r="K3">
            <v>2757.4041568421703</v>
          </cell>
          <cell r="L3">
            <v>2617.3318038421703</v>
          </cell>
          <cell r="M3">
            <v>2276.3152648421701</v>
          </cell>
          <cell r="N3">
            <v>2005.6421078421704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3042.8369127159904</v>
          </cell>
          <cell r="G4">
            <v>7389.314610715991</v>
          </cell>
          <cell r="H4">
            <v>13395.384393715993</v>
          </cell>
          <cell r="I4">
            <v>18768.777237715993</v>
          </cell>
          <cell r="J4">
            <v>25864.427856715996</v>
          </cell>
          <cell r="K4">
            <v>29609.723742405993</v>
          </cell>
          <cell r="L4">
            <v>28113.455214405993</v>
          </cell>
          <cell r="M4">
            <v>24467.445273406</v>
          </cell>
          <cell r="N4">
            <v>21575.984321405991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List3"/>
      <sheetName val="List4"/>
      <sheetName val="Li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2</v>
          </cell>
          <cell r="F3">
            <v>1</v>
          </cell>
          <cell r="G3">
            <v>3</v>
          </cell>
          <cell r="H3">
            <v>6</v>
          </cell>
          <cell r="I3">
            <v>2</v>
          </cell>
          <cell r="J3">
            <v>2</v>
          </cell>
          <cell r="K3">
            <v>6</v>
          </cell>
          <cell r="L3">
            <v>5</v>
          </cell>
          <cell r="M3">
            <v>8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33</v>
          </cell>
          <cell r="F4">
            <v>20</v>
          </cell>
          <cell r="G4">
            <v>18</v>
          </cell>
          <cell r="H4">
            <v>59</v>
          </cell>
          <cell r="I4">
            <v>19</v>
          </cell>
          <cell r="J4">
            <v>28</v>
          </cell>
          <cell r="K4">
            <v>18</v>
          </cell>
          <cell r="L4">
            <v>26</v>
          </cell>
          <cell r="M4">
            <v>16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840</v>
          </cell>
          <cell r="F5">
            <v>1284</v>
          </cell>
          <cell r="G5">
            <v>725</v>
          </cell>
          <cell r="H5">
            <v>1062</v>
          </cell>
          <cell r="I5">
            <v>982</v>
          </cell>
          <cell r="J5">
            <v>857</v>
          </cell>
          <cell r="K5">
            <v>829</v>
          </cell>
          <cell r="L5">
            <v>1276</v>
          </cell>
          <cell r="M5">
            <v>1099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11210</v>
          </cell>
          <cell r="F6">
            <v>19688</v>
          </cell>
          <cell r="G6">
            <v>11609</v>
          </cell>
          <cell r="H6">
            <v>11190</v>
          </cell>
          <cell r="I6">
            <v>11846</v>
          </cell>
          <cell r="J6">
            <v>12336</v>
          </cell>
          <cell r="K6">
            <v>13353</v>
          </cell>
          <cell r="L6">
            <v>12445</v>
          </cell>
          <cell r="M6">
            <v>11733</v>
          </cell>
        </row>
      </sheetData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ZDS"/>
      <sheetName val="Z 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  <sheetName val="MZ_2015_1"/>
      <sheetName val="MZ_2015_2"/>
      <sheetName val="MZ_2015_3"/>
    </sheetNames>
    <sheetDataSet>
      <sheetData sheetId="0"/>
      <sheetData sheetId="1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145.13564191763442</v>
          </cell>
          <cell r="P31">
            <v>1523.5945649999996</v>
          </cell>
          <cell r="S31">
            <v>88.036683973535602</v>
          </cell>
          <cell r="T31">
            <v>924.51589200000035</v>
          </cell>
          <cell r="W31">
            <v>62.191571129778751</v>
          </cell>
          <cell r="X31">
            <v>653.10242599999992</v>
          </cell>
          <cell r="AA31">
            <v>32.875461042247622</v>
          </cell>
          <cell r="AB31">
            <v>345.15133299999991</v>
          </cell>
          <cell r="AE31">
            <v>32.183876415279308</v>
          </cell>
          <cell r="AF31">
            <v>337.945561</v>
          </cell>
          <cell r="AI31">
            <v>85.353673481835486</v>
          </cell>
          <cell r="AJ31">
            <v>896.20718300000021</v>
          </cell>
          <cell r="AM31">
            <v>145.65172632005385</v>
          </cell>
          <cell r="AN31">
            <v>1529.4135209999997</v>
          </cell>
          <cell r="AQ31">
            <v>161.25833566822209</v>
          </cell>
          <cell r="AR31">
            <v>1693.2125570000007</v>
          </cell>
          <cell r="AU31">
            <v>182.61621914569955</v>
          </cell>
          <cell r="AV31">
            <v>1917.2530659999991</v>
          </cell>
          <cell r="AY31">
            <v>1630.0363220128463</v>
          </cell>
          <cell r="AZ31">
            <v>17114.929841000001</v>
          </cell>
        </row>
      </sheetData>
      <sheetData sheetId="2"/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22.606785517017283</v>
          </cell>
          <cell r="M32">
            <v>240.55074999999999</v>
          </cell>
          <cell r="O32">
            <v>14.631240031054514</v>
          </cell>
          <cell r="P32">
            <v>156.62175999999999</v>
          </cell>
          <cell r="R32">
            <v>11.360975674892451</v>
          </cell>
          <cell r="S32">
            <v>121.73699999999999</v>
          </cell>
          <cell r="U32">
            <v>13.300783573644042</v>
          </cell>
          <cell r="V32">
            <v>142.1694311</v>
          </cell>
          <cell r="X32">
            <v>12.540706060250383</v>
          </cell>
          <cell r="Y32">
            <v>134.37035520000001</v>
          </cell>
          <cell r="AA32">
            <v>14.98652120086658</v>
          </cell>
          <cell r="AB32">
            <v>160.32547339999999</v>
          </cell>
          <cell r="AD32">
            <v>23.028959755137851</v>
          </cell>
          <cell r="AE32">
            <v>246.01559449999999</v>
          </cell>
          <cell r="AG32">
            <v>21.504382315122722</v>
          </cell>
          <cell r="AH32">
            <v>229.2712315</v>
          </cell>
          <cell r="AJ32">
            <v>25.647905842912589</v>
          </cell>
          <cell r="AK32">
            <v>273.2646891</v>
          </cell>
          <cell r="AM32">
            <v>238.60515522546748</v>
          </cell>
          <cell r="AN32">
            <v>2544.4707576999999</v>
          </cell>
        </row>
      </sheetData>
      <sheetData sheetId="5"/>
      <sheetData sheetId="6"/>
      <sheetData sheetId="7"/>
      <sheetData sheetId="8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116</v>
          </cell>
          <cell r="L3">
            <v>9977.0860000000011</v>
          </cell>
          <cell r="M3">
            <v>106144.87</v>
          </cell>
          <cell r="N3">
            <v>116</v>
          </cell>
          <cell r="O3">
            <v>8388.8419999999987</v>
          </cell>
          <cell r="P3">
            <v>89693.437999999995</v>
          </cell>
          <cell r="Q3">
            <v>117</v>
          </cell>
          <cell r="R3">
            <v>7681.5380000000005</v>
          </cell>
          <cell r="S3">
            <v>81935.179999999993</v>
          </cell>
          <cell r="T3">
            <v>117</v>
          </cell>
          <cell r="U3">
            <v>8052.9229999999998</v>
          </cell>
          <cell r="V3">
            <v>85298.39499999999</v>
          </cell>
          <cell r="W3">
            <v>117</v>
          </cell>
          <cell r="X3">
            <v>6889.8140000000003</v>
          </cell>
          <cell r="Y3">
            <v>73700.353000000003</v>
          </cell>
          <cell r="Z3">
            <v>117</v>
          </cell>
          <cell r="AA3">
            <v>8314.9360000000015</v>
          </cell>
          <cell r="AB3">
            <v>88878.425999999992</v>
          </cell>
          <cell r="AC3">
            <v>117</v>
          </cell>
          <cell r="AD3">
            <v>10039.65</v>
          </cell>
          <cell r="AE3">
            <v>107198.40300000001</v>
          </cell>
          <cell r="AF3">
            <v>117</v>
          </cell>
          <cell r="AG3">
            <v>10311.798000000001</v>
          </cell>
          <cell r="AH3">
            <v>110110.325</v>
          </cell>
          <cell r="AI3">
            <v>117</v>
          </cell>
          <cell r="AJ3">
            <v>9510.6939999999995</v>
          </cell>
          <cell r="AK3">
            <v>101217.469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309</v>
          </cell>
          <cell r="L4">
            <v>1232.33</v>
          </cell>
          <cell r="M4">
            <v>13110.94965</v>
          </cell>
          <cell r="N4">
            <v>310</v>
          </cell>
          <cell r="O4">
            <v>537.42100000000005</v>
          </cell>
          <cell r="P4">
            <v>5745.98405</v>
          </cell>
          <cell r="Q4">
            <v>310</v>
          </cell>
          <cell r="R4">
            <v>383.66899999999998</v>
          </cell>
          <cell r="S4">
            <v>4094.1061100000002</v>
          </cell>
          <cell r="T4">
            <v>311</v>
          </cell>
          <cell r="U4">
            <v>371.48900000000003</v>
          </cell>
          <cell r="V4">
            <v>3937.32836</v>
          </cell>
          <cell r="W4">
            <v>312</v>
          </cell>
          <cell r="X4">
            <v>339.685</v>
          </cell>
          <cell r="Y4">
            <v>3633.8657600000001</v>
          </cell>
          <cell r="Z4">
            <v>312</v>
          </cell>
          <cell r="AA4">
            <v>532.21799999999996</v>
          </cell>
          <cell r="AB4">
            <v>5689.4993400000003</v>
          </cell>
          <cell r="AC4">
            <v>312</v>
          </cell>
          <cell r="AD4">
            <v>1203.347</v>
          </cell>
          <cell r="AE4">
            <v>12848.51606</v>
          </cell>
          <cell r="AF4">
            <v>312</v>
          </cell>
          <cell r="AG4">
            <v>1520.4679999999998</v>
          </cell>
          <cell r="AH4">
            <v>16235.105949999999</v>
          </cell>
          <cell r="AI4">
            <v>312</v>
          </cell>
          <cell r="AJ4">
            <v>1827.847</v>
          </cell>
          <cell r="AK4">
            <v>19453.055470000003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7263</v>
          </cell>
          <cell r="L5">
            <v>3367.3126559999996</v>
          </cell>
          <cell r="M5">
            <v>35825.501036000001</v>
          </cell>
          <cell r="N5">
            <v>7264</v>
          </cell>
          <cell r="O5">
            <v>1332.323566</v>
          </cell>
          <cell r="P5">
            <v>14249.389407999999</v>
          </cell>
          <cell r="Q5">
            <v>7266</v>
          </cell>
          <cell r="R5">
            <v>548.90505200000007</v>
          </cell>
          <cell r="S5">
            <v>5857.5728280000003</v>
          </cell>
          <cell r="T5">
            <v>7268</v>
          </cell>
          <cell r="U5">
            <v>346.92419599999999</v>
          </cell>
          <cell r="V5">
            <v>3682.709476</v>
          </cell>
          <cell r="W5">
            <v>8375</v>
          </cell>
          <cell r="X5">
            <v>427.629774</v>
          </cell>
          <cell r="Y5">
            <v>4576.7187520000007</v>
          </cell>
          <cell r="Z5">
            <v>8553</v>
          </cell>
          <cell r="AA5">
            <v>1122.461114</v>
          </cell>
          <cell r="AB5">
            <v>11995.979798</v>
          </cell>
          <cell r="AC5">
            <v>8865</v>
          </cell>
          <cell r="AD5">
            <v>3707.7440320000001</v>
          </cell>
          <cell r="AE5">
            <v>39591.039189999996</v>
          </cell>
          <cell r="AF5">
            <v>8919</v>
          </cell>
          <cell r="AG5">
            <v>5488.5242960000005</v>
          </cell>
          <cell r="AH5">
            <v>58606.296292999999</v>
          </cell>
          <cell r="AI5">
            <v>8940</v>
          </cell>
          <cell r="AJ5">
            <v>6070.7361860000001</v>
          </cell>
          <cell r="AK5">
            <v>64607.989825999997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99708</v>
          </cell>
          <cell r="L6">
            <v>7067.1353440000012</v>
          </cell>
          <cell r="M6">
            <v>75188.636964000005</v>
          </cell>
          <cell r="N6">
            <v>99710</v>
          </cell>
          <cell r="O6">
            <v>2795.279434</v>
          </cell>
          <cell r="P6">
            <v>29895.974592000002</v>
          </cell>
          <cell r="Q6">
            <v>99713</v>
          </cell>
          <cell r="R6">
            <v>1150.860948</v>
          </cell>
          <cell r="S6">
            <v>12280.801171999999</v>
          </cell>
          <cell r="T6">
            <v>99716</v>
          </cell>
          <cell r="U6">
            <v>726.693804</v>
          </cell>
          <cell r="V6">
            <v>7714.4485240000004</v>
          </cell>
          <cell r="W6">
            <v>98124</v>
          </cell>
          <cell r="X6">
            <v>896.83722599999999</v>
          </cell>
          <cell r="Y6">
            <v>9597.1972480000004</v>
          </cell>
          <cell r="Z6">
            <v>97941</v>
          </cell>
          <cell r="AA6">
            <v>2356.5758860000001</v>
          </cell>
          <cell r="AB6">
            <v>25185.179201999999</v>
          </cell>
          <cell r="AC6">
            <v>97632</v>
          </cell>
          <cell r="AD6">
            <v>7782.7119679999996</v>
          </cell>
          <cell r="AE6">
            <v>83102.855809999994</v>
          </cell>
          <cell r="AF6">
            <v>97609</v>
          </cell>
          <cell r="AG6">
            <v>9785.6197039999988</v>
          </cell>
          <cell r="AH6">
            <v>104490.73070700001</v>
          </cell>
          <cell r="AI6">
            <v>97609</v>
          </cell>
          <cell r="AJ6">
            <v>12736.776813999999</v>
          </cell>
          <cell r="AK6">
            <v>135552.44317400001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190</v>
          </cell>
          <cell r="L9">
            <v>31503.7</v>
          </cell>
          <cell r="M9">
            <v>335219.57809999987</v>
          </cell>
          <cell r="N9">
            <v>190</v>
          </cell>
          <cell r="O9">
            <v>23604.400000000001</v>
          </cell>
          <cell r="P9">
            <v>252676.06225999992</v>
          </cell>
          <cell r="Q9">
            <v>190</v>
          </cell>
          <cell r="R9">
            <v>18522.3</v>
          </cell>
          <cell r="S9">
            <v>198473.52802000006</v>
          </cell>
          <cell r="T9">
            <v>190</v>
          </cell>
          <cell r="U9">
            <v>17077</v>
          </cell>
          <cell r="V9">
            <v>182532.65106999996</v>
          </cell>
          <cell r="W9">
            <v>190</v>
          </cell>
          <cell r="X9">
            <v>16495.7</v>
          </cell>
          <cell r="Y9">
            <v>176747.29083000001</v>
          </cell>
          <cell r="Z9">
            <v>189</v>
          </cell>
          <cell r="AA9">
            <v>21034.2</v>
          </cell>
          <cell r="AB9">
            <v>225023.89578999983</v>
          </cell>
          <cell r="AC9">
            <v>190</v>
          </cell>
          <cell r="AD9">
            <v>39092</v>
          </cell>
          <cell r="AE9">
            <v>417615.5748099999</v>
          </cell>
          <cell r="AF9">
            <v>190</v>
          </cell>
          <cell r="AG9">
            <v>42636.5</v>
          </cell>
          <cell r="AH9">
            <v>454573.49294000008</v>
          </cell>
          <cell r="AI9">
            <v>190</v>
          </cell>
          <cell r="AJ9">
            <v>50583</v>
          </cell>
          <cell r="AK9">
            <v>538935.1666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928</v>
          </cell>
          <cell r="L10">
            <v>8808.7000000000007</v>
          </cell>
          <cell r="M10">
            <v>93730.149671999825</v>
          </cell>
          <cell r="N10">
            <v>928</v>
          </cell>
          <cell r="O10">
            <v>5103.2</v>
          </cell>
          <cell r="P10">
            <v>54628.193323000036</v>
          </cell>
          <cell r="Q10">
            <v>929</v>
          </cell>
          <cell r="R10">
            <v>4084.4</v>
          </cell>
          <cell r="S10">
            <v>43765.689899999932</v>
          </cell>
          <cell r="T10">
            <v>932</v>
          </cell>
          <cell r="U10">
            <v>3752.4</v>
          </cell>
          <cell r="V10">
            <v>40108.455880000023</v>
          </cell>
          <cell r="W10">
            <v>934</v>
          </cell>
          <cell r="X10">
            <v>3551.9</v>
          </cell>
          <cell r="Y10">
            <v>38057.146369999995</v>
          </cell>
          <cell r="Z10">
            <v>941</v>
          </cell>
          <cell r="AA10">
            <v>4862.3999999999996</v>
          </cell>
          <cell r="AB10">
            <v>52017.348690000057</v>
          </cell>
          <cell r="AC10">
            <v>942</v>
          </cell>
          <cell r="AD10">
            <v>11800.3</v>
          </cell>
          <cell r="AE10">
            <v>126060.93961000003</v>
          </cell>
          <cell r="AF10">
            <v>940</v>
          </cell>
          <cell r="AG10">
            <v>12442.5</v>
          </cell>
          <cell r="AH10">
            <v>132657.32626000006</v>
          </cell>
          <cell r="AI10">
            <v>942</v>
          </cell>
          <cell r="AJ10">
            <v>14749.6</v>
          </cell>
          <cell r="AK10">
            <v>157149.56812000004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23864</v>
          </cell>
          <cell r="L11">
            <v>10986.1</v>
          </cell>
          <cell r="M11">
            <v>116898.8</v>
          </cell>
          <cell r="N11">
            <v>23841</v>
          </cell>
          <cell r="O11">
            <v>4786.3</v>
          </cell>
          <cell r="P11">
            <v>51235.9</v>
          </cell>
          <cell r="Q11">
            <v>23822</v>
          </cell>
          <cell r="R11">
            <v>2354</v>
          </cell>
          <cell r="S11">
            <v>25224</v>
          </cell>
          <cell r="T11">
            <v>23788</v>
          </cell>
          <cell r="U11">
            <v>1773.4</v>
          </cell>
          <cell r="V11">
            <v>18955.3</v>
          </cell>
          <cell r="W11">
            <v>23764</v>
          </cell>
          <cell r="X11">
            <v>1763.1</v>
          </cell>
          <cell r="Y11">
            <v>18891.599999999999</v>
          </cell>
          <cell r="Z11">
            <v>23769</v>
          </cell>
          <cell r="AA11">
            <v>3273.7</v>
          </cell>
          <cell r="AB11">
            <v>35021.599999999999</v>
          </cell>
          <cell r="AC11">
            <v>23822</v>
          </cell>
          <cell r="AD11">
            <v>11586.9</v>
          </cell>
          <cell r="AE11">
            <v>123781.1</v>
          </cell>
          <cell r="AF11">
            <v>23869</v>
          </cell>
          <cell r="AG11">
            <v>15375</v>
          </cell>
          <cell r="AH11">
            <v>163922.6</v>
          </cell>
          <cell r="AI11">
            <v>23923</v>
          </cell>
          <cell r="AJ11">
            <v>21735.599999999999</v>
          </cell>
          <cell r="AK11">
            <v>231580.9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361867</v>
          </cell>
          <cell r="L12">
            <v>30025.3</v>
          </cell>
          <cell r="M12">
            <v>319488.2</v>
          </cell>
          <cell r="N12">
            <v>361725</v>
          </cell>
          <cell r="O12">
            <v>13081.2</v>
          </cell>
          <cell r="P12">
            <v>140029.5</v>
          </cell>
          <cell r="Q12">
            <v>361549</v>
          </cell>
          <cell r="R12">
            <v>6433.6</v>
          </cell>
          <cell r="S12">
            <v>68938</v>
          </cell>
          <cell r="T12">
            <v>361326</v>
          </cell>
          <cell r="U12">
            <v>4846.7</v>
          </cell>
          <cell r="V12">
            <v>51805.4</v>
          </cell>
          <cell r="W12">
            <v>361060</v>
          </cell>
          <cell r="X12">
            <v>4818.7</v>
          </cell>
          <cell r="Y12">
            <v>51631.4</v>
          </cell>
          <cell r="Z12">
            <v>361100</v>
          </cell>
          <cell r="AA12">
            <v>8947</v>
          </cell>
          <cell r="AB12">
            <v>95715.199999999997</v>
          </cell>
          <cell r="AC12">
            <v>361286</v>
          </cell>
          <cell r="AD12">
            <v>31667.3</v>
          </cell>
          <cell r="AE12">
            <v>338297.8</v>
          </cell>
          <cell r="AF12">
            <v>361507</v>
          </cell>
          <cell r="AG12">
            <v>42020.5</v>
          </cell>
          <cell r="AH12">
            <v>448005.8</v>
          </cell>
          <cell r="AI12">
            <v>361736</v>
          </cell>
          <cell r="AJ12">
            <v>59404</v>
          </cell>
          <cell r="AK12">
            <v>632918.1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50</v>
          </cell>
          <cell r="L15">
            <v>9343.7000000000007</v>
          </cell>
          <cell r="M15">
            <v>99423.096540000028</v>
          </cell>
          <cell r="N15">
            <v>50</v>
          </cell>
          <cell r="O15">
            <v>7482.4</v>
          </cell>
          <cell r="P15">
            <v>80096.697010000004</v>
          </cell>
          <cell r="Q15">
            <v>50</v>
          </cell>
          <cell r="R15">
            <v>7098.6</v>
          </cell>
          <cell r="S15">
            <v>76064.390179999973</v>
          </cell>
          <cell r="T15">
            <v>51</v>
          </cell>
          <cell r="U15">
            <v>7632.1</v>
          </cell>
          <cell r="V15">
            <v>81578.49781999999</v>
          </cell>
          <cell r="W15">
            <v>51</v>
          </cell>
          <cell r="X15">
            <v>7275.8</v>
          </cell>
          <cell r="Y15">
            <v>77958.799729999999</v>
          </cell>
          <cell r="Z15">
            <v>51</v>
          </cell>
          <cell r="AA15">
            <v>7623.3</v>
          </cell>
          <cell r="AB15">
            <v>81554.39694999998</v>
          </cell>
          <cell r="AC15">
            <v>51</v>
          </cell>
          <cell r="AD15">
            <v>8991.7999999999993</v>
          </cell>
          <cell r="AE15">
            <v>96058.326860000001</v>
          </cell>
          <cell r="AF15">
            <v>51</v>
          </cell>
          <cell r="AG15">
            <v>9367.9</v>
          </cell>
          <cell r="AH15">
            <v>99877.229910000009</v>
          </cell>
          <cell r="AI15">
            <v>51</v>
          </cell>
          <cell r="AJ15">
            <v>9467.6</v>
          </cell>
          <cell r="AK15">
            <v>100872.27503000003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192</v>
          </cell>
          <cell r="L16">
            <v>2000.2</v>
          </cell>
          <cell r="M16">
            <v>21283.51079800001</v>
          </cell>
          <cell r="N16">
            <v>192</v>
          </cell>
          <cell r="O16">
            <v>1250.7</v>
          </cell>
          <cell r="P16">
            <v>13388.724679999998</v>
          </cell>
          <cell r="Q16">
            <v>192</v>
          </cell>
          <cell r="R16">
            <v>919.3</v>
          </cell>
          <cell r="S16">
            <v>9851.0683600000011</v>
          </cell>
          <cell r="T16">
            <v>192</v>
          </cell>
          <cell r="U16">
            <v>1099.5</v>
          </cell>
          <cell r="V16">
            <v>11752.485640000012</v>
          </cell>
          <cell r="W16">
            <v>192</v>
          </cell>
          <cell r="X16">
            <v>675.1</v>
          </cell>
          <cell r="Y16">
            <v>7233.2567300000001</v>
          </cell>
          <cell r="Z16">
            <v>193</v>
          </cell>
          <cell r="AA16">
            <v>1193.5</v>
          </cell>
          <cell r="AB16">
            <v>12768.458299999989</v>
          </cell>
          <cell r="AC16">
            <v>193</v>
          </cell>
          <cell r="AD16">
            <v>2050</v>
          </cell>
          <cell r="AE16">
            <v>21900.412970000012</v>
          </cell>
          <cell r="AF16">
            <v>193</v>
          </cell>
          <cell r="AG16">
            <v>2292.1</v>
          </cell>
          <cell r="AH16">
            <v>24437.33524</v>
          </cell>
          <cell r="AI16">
            <v>193</v>
          </cell>
          <cell r="AJ16">
            <v>2429.5</v>
          </cell>
          <cell r="AK16">
            <v>25884.619750000009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5986</v>
          </cell>
          <cell r="L17">
            <v>2637.6</v>
          </cell>
          <cell r="M17">
            <v>28065.7</v>
          </cell>
          <cell r="N17">
            <v>5981</v>
          </cell>
          <cell r="O17">
            <v>1149.0999999999999</v>
          </cell>
          <cell r="P17">
            <v>12301</v>
          </cell>
          <cell r="Q17">
            <v>5976</v>
          </cell>
          <cell r="R17">
            <v>565.20000000000005</v>
          </cell>
          <cell r="S17">
            <v>6055.9</v>
          </cell>
          <cell r="T17">
            <v>5968</v>
          </cell>
          <cell r="U17">
            <v>425.8</v>
          </cell>
          <cell r="V17">
            <v>4550.8999999999996</v>
          </cell>
          <cell r="W17">
            <v>5961</v>
          </cell>
          <cell r="X17">
            <v>423.3</v>
          </cell>
          <cell r="Y17">
            <v>4535.6000000000004</v>
          </cell>
          <cell r="Z17">
            <v>5963</v>
          </cell>
          <cell r="AA17">
            <v>786</v>
          </cell>
          <cell r="AB17">
            <v>8408.2000000000007</v>
          </cell>
          <cell r="AC17">
            <v>5976</v>
          </cell>
          <cell r="AD17">
            <v>2781.8</v>
          </cell>
          <cell r="AE17">
            <v>29718</v>
          </cell>
          <cell r="AF17">
            <v>5988</v>
          </cell>
          <cell r="AG17">
            <v>3691.3</v>
          </cell>
          <cell r="AH17">
            <v>39355.4</v>
          </cell>
          <cell r="AI17">
            <v>6001</v>
          </cell>
          <cell r="AJ17">
            <v>5218.3999999999996</v>
          </cell>
          <cell r="AK17">
            <v>55599.1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79982</v>
          </cell>
          <cell r="L18">
            <v>3695</v>
          </cell>
          <cell r="M18">
            <v>39317.5</v>
          </cell>
          <cell r="N18">
            <v>79950</v>
          </cell>
          <cell r="O18">
            <v>1609.8</v>
          </cell>
          <cell r="P18">
            <v>17232.599999999999</v>
          </cell>
          <cell r="Q18">
            <v>79911</v>
          </cell>
          <cell r="R18">
            <v>791.7</v>
          </cell>
          <cell r="S18">
            <v>8483.7999999999993</v>
          </cell>
          <cell r="T18">
            <v>79862</v>
          </cell>
          <cell r="U18">
            <v>596.5</v>
          </cell>
          <cell r="V18">
            <v>6375.4</v>
          </cell>
          <cell r="W18">
            <v>79803</v>
          </cell>
          <cell r="X18">
            <v>593</v>
          </cell>
          <cell r="Y18">
            <v>6354</v>
          </cell>
          <cell r="Z18">
            <v>79812</v>
          </cell>
          <cell r="AA18">
            <v>1101.0999999999999</v>
          </cell>
          <cell r="AB18">
            <v>11779.1</v>
          </cell>
          <cell r="AC18">
            <v>79853</v>
          </cell>
          <cell r="AD18">
            <v>3897.1</v>
          </cell>
          <cell r="AE18">
            <v>41632.300000000003</v>
          </cell>
          <cell r="AF18">
            <v>79902</v>
          </cell>
          <cell r="AG18">
            <v>5171.2</v>
          </cell>
          <cell r="AH18">
            <v>55133.4</v>
          </cell>
          <cell r="AI18">
            <v>79953</v>
          </cell>
          <cell r="AJ18">
            <v>7310.5</v>
          </cell>
          <cell r="AK18">
            <v>77889.399999999994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81</v>
          </cell>
          <cell r="L21">
            <v>10530.1</v>
          </cell>
          <cell r="M21">
            <v>112047.03569999996</v>
          </cell>
          <cell r="N21">
            <v>81</v>
          </cell>
          <cell r="O21">
            <v>8646.4</v>
          </cell>
          <cell r="P21">
            <v>92556.478039999987</v>
          </cell>
          <cell r="Q21">
            <v>81</v>
          </cell>
          <cell r="R21">
            <v>8427.2000000000007</v>
          </cell>
          <cell r="S21">
            <v>90300.002800000002</v>
          </cell>
          <cell r="T21">
            <v>81</v>
          </cell>
          <cell r="U21">
            <v>7283.7</v>
          </cell>
          <cell r="V21">
            <v>77854.410309999977</v>
          </cell>
          <cell r="W21">
            <v>81</v>
          </cell>
          <cell r="X21">
            <v>6941.6</v>
          </cell>
          <cell r="Y21">
            <v>74377.091700000004</v>
          </cell>
          <cell r="Z21">
            <v>81</v>
          </cell>
          <cell r="AA21">
            <v>8541.1</v>
          </cell>
          <cell r="AB21">
            <v>91372.807049999989</v>
          </cell>
          <cell r="AC21">
            <v>81</v>
          </cell>
          <cell r="AD21">
            <v>11277</v>
          </cell>
          <cell r="AE21">
            <v>120470.84220000003</v>
          </cell>
          <cell r="AF21">
            <v>82</v>
          </cell>
          <cell r="AG21">
            <v>12292.6</v>
          </cell>
          <cell r="AH21">
            <v>131059.33643000005</v>
          </cell>
          <cell r="AI21">
            <v>83</v>
          </cell>
          <cell r="AJ21">
            <v>11054.6</v>
          </cell>
          <cell r="AK21">
            <v>117780.80345000004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256</v>
          </cell>
          <cell r="L22">
            <v>2395.3000000000002</v>
          </cell>
          <cell r="M22">
            <v>25487.578733999984</v>
          </cell>
          <cell r="N22">
            <v>256</v>
          </cell>
          <cell r="O22">
            <v>1454.3</v>
          </cell>
          <cell r="P22">
            <v>15567.872790000001</v>
          </cell>
          <cell r="Q22">
            <v>256</v>
          </cell>
          <cell r="R22">
            <v>1160.2</v>
          </cell>
          <cell r="S22">
            <v>12432.405669999998</v>
          </cell>
          <cell r="T22">
            <v>257</v>
          </cell>
          <cell r="U22">
            <v>1024</v>
          </cell>
          <cell r="V22">
            <v>10944.907950000004</v>
          </cell>
          <cell r="W22">
            <v>257</v>
          </cell>
          <cell r="X22">
            <v>934.8</v>
          </cell>
          <cell r="Y22">
            <v>10015.611549999998</v>
          </cell>
          <cell r="Z22">
            <v>259</v>
          </cell>
          <cell r="AA22">
            <v>1216.2</v>
          </cell>
          <cell r="AB22">
            <v>13011.152239999999</v>
          </cell>
          <cell r="AC22">
            <v>257</v>
          </cell>
          <cell r="AD22">
            <v>2571.6999999999998</v>
          </cell>
          <cell r="AE22">
            <v>27473.462839999986</v>
          </cell>
          <cell r="AF22">
            <v>256</v>
          </cell>
          <cell r="AG22">
            <v>2958.1</v>
          </cell>
          <cell r="AH22">
            <v>31538.085950000012</v>
          </cell>
          <cell r="AI22">
            <v>255</v>
          </cell>
          <cell r="AJ22">
            <v>3139.8</v>
          </cell>
          <cell r="AK22">
            <v>33453.150950000032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9426</v>
          </cell>
          <cell r="L23">
            <v>4138.8</v>
          </cell>
          <cell r="M23">
            <v>44039.199999999997</v>
          </cell>
          <cell r="N23">
            <v>9417</v>
          </cell>
          <cell r="O23">
            <v>1803.2</v>
          </cell>
          <cell r="P23">
            <v>19302.099999999999</v>
          </cell>
          <cell r="Q23">
            <v>9410</v>
          </cell>
          <cell r="R23">
            <v>886.8</v>
          </cell>
          <cell r="S23">
            <v>9502.6</v>
          </cell>
          <cell r="T23">
            <v>9397</v>
          </cell>
          <cell r="U23">
            <v>668.1</v>
          </cell>
          <cell r="V23">
            <v>7141</v>
          </cell>
          <cell r="W23">
            <v>9387</v>
          </cell>
          <cell r="X23">
            <v>664.2</v>
          </cell>
          <cell r="Y23">
            <v>7117</v>
          </cell>
          <cell r="Z23">
            <v>9389</v>
          </cell>
          <cell r="AA23">
            <v>1233.3</v>
          </cell>
          <cell r="AB23">
            <v>13193.7</v>
          </cell>
          <cell r="AC23">
            <v>9410</v>
          </cell>
          <cell r="AD23">
            <v>4365.1000000000004</v>
          </cell>
          <cell r="AE23">
            <v>46632</v>
          </cell>
          <cell r="AF23">
            <v>9429</v>
          </cell>
          <cell r="AG23">
            <v>5792.2</v>
          </cell>
          <cell r="AH23">
            <v>61754.5</v>
          </cell>
          <cell r="AI23">
            <v>9450</v>
          </cell>
          <cell r="AJ23">
            <v>8188.4</v>
          </cell>
          <cell r="AK23">
            <v>87243.3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108853</v>
          </cell>
          <cell r="L24">
            <v>7946.7</v>
          </cell>
          <cell r="M24">
            <v>84558.399999999994</v>
          </cell>
          <cell r="N24">
            <v>108810</v>
          </cell>
          <cell r="O24">
            <v>3462.2</v>
          </cell>
          <cell r="P24">
            <v>37061.4</v>
          </cell>
          <cell r="Q24">
            <v>108757</v>
          </cell>
          <cell r="R24">
            <v>1702.8</v>
          </cell>
          <cell r="S24">
            <v>18245.7</v>
          </cell>
          <cell r="T24">
            <v>108690</v>
          </cell>
          <cell r="U24">
            <v>1282.8</v>
          </cell>
          <cell r="V24">
            <v>13711.3</v>
          </cell>
          <cell r="W24">
            <v>108610</v>
          </cell>
          <cell r="X24">
            <v>1275.4000000000001</v>
          </cell>
          <cell r="Y24">
            <v>13665.2</v>
          </cell>
          <cell r="Z24">
            <v>108622</v>
          </cell>
          <cell r="AA24">
            <v>2368</v>
          </cell>
          <cell r="AB24">
            <v>25332.799999999999</v>
          </cell>
          <cell r="AC24">
            <v>108678</v>
          </cell>
          <cell r="AD24">
            <v>8381.2999999999993</v>
          </cell>
          <cell r="AE24">
            <v>89536.7</v>
          </cell>
          <cell r="AF24">
            <v>108745</v>
          </cell>
          <cell r="AG24">
            <v>11121.5</v>
          </cell>
          <cell r="AH24">
            <v>118573</v>
          </cell>
          <cell r="AI24">
            <v>108814</v>
          </cell>
          <cell r="AJ24">
            <v>15722.4</v>
          </cell>
          <cell r="AK24">
            <v>167513.4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93</v>
          </cell>
          <cell r="L27">
            <v>13087.9</v>
          </cell>
          <cell r="M27">
            <v>139263.89343999996</v>
          </cell>
          <cell r="N27">
            <v>93</v>
          </cell>
          <cell r="O27">
            <v>11392.7</v>
          </cell>
          <cell r="P27">
            <v>121954.62088000002</v>
          </cell>
          <cell r="Q27">
            <v>93</v>
          </cell>
          <cell r="R27">
            <v>8580.2999999999993</v>
          </cell>
          <cell r="S27">
            <v>91941.500140000004</v>
          </cell>
          <cell r="T27">
            <v>93</v>
          </cell>
          <cell r="U27">
            <v>7953.9</v>
          </cell>
          <cell r="V27">
            <v>85017.926690000008</v>
          </cell>
          <cell r="W27">
            <v>93</v>
          </cell>
          <cell r="X27">
            <v>7759.7</v>
          </cell>
          <cell r="Y27">
            <v>83143.412399999987</v>
          </cell>
          <cell r="Z27">
            <v>93</v>
          </cell>
          <cell r="AA27">
            <v>9571.7999999999993</v>
          </cell>
          <cell r="AB27">
            <v>102399.38298000001</v>
          </cell>
          <cell r="AC27">
            <v>95</v>
          </cell>
          <cell r="AD27">
            <v>13330.9</v>
          </cell>
          <cell r="AE27">
            <v>142412.89218000002</v>
          </cell>
          <cell r="AF27">
            <v>96</v>
          </cell>
          <cell r="AG27">
            <v>15116</v>
          </cell>
          <cell r="AH27">
            <v>161161.35356999998</v>
          </cell>
          <cell r="AI27">
            <v>96</v>
          </cell>
          <cell r="AJ27">
            <v>15849.5</v>
          </cell>
          <cell r="AK27">
            <v>168868.33196999994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305</v>
          </cell>
          <cell r="L28">
            <v>3306.8</v>
          </cell>
          <cell r="M28">
            <v>35186.450359999995</v>
          </cell>
          <cell r="N28">
            <v>304</v>
          </cell>
          <cell r="O28">
            <v>2081</v>
          </cell>
          <cell r="P28">
            <v>22276.114738999993</v>
          </cell>
          <cell r="Q28">
            <v>303</v>
          </cell>
          <cell r="R28">
            <v>1597.9</v>
          </cell>
          <cell r="S28">
            <v>17122.144990000004</v>
          </cell>
          <cell r="T28">
            <v>303</v>
          </cell>
          <cell r="U28">
            <v>1237.5999999999999</v>
          </cell>
          <cell r="V28">
            <v>13227.989009999998</v>
          </cell>
          <cell r="W28">
            <v>303</v>
          </cell>
          <cell r="X28">
            <v>1181.7</v>
          </cell>
          <cell r="Y28">
            <v>12661.932339999999</v>
          </cell>
          <cell r="Z28">
            <v>302</v>
          </cell>
          <cell r="AA28">
            <v>1876.7</v>
          </cell>
          <cell r="AB28">
            <v>20076.424780000012</v>
          </cell>
          <cell r="AC28">
            <v>302</v>
          </cell>
          <cell r="AD28">
            <v>3450.3</v>
          </cell>
          <cell r="AE28">
            <v>36858.752999999975</v>
          </cell>
          <cell r="AF28">
            <v>303</v>
          </cell>
          <cell r="AG28">
            <v>3982.6</v>
          </cell>
          <cell r="AH28">
            <v>42460.931790000017</v>
          </cell>
          <cell r="AI28">
            <v>305</v>
          </cell>
          <cell r="AJ28">
            <v>4247.1000000000004</v>
          </cell>
          <cell r="AK28">
            <v>45250.28269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8547</v>
          </cell>
          <cell r="L29">
            <v>4111</v>
          </cell>
          <cell r="M29">
            <v>43744</v>
          </cell>
          <cell r="N29">
            <v>8539</v>
          </cell>
          <cell r="O29">
            <v>1791.1</v>
          </cell>
          <cell r="P29">
            <v>19172.7</v>
          </cell>
          <cell r="Q29">
            <v>8532</v>
          </cell>
          <cell r="R29">
            <v>880.9</v>
          </cell>
          <cell r="S29">
            <v>9438.9</v>
          </cell>
          <cell r="T29">
            <v>8520</v>
          </cell>
          <cell r="U29">
            <v>663.6</v>
          </cell>
          <cell r="V29">
            <v>7093.1</v>
          </cell>
          <cell r="W29">
            <v>8511</v>
          </cell>
          <cell r="X29">
            <v>659.8</v>
          </cell>
          <cell r="Y29">
            <v>7069.3</v>
          </cell>
          <cell r="Z29">
            <v>8513</v>
          </cell>
          <cell r="AA29">
            <v>1225</v>
          </cell>
          <cell r="AB29">
            <v>13105.2</v>
          </cell>
          <cell r="AC29">
            <v>8532</v>
          </cell>
          <cell r="AD29">
            <v>4335.8999999999996</v>
          </cell>
          <cell r="AE29">
            <v>46319.4</v>
          </cell>
          <cell r="AF29">
            <v>8549</v>
          </cell>
          <cell r="AG29">
            <v>5753.4</v>
          </cell>
          <cell r="AH29">
            <v>61340.6</v>
          </cell>
          <cell r="AI29">
            <v>8568</v>
          </cell>
          <cell r="AJ29">
            <v>8133.5</v>
          </cell>
          <cell r="AK29">
            <v>86658.6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83765</v>
          </cell>
          <cell r="L30">
            <v>6027.7</v>
          </cell>
          <cell r="M30">
            <v>64138.400000000001</v>
          </cell>
          <cell r="N30">
            <v>83732</v>
          </cell>
          <cell r="O30">
            <v>2626.1</v>
          </cell>
          <cell r="P30">
            <v>28111.4</v>
          </cell>
          <cell r="Q30">
            <v>83691</v>
          </cell>
          <cell r="R30">
            <v>1291.5999999999999</v>
          </cell>
          <cell r="S30">
            <v>13839.5</v>
          </cell>
          <cell r="T30">
            <v>83640</v>
          </cell>
          <cell r="U30">
            <v>973</v>
          </cell>
          <cell r="V30">
            <v>10400.1</v>
          </cell>
          <cell r="W30">
            <v>83578</v>
          </cell>
          <cell r="X30">
            <v>967.4</v>
          </cell>
          <cell r="Y30">
            <v>10365.200000000001</v>
          </cell>
          <cell r="Z30">
            <v>83587</v>
          </cell>
          <cell r="AA30">
            <v>1796.2</v>
          </cell>
          <cell r="AB30">
            <v>19215.2</v>
          </cell>
          <cell r="AC30">
            <v>83630</v>
          </cell>
          <cell r="AD30">
            <v>6357.3</v>
          </cell>
          <cell r="AE30">
            <v>67914.5</v>
          </cell>
          <cell r="AF30">
            <v>83682</v>
          </cell>
          <cell r="AG30">
            <v>8435.7999999999993</v>
          </cell>
          <cell r="AH30">
            <v>89938.8</v>
          </cell>
          <cell r="AI30">
            <v>83734</v>
          </cell>
          <cell r="AJ30">
            <v>11925.6</v>
          </cell>
          <cell r="AK30">
            <v>127060.5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131</v>
          </cell>
          <cell r="L33">
            <v>41439.199999999997</v>
          </cell>
          <cell r="M33">
            <v>440799.06076999992</v>
          </cell>
          <cell r="N33">
            <v>132</v>
          </cell>
          <cell r="O33">
            <v>39377.9</v>
          </cell>
          <cell r="P33">
            <v>421348.04742000013</v>
          </cell>
          <cell r="Q33">
            <v>132</v>
          </cell>
          <cell r="R33">
            <v>38374</v>
          </cell>
          <cell r="S33">
            <v>411012.29661999986</v>
          </cell>
          <cell r="T33">
            <v>132</v>
          </cell>
          <cell r="U33">
            <v>33420.400000000001</v>
          </cell>
          <cell r="V33">
            <v>357052.33156999998</v>
          </cell>
          <cell r="W33">
            <v>133</v>
          </cell>
          <cell r="X33">
            <v>30304.5</v>
          </cell>
          <cell r="Y33">
            <v>324570.14308999991</v>
          </cell>
          <cell r="Z33">
            <v>134</v>
          </cell>
          <cell r="AA33">
            <v>39097</v>
          </cell>
          <cell r="AB33">
            <v>418074.47353999992</v>
          </cell>
          <cell r="AC33">
            <v>135</v>
          </cell>
          <cell r="AD33">
            <v>44311.1</v>
          </cell>
          <cell r="AE33">
            <v>473193.80458</v>
          </cell>
          <cell r="AF33">
            <v>136</v>
          </cell>
          <cell r="AG33">
            <v>45058</v>
          </cell>
          <cell r="AH33">
            <v>480220.94822999992</v>
          </cell>
          <cell r="AI33">
            <v>137</v>
          </cell>
          <cell r="AJ33">
            <v>41037.727999999996</v>
          </cell>
          <cell r="AK33">
            <v>436900.89936999994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479</v>
          </cell>
          <cell r="L34">
            <v>4691.1000000000004</v>
          </cell>
          <cell r="M34">
            <v>49897.236119999958</v>
          </cell>
          <cell r="N34">
            <v>481</v>
          </cell>
          <cell r="O34">
            <v>3095</v>
          </cell>
          <cell r="P34">
            <v>33116.729929999987</v>
          </cell>
          <cell r="Q34">
            <v>481</v>
          </cell>
          <cell r="R34">
            <v>2385.4</v>
          </cell>
          <cell r="S34">
            <v>25542.542700000009</v>
          </cell>
          <cell r="T34">
            <v>478</v>
          </cell>
          <cell r="U34">
            <v>2257.5</v>
          </cell>
          <cell r="V34">
            <v>24125.136770000012</v>
          </cell>
          <cell r="W34">
            <v>478</v>
          </cell>
          <cell r="X34">
            <v>2064.3000000000002</v>
          </cell>
          <cell r="Y34">
            <v>22100.030419999996</v>
          </cell>
          <cell r="Z34">
            <v>481</v>
          </cell>
          <cell r="AA34">
            <v>2693.4</v>
          </cell>
          <cell r="AB34">
            <v>28796.464299999989</v>
          </cell>
          <cell r="AC34">
            <v>480</v>
          </cell>
          <cell r="AD34">
            <v>5101.6000000000004</v>
          </cell>
          <cell r="AE34">
            <v>54481.696959999994</v>
          </cell>
          <cell r="AF34">
            <v>484</v>
          </cell>
          <cell r="AG34">
            <v>6095.2</v>
          </cell>
          <cell r="AH34">
            <v>64964.470719999983</v>
          </cell>
          <cell r="AI34">
            <v>485</v>
          </cell>
          <cell r="AJ34">
            <v>6685.2</v>
          </cell>
          <cell r="AK34">
            <v>71201.539749999996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18032</v>
          </cell>
          <cell r="L35">
            <v>7616.0349999999999</v>
          </cell>
          <cell r="M35">
            <v>81032.42</v>
          </cell>
          <cell r="N35">
            <v>18015</v>
          </cell>
          <cell r="O35">
            <v>3315.4589999999998</v>
          </cell>
          <cell r="P35">
            <v>35493.008999999998</v>
          </cell>
          <cell r="Q35">
            <v>18001</v>
          </cell>
          <cell r="R35">
            <v>1644.921</v>
          </cell>
          <cell r="S35">
            <v>17609.057000000001</v>
          </cell>
          <cell r="T35">
            <v>17972</v>
          </cell>
          <cell r="U35">
            <v>1227.7570000000001</v>
          </cell>
          <cell r="V35">
            <v>13124.787</v>
          </cell>
          <cell r="W35">
            <v>17955</v>
          </cell>
          <cell r="X35">
            <v>1220.7730000000001</v>
          </cell>
          <cell r="Y35">
            <v>13080.065000000001</v>
          </cell>
          <cell r="Z35">
            <v>17960</v>
          </cell>
          <cell r="AA35">
            <v>2265.6979999999999</v>
          </cell>
          <cell r="AB35">
            <v>24244.719999999998</v>
          </cell>
          <cell r="AC35">
            <v>17998</v>
          </cell>
          <cell r="AD35">
            <v>8042.7749999999996</v>
          </cell>
          <cell r="AE35">
            <v>85907.088999999993</v>
          </cell>
          <cell r="AF35">
            <v>18036</v>
          </cell>
          <cell r="AG35">
            <v>10669.698</v>
          </cell>
          <cell r="AH35">
            <v>113742.04500000001</v>
          </cell>
          <cell r="AI35">
            <v>18074</v>
          </cell>
          <cell r="AJ35">
            <v>15069.153999999999</v>
          </cell>
          <cell r="AK35">
            <v>160457.84900000002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367122</v>
          </cell>
          <cell r="L36">
            <v>17672.599999999999</v>
          </cell>
          <cell r="M36">
            <v>188047.9</v>
          </cell>
          <cell r="N36">
            <v>366979</v>
          </cell>
          <cell r="O36">
            <v>7701.5</v>
          </cell>
          <cell r="P36">
            <v>82439.100000000006</v>
          </cell>
          <cell r="Q36">
            <v>366799</v>
          </cell>
          <cell r="R36">
            <v>3786.7</v>
          </cell>
          <cell r="S36">
            <v>40576.300000000003</v>
          </cell>
          <cell r="T36">
            <v>366573</v>
          </cell>
          <cell r="U36">
            <v>2852.7</v>
          </cell>
          <cell r="V36">
            <v>30492.2</v>
          </cell>
          <cell r="W36">
            <v>366303</v>
          </cell>
          <cell r="X36">
            <v>2836.3</v>
          </cell>
          <cell r="Y36">
            <v>30389.8</v>
          </cell>
          <cell r="Z36">
            <v>366345</v>
          </cell>
          <cell r="AA36">
            <v>5266.1</v>
          </cell>
          <cell r="AB36">
            <v>56337.1</v>
          </cell>
          <cell r="AC36">
            <v>366535</v>
          </cell>
          <cell r="AD36">
            <v>18639.099999999999</v>
          </cell>
          <cell r="AE36">
            <v>199119.1</v>
          </cell>
          <cell r="AF36">
            <v>366760</v>
          </cell>
          <cell r="AG36">
            <v>24732.9</v>
          </cell>
          <cell r="AH36">
            <v>263692.3</v>
          </cell>
          <cell r="AI36">
            <v>366991</v>
          </cell>
          <cell r="AJ36">
            <v>35142.699999999997</v>
          </cell>
          <cell r="AK36">
            <v>374669.46299999999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110</v>
          </cell>
          <cell r="L39">
            <v>13672.2</v>
          </cell>
          <cell r="M39">
            <v>145480.71457999991</v>
          </cell>
          <cell r="N39">
            <v>110</v>
          </cell>
          <cell r="O39">
            <v>12092.6</v>
          </cell>
          <cell r="P39">
            <v>129446.63703</v>
          </cell>
          <cell r="Q39">
            <v>110</v>
          </cell>
          <cell r="R39">
            <v>11157.1</v>
          </cell>
          <cell r="S39">
            <v>119552.77320999998</v>
          </cell>
          <cell r="T39">
            <v>109</v>
          </cell>
          <cell r="U39">
            <v>11388.2</v>
          </cell>
          <cell r="V39">
            <v>121726.07304999998</v>
          </cell>
          <cell r="W39">
            <v>109</v>
          </cell>
          <cell r="X39">
            <v>10469.200000000001</v>
          </cell>
          <cell r="Y39">
            <v>112174.32515999995</v>
          </cell>
          <cell r="Z39">
            <v>109</v>
          </cell>
          <cell r="AA39">
            <v>11445.6</v>
          </cell>
          <cell r="AB39">
            <v>122445.10243000003</v>
          </cell>
          <cell r="AC39">
            <v>109</v>
          </cell>
          <cell r="AD39">
            <v>16631.2</v>
          </cell>
          <cell r="AE39">
            <v>177669.32398000004</v>
          </cell>
          <cell r="AF39">
            <v>109</v>
          </cell>
          <cell r="AG39">
            <v>17550.400000000001</v>
          </cell>
          <cell r="AH39">
            <v>187115.8159000001</v>
          </cell>
          <cell r="AI39">
            <v>109</v>
          </cell>
          <cell r="AJ39">
            <v>17089.599999999999</v>
          </cell>
          <cell r="AK39">
            <v>182080.30000000005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374</v>
          </cell>
          <cell r="L40">
            <v>3415.2</v>
          </cell>
          <cell r="M40">
            <v>36340.300940000016</v>
          </cell>
          <cell r="N40">
            <v>373</v>
          </cell>
          <cell r="O40">
            <v>2051.4</v>
          </cell>
          <cell r="P40">
            <v>21959.372329999984</v>
          </cell>
          <cell r="Q40">
            <v>374</v>
          </cell>
          <cell r="R40">
            <v>1627.7</v>
          </cell>
          <cell r="S40">
            <v>17441.859720000011</v>
          </cell>
          <cell r="T40">
            <v>377</v>
          </cell>
          <cell r="U40">
            <v>1461</v>
          </cell>
          <cell r="V40">
            <v>15616.731679999997</v>
          </cell>
          <cell r="W40">
            <v>379</v>
          </cell>
          <cell r="X40">
            <v>1527.6</v>
          </cell>
          <cell r="Y40">
            <v>16368.207069999997</v>
          </cell>
          <cell r="Z40">
            <v>379</v>
          </cell>
          <cell r="AA40">
            <v>1941.8</v>
          </cell>
          <cell r="AB40">
            <v>20773.054120000004</v>
          </cell>
          <cell r="AC40">
            <v>380</v>
          </cell>
          <cell r="AD40">
            <v>4057.2</v>
          </cell>
          <cell r="AE40">
            <v>43342.344079999973</v>
          </cell>
          <cell r="AF40">
            <v>381</v>
          </cell>
          <cell r="AG40">
            <v>4876.8999999999996</v>
          </cell>
          <cell r="AH40">
            <v>51995.859769999937</v>
          </cell>
          <cell r="AI40">
            <v>379</v>
          </cell>
          <cell r="AJ40">
            <v>5546.2</v>
          </cell>
          <cell r="AK40">
            <v>59091.548010000057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12790</v>
          </cell>
          <cell r="L41">
            <v>5401.2</v>
          </cell>
          <cell r="M41">
            <v>57471.9</v>
          </cell>
          <cell r="N41">
            <v>12778</v>
          </cell>
          <cell r="O41">
            <v>2353.1</v>
          </cell>
          <cell r="P41">
            <v>25189.5</v>
          </cell>
          <cell r="Q41">
            <v>12768</v>
          </cell>
          <cell r="R41">
            <v>1157.3</v>
          </cell>
          <cell r="S41">
            <v>12401.1</v>
          </cell>
          <cell r="T41">
            <v>12750</v>
          </cell>
          <cell r="U41">
            <v>871.9</v>
          </cell>
          <cell r="V41">
            <v>9319.1</v>
          </cell>
          <cell r="W41">
            <v>12737</v>
          </cell>
          <cell r="X41">
            <v>866.8</v>
          </cell>
          <cell r="Y41">
            <v>9287.7999999999993</v>
          </cell>
          <cell r="Z41">
            <v>12740</v>
          </cell>
          <cell r="AA41">
            <v>1609.5</v>
          </cell>
          <cell r="AB41">
            <v>17218</v>
          </cell>
          <cell r="AC41">
            <v>12768</v>
          </cell>
          <cell r="AD41">
            <v>5696.5</v>
          </cell>
          <cell r="AE41">
            <v>60855.5</v>
          </cell>
          <cell r="AF41">
            <v>12793</v>
          </cell>
          <cell r="AG41">
            <v>7558.9</v>
          </cell>
          <cell r="AH41">
            <v>80590.5</v>
          </cell>
          <cell r="AI41">
            <v>12822</v>
          </cell>
          <cell r="AJ41">
            <v>10686</v>
          </cell>
          <cell r="AK41">
            <v>113853.9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174567</v>
          </cell>
          <cell r="L42">
            <v>11421.5</v>
          </cell>
          <cell r="M42">
            <v>121532</v>
          </cell>
          <cell r="N42">
            <v>174498</v>
          </cell>
          <cell r="O42">
            <v>4976.1000000000004</v>
          </cell>
          <cell r="P42">
            <v>53266.7</v>
          </cell>
          <cell r="Q42">
            <v>174413</v>
          </cell>
          <cell r="R42">
            <v>2447.3000000000002</v>
          </cell>
          <cell r="S42">
            <v>26223.7</v>
          </cell>
          <cell r="T42">
            <v>174306</v>
          </cell>
          <cell r="U42">
            <v>1843.7</v>
          </cell>
          <cell r="V42">
            <v>19706.599999999999</v>
          </cell>
          <cell r="W42">
            <v>174177</v>
          </cell>
          <cell r="X42">
            <v>1833</v>
          </cell>
          <cell r="Y42">
            <v>19640.400000000001</v>
          </cell>
          <cell r="Z42">
            <v>174197</v>
          </cell>
          <cell r="AA42">
            <v>3403.4</v>
          </cell>
          <cell r="AB42">
            <v>36409.699999999997</v>
          </cell>
          <cell r="AC42">
            <v>174286</v>
          </cell>
          <cell r="AD42">
            <v>12046.1</v>
          </cell>
          <cell r="AE42">
            <v>128687.2</v>
          </cell>
          <cell r="AF42">
            <v>174393</v>
          </cell>
          <cell r="AG42">
            <v>15984.4</v>
          </cell>
          <cell r="AH42">
            <v>170419.7</v>
          </cell>
          <cell r="AI42">
            <v>174503</v>
          </cell>
          <cell r="AJ42">
            <v>22597.1</v>
          </cell>
          <cell r="AK42">
            <v>240759.6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75</v>
          </cell>
          <cell r="L45">
            <v>13356</v>
          </cell>
          <cell r="M45">
            <v>142116.78551999995</v>
          </cell>
          <cell r="N45">
            <v>75</v>
          </cell>
          <cell r="O45">
            <v>11607.6</v>
          </cell>
          <cell r="P45">
            <v>124254.42223000004</v>
          </cell>
          <cell r="Q45">
            <v>75</v>
          </cell>
          <cell r="R45">
            <v>10218.6</v>
          </cell>
          <cell r="S45">
            <v>109496.04415000003</v>
          </cell>
          <cell r="T45">
            <v>75</v>
          </cell>
          <cell r="U45">
            <v>10473.200000000001</v>
          </cell>
          <cell r="V45">
            <v>111945.73035999999</v>
          </cell>
          <cell r="W45">
            <v>75</v>
          </cell>
          <cell r="X45">
            <v>9807.1</v>
          </cell>
          <cell r="Y45">
            <v>105080.25125000003</v>
          </cell>
          <cell r="Z45">
            <v>76</v>
          </cell>
          <cell r="AA45">
            <v>11108.2</v>
          </cell>
          <cell r="AB45">
            <v>118834.99263000004</v>
          </cell>
          <cell r="AC45">
            <v>76</v>
          </cell>
          <cell r="AD45">
            <v>13876.2</v>
          </cell>
          <cell r="AE45">
            <v>148237.65017000001</v>
          </cell>
          <cell r="AF45">
            <v>76</v>
          </cell>
          <cell r="AG45">
            <v>14358.6</v>
          </cell>
          <cell r="AH45">
            <v>153086.00834999999</v>
          </cell>
          <cell r="AI45">
            <v>78</v>
          </cell>
          <cell r="AJ45">
            <v>13560.8</v>
          </cell>
          <cell r="AK45">
            <v>144482.98020000008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287</v>
          </cell>
          <cell r="L46">
            <v>2844.4</v>
          </cell>
          <cell r="M46">
            <v>30266.6394</v>
          </cell>
          <cell r="N46">
            <v>284</v>
          </cell>
          <cell r="O46">
            <v>1743.8</v>
          </cell>
          <cell r="P46">
            <v>18666.229930000009</v>
          </cell>
          <cell r="Q46">
            <v>284</v>
          </cell>
          <cell r="R46">
            <v>1457.3</v>
          </cell>
          <cell r="S46">
            <v>15615.346559999998</v>
          </cell>
          <cell r="T46">
            <v>286</v>
          </cell>
          <cell r="U46">
            <v>1277.2</v>
          </cell>
          <cell r="V46">
            <v>13651.750459999997</v>
          </cell>
          <cell r="W46">
            <v>288</v>
          </cell>
          <cell r="X46">
            <v>1227.0999999999999</v>
          </cell>
          <cell r="Y46">
            <v>13147.554080000009</v>
          </cell>
          <cell r="Z46">
            <v>288</v>
          </cell>
          <cell r="AA46">
            <v>1605</v>
          </cell>
          <cell r="AB46">
            <v>17170.118899999983</v>
          </cell>
          <cell r="AC46">
            <v>290</v>
          </cell>
          <cell r="AD46">
            <v>3299.5</v>
          </cell>
          <cell r="AE46">
            <v>35248.438000000002</v>
          </cell>
          <cell r="AF46">
            <v>288</v>
          </cell>
          <cell r="AG46">
            <v>3796.5</v>
          </cell>
          <cell r="AH46">
            <v>40476.947359999998</v>
          </cell>
          <cell r="AI46">
            <v>289</v>
          </cell>
          <cell r="AJ46">
            <v>3844.4</v>
          </cell>
          <cell r="AK46">
            <v>40959.932549999998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10833</v>
          </cell>
          <cell r="L47">
            <v>4512.2</v>
          </cell>
          <cell r="M47">
            <v>48013.1</v>
          </cell>
          <cell r="N47">
            <v>10823</v>
          </cell>
          <cell r="O47">
            <v>1965.9</v>
          </cell>
          <cell r="P47">
            <v>21043.8</v>
          </cell>
          <cell r="Q47">
            <v>10814</v>
          </cell>
          <cell r="R47">
            <v>966.8</v>
          </cell>
          <cell r="S47">
            <v>10360.1</v>
          </cell>
          <cell r="T47">
            <v>10799</v>
          </cell>
          <cell r="U47">
            <v>728.4</v>
          </cell>
          <cell r="V47">
            <v>7785.4</v>
          </cell>
          <cell r="W47">
            <v>10788</v>
          </cell>
          <cell r="X47">
            <v>724.2</v>
          </cell>
          <cell r="Y47">
            <v>7759.2</v>
          </cell>
          <cell r="Z47">
            <v>10790</v>
          </cell>
          <cell r="AA47">
            <v>1344.6</v>
          </cell>
          <cell r="AB47">
            <v>14384.2</v>
          </cell>
          <cell r="AC47">
            <v>10814</v>
          </cell>
          <cell r="AD47">
            <v>4759</v>
          </cell>
          <cell r="AE47">
            <v>50839.8</v>
          </cell>
          <cell r="AF47">
            <v>10835</v>
          </cell>
          <cell r="AG47">
            <v>6314.9</v>
          </cell>
          <cell r="AH47">
            <v>67326.899999999994</v>
          </cell>
          <cell r="AI47">
            <v>10860</v>
          </cell>
          <cell r="AJ47">
            <v>8927.2999999999993</v>
          </cell>
          <cell r="AK47">
            <v>95115.7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125261</v>
          </cell>
          <cell r="L48">
            <v>9138.5</v>
          </cell>
          <cell r="M48">
            <v>97239.4</v>
          </cell>
          <cell r="N48">
            <v>125212</v>
          </cell>
          <cell r="O48">
            <v>3981.4</v>
          </cell>
          <cell r="P48">
            <v>42619.4</v>
          </cell>
          <cell r="Q48">
            <v>125151</v>
          </cell>
          <cell r="R48">
            <v>1958.1</v>
          </cell>
          <cell r="S48">
            <v>20982</v>
          </cell>
          <cell r="T48">
            <v>125074</v>
          </cell>
          <cell r="U48">
            <v>1475.1</v>
          </cell>
          <cell r="V48">
            <v>15767.5</v>
          </cell>
          <cell r="W48">
            <v>124981</v>
          </cell>
          <cell r="X48">
            <v>1466.6</v>
          </cell>
          <cell r="Y48">
            <v>15714.5</v>
          </cell>
          <cell r="Z48">
            <v>124996</v>
          </cell>
          <cell r="AA48">
            <v>2723.1</v>
          </cell>
          <cell r="AB48">
            <v>29131.9</v>
          </cell>
          <cell r="AC48">
            <v>125060</v>
          </cell>
          <cell r="AD48">
            <v>9638.2999999999993</v>
          </cell>
          <cell r="AE48">
            <v>102964.3</v>
          </cell>
          <cell r="AF48">
            <v>125136</v>
          </cell>
          <cell r="AG48">
            <v>12789.4</v>
          </cell>
          <cell r="AH48">
            <v>136355.1</v>
          </cell>
          <cell r="AI48">
            <v>125215</v>
          </cell>
          <cell r="AJ48">
            <v>18080.2</v>
          </cell>
          <cell r="AK48">
            <v>192634.9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82</v>
          </cell>
          <cell r="L51">
            <v>12480.5</v>
          </cell>
          <cell r="M51">
            <v>132800.57638000001</v>
          </cell>
          <cell r="N51">
            <v>82</v>
          </cell>
          <cell r="O51">
            <v>10671.3</v>
          </cell>
          <cell r="P51">
            <v>114231.99523000003</v>
          </cell>
          <cell r="Q51">
            <v>81</v>
          </cell>
          <cell r="R51">
            <v>10294.5</v>
          </cell>
          <cell r="S51">
            <v>110309.47094</v>
          </cell>
          <cell r="T51">
            <v>81</v>
          </cell>
          <cell r="U51">
            <v>10016.700000000001</v>
          </cell>
          <cell r="V51">
            <v>107066.41369000004</v>
          </cell>
          <cell r="W51">
            <v>82</v>
          </cell>
          <cell r="X51">
            <v>9901.1</v>
          </cell>
          <cell r="Y51">
            <v>106087.79679000005</v>
          </cell>
          <cell r="Z51">
            <v>82</v>
          </cell>
          <cell r="AA51">
            <v>11624.5</v>
          </cell>
          <cell r="AB51">
            <v>124358.18142999998</v>
          </cell>
          <cell r="AC51">
            <v>83</v>
          </cell>
          <cell r="AD51">
            <v>13675.7</v>
          </cell>
          <cell r="AE51">
            <v>146096.33692000006</v>
          </cell>
          <cell r="AF51">
            <v>84</v>
          </cell>
          <cell r="AG51">
            <v>14242.8</v>
          </cell>
          <cell r="AH51">
            <v>151851.19406000001</v>
          </cell>
          <cell r="AI51">
            <v>84</v>
          </cell>
          <cell r="AJ51">
            <v>13134.2</v>
          </cell>
          <cell r="AK51">
            <v>139937.42149000001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340</v>
          </cell>
          <cell r="L52">
            <v>3421</v>
          </cell>
          <cell r="M52">
            <v>36401.368319999965</v>
          </cell>
          <cell r="N52">
            <v>341</v>
          </cell>
          <cell r="O52">
            <v>1983.1</v>
          </cell>
          <cell r="P52">
            <v>21228.635570000017</v>
          </cell>
          <cell r="Q52">
            <v>343</v>
          </cell>
          <cell r="R52">
            <v>1600.6</v>
          </cell>
          <cell r="S52">
            <v>17151.115439999994</v>
          </cell>
          <cell r="T52">
            <v>344</v>
          </cell>
          <cell r="U52">
            <v>1405.9</v>
          </cell>
          <cell r="V52">
            <v>15027.770009999987</v>
          </cell>
          <cell r="W52">
            <v>344</v>
          </cell>
          <cell r="X52">
            <v>1296.7</v>
          </cell>
          <cell r="Y52">
            <v>13894.027070000007</v>
          </cell>
          <cell r="Z52">
            <v>344</v>
          </cell>
          <cell r="AA52">
            <v>1901.7</v>
          </cell>
          <cell r="AB52">
            <v>20344.475090000004</v>
          </cell>
          <cell r="AC52">
            <v>345</v>
          </cell>
          <cell r="AD52">
            <v>3637.6</v>
          </cell>
          <cell r="AE52">
            <v>38860.051570000047</v>
          </cell>
          <cell r="AF52">
            <v>346</v>
          </cell>
          <cell r="AG52">
            <v>4203.7</v>
          </cell>
          <cell r="AH52">
            <v>44818.080889999976</v>
          </cell>
          <cell r="AI52">
            <v>345</v>
          </cell>
          <cell r="AJ52">
            <v>4528.2</v>
          </cell>
          <cell r="AK52">
            <v>48245.398030000004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11384</v>
          </cell>
          <cell r="L53">
            <v>4981.3999999999996</v>
          </cell>
          <cell r="M53">
            <v>53005</v>
          </cell>
          <cell r="N53">
            <v>11373</v>
          </cell>
          <cell r="O53">
            <v>2170.3000000000002</v>
          </cell>
          <cell r="P53">
            <v>23231.7</v>
          </cell>
          <cell r="Q53">
            <v>11364</v>
          </cell>
          <cell r="R53">
            <v>1067.4000000000001</v>
          </cell>
          <cell r="S53">
            <v>11437.2</v>
          </cell>
          <cell r="T53">
            <v>11348</v>
          </cell>
          <cell r="U53">
            <v>804.1</v>
          </cell>
          <cell r="V53">
            <v>8594.7999999999993</v>
          </cell>
          <cell r="W53">
            <v>11336</v>
          </cell>
          <cell r="X53">
            <v>799.5</v>
          </cell>
          <cell r="Y53">
            <v>8566</v>
          </cell>
          <cell r="Z53">
            <v>11339</v>
          </cell>
          <cell r="AA53">
            <v>1484.4</v>
          </cell>
          <cell r="AB53">
            <v>15879.7</v>
          </cell>
          <cell r="AC53">
            <v>11364</v>
          </cell>
          <cell r="AD53">
            <v>5253.8</v>
          </cell>
          <cell r="AE53">
            <v>56125.7</v>
          </cell>
          <cell r="AF53">
            <v>11386</v>
          </cell>
          <cell r="AG53">
            <v>6971.5</v>
          </cell>
          <cell r="AH53">
            <v>74326.899999999994</v>
          </cell>
          <cell r="AI53">
            <v>11412</v>
          </cell>
          <cell r="AJ53">
            <v>9855.5</v>
          </cell>
          <cell r="AK53">
            <v>105005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147549</v>
          </cell>
          <cell r="L54">
            <v>8514.7999999999993</v>
          </cell>
          <cell r="M54">
            <v>90602.7</v>
          </cell>
          <cell r="N54">
            <v>147491</v>
          </cell>
          <cell r="O54">
            <v>3709.7</v>
          </cell>
          <cell r="P54">
            <v>39710.5</v>
          </cell>
          <cell r="Q54">
            <v>147419</v>
          </cell>
          <cell r="R54">
            <v>1824.5</v>
          </cell>
          <cell r="S54">
            <v>19549.900000000001</v>
          </cell>
          <cell r="T54">
            <v>147328</v>
          </cell>
          <cell r="U54">
            <v>1374.5</v>
          </cell>
          <cell r="V54">
            <v>14691.3</v>
          </cell>
          <cell r="W54">
            <v>147220</v>
          </cell>
          <cell r="X54">
            <v>1366.5</v>
          </cell>
          <cell r="Y54">
            <v>14642</v>
          </cell>
          <cell r="Z54">
            <v>147236</v>
          </cell>
          <cell r="AA54">
            <v>2537.3000000000002</v>
          </cell>
          <cell r="AB54">
            <v>27143.599999999999</v>
          </cell>
          <cell r="AC54">
            <v>147312</v>
          </cell>
          <cell r="AD54">
            <v>8980.4</v>
          </cell>
          <cell r="AE54">
            <v>95936.9</v>
          </cell>
          <cell r="AF54">
            <v>147402</v>
          </cell>
          <cell r="AG54">
            <v>11916.5</v>
          </cell>
          <cell r="AH54">
            <v>127048.6</v>
          </cell>
          <cell r="AI54">
            <v>147495</v>
          </cell>
          <cell r="AJ54">
            <v>16846.2</v>
          </cell>
          <cell r="AK54">
            <v>179487.3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182</v>
          </cell>
          <cell r="L57">
            <v>18931.912845140083</v>
          </cell>
          <cell r="M57">
            <v>201238.992</v>
          </cell>
          <cell r="N57">
            <v>184</v>
          </cell>
          <cell r="O57">
            <v>11823.866661913391</v>
          </cell>
          <cell r="P57">
            <v>126464.77899999999</v>
          </cell>
          <cell r="Q57">
            <v>184</v>
          </cell>
          <cell r="R57">
            <v>8518.9257183214686</v>
          </cell>
          <cell r="S57">
            <v>90879.952000000005</v>
          </cell>
          <cell r="T57">
            <v>184</v>
          </cell>
          <cell r="U57">
            <v>8321.0154692804535</v>
          </cell>
          <cell r="V57">
            <v>88138.611999999994</v>
          </cell>
          <cell r="W57">
            <v>185</v>
          </cell>
          <cell r="X57">
            <v>7707.2446334299757</v>
          </cell>
          <cell r="Y57">
            <v>82492.856</v>
          </cell>
          <cell r="Z57">
            <v>185</v>
          </cell>
          <cell r="AA57">
            <v>10011.381801364159</v>
          </cell>
          <cell r="AB57">
            <v>107040.15700000001</v>
          </cell>
          <cell r="AC57">
            <v>185</v>
          </cell>
          <cell r="AD57">
            <v>19785.400000000001</v>
          </cell>
          <cell r="AE57">
            <v>211171.139</v>
          </cell>
          <cell r="AF57">
            <v>185</v>
          </cell>
          <cell r="AG57">
            <v>22530.630703374507</v>
          </cell>
          <cell r="AH57">
            <v>239504.93799999999</v>
          </cell>
          <cell r="AI57">
            <v>185</v>
          </cell>
          <cell r="AJ57">
            <v>25427.301524831939</v>
          </cell>
          <cell r="AK57">
            <v>270198.62900000002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1617</v>
          </cell>
          <cell r="L58">
            <v>13603.197377537306</v>
          </cell>
          <cell r="M58">
            <v>144596.61199999999</v>
          </cell>
          <cell r="N58">
            <v>1617</v>
          </cell>
          <cell r="O58">
            <v>6784.6096031706493</v>
          </cell>
          <cell r="P58">
            <v>72566.178</v>
          </cell>
          <cell r="Q58">
            <v>1618</v>
          </cell>
          <cell r="R58">
            <v>4273.9841119322391</v>
          </cell>
          <cell r="S58">
            <v>45594.786999999997</v>
          </cell>
          <cell r="T58">
            <v>1617</v>
          </cell>
          <cell r="U58">
            <v>3498.1315612597155</v>
          </cell>
          <cell r="V58">
            <v>37053.036</v>
          </cell>
          <cell r="W58">
            <v>1618</v>
          </cell>
          <cell r="X58">
            <v>3291.0322590852484</v>
          </cell>
          <cell r="Y58">
            <v>35224.853000000003</v>
          </cell>
          <cell r="Z58">
            <v>1621</v>
          </cell>
          <cell r="AA58">
            <v>5270.5184245247365</v>
          </cell>
          <cell r="AB58">
            <v>56351.546999999999</v>
          </cell>
          <cell r="AC58">
            <v>1627</v>
          </cell>
          <cell r="AD58">
            <v>14265.4</v>
          </cell>
          <cell r="AE58">
            <v>152248.27900000001</v>
          </cell>
          <cell r="AF58">
            <v>1630</v>
          </cell>
          <cell r="AG58">
            <v>16989.236264702493</v>
          </cell>
          <cell r="AH58">
            <v>180598.75700000001</v>
          </cell>
          <cell r="AI58">
            <v>1636</v>
          </cell>
          <cell r="AJ58">
            <v>20384.915756356157</v>
          </cell>
          <cell r="AK58">
            <v>216616.66099999999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38786</v>
          </cell>
          <cell r="L59">
            <v>14488.897854727258</v>
          </cell>
          <cell r="M59">
            <v>154011.2580346101</v>
          </cell>
          <cell r="N59">
            <v>38793</v>
          </cell>
          <cell r="O59">
            <v>6227.7772070432993</v>
          </cell>
          <cell r="P59">
            <v>66610.463355098356</v>
          </cell>
          <cell r="Q59">
            <v>38752</v>
          </cell>
          <cell r="R59">
            <v>3225.925359020102</v>
          </cell>
          <cell r="S59">
            <v>34414.114739402648</v>
          </cell>
          <cell r="T59">
            <v>38690</v>
          </cell>
          <cell r="U59">
            <v>2234.3771998096381</v>
          </cell>
          <cell r="V59">
            <v>23667.051216424792</v>
          </cell>
          <cell r="W59">
            <v>38637</v>
          </cell>
          <cell r="X59">
            <v>2141.2613426995154</v>
          </cell>
          <cell r="Y59">
            <v>22918.528319785542</v>
          </cell>
          <cell r="Z59">
            <v>38581</v>
          </cell>
          <cell r="AA59">
            <v>4799.1070721224905</v>
          </cell>
          <cell r="AB59">
            <v>51311.291594076793</v>
          </cell>
          <cell r="AC59">
            <v>38532</v>
          </cell>
          <cell r="AD59">
            <v>16020.6</v>
          </cell>
          <cell r="AE59">
            <v>170994.1985428952</v>
          </cell>
          <cell r="AF59">
            <v>38628</v>
          </cell>
          <cell r="AG59">
            <v>20483.15284405588</v>
          </cell>
          <cell r="AH59">
            <v>217739.74329635865</v>
          </cell>
          <cell r="AI59">
            <v>38655</v>
          </cell>
          <cell r="AJ59">
            <v>24903.863513193508</v>
          </cell>
          <cell r="AK59">
            <v>264636.45102607971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389436</v>
          </cell>
          <cell r="L60">
            <v>22029.18872312551</v>
          </cell>
          <cell r="M60">
            <v>234161.56996534171</v>
          </cell>
          <cell r="N60">
            <v>389280</v>
          </cell>
          <cell r="O60">
            <v>10343.250756959564</v>
          </cell>
          <cell r="P60">
            <v>110628.35143490035</v>
          </cell>
          <cell r="Q60">
            <v>388890</v>
          </cell>
          <cell r="R60">
            <v>6288.792684776462</v>
          </cell>
          <cell r="S60">
            <v>67088.729260603039</v>
          </cell>
          <cell r="T60">
            <v>388595</v>
          </cell>
          <cell r="U60">
            <v>4510.9233172954291</v>
          </cell>
          <cell r="V60">
            <v>47780.765572120668</v>
          </cell>
          <cell r="W60">
            <v>388292</v>
          </cell>
          <cell r="X60">
            <v>4314.2137625396481</v>
          </cell>
          <cell r="Y60">
            <v>46176.255239222686</v>
          </cell>
          <cell r="Z60">
            <v>388109</v>
          </cell>
          <cell r="AA60">
            <v>7506.9758830532292</v>
          </cell>
          <cell r="AB60">
            <v>80263.395405905772</v>
          </cell>
          <cell r="AC60">
            <v>388146</v>
          </cell>
          <cell r="AD60">
            <v>24615.3</v>
          </cell>
          <cell r="AE60">
            <v>262729.12945706648</v>
          </cell>
          <cell r="AF60">
            <v>388308</v>
          </cell>
          <cell r="AG60">
            <v>30214.615967854632</v>
          </cell>
          <cell r="AH60">
            <v>321187.01523764199</v>
          </cell>
          <cell r="AI60">
            <v>388506</v>
          </cell>
          <cell r="AJ60">
            <v>35608.412737498402</v>
          </cell>
          <cell r="AK60">
            <v>378386.42861703708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180</v>
          </cell>
          <cell r="L63">
            <v>43389.014000000003</v>
          </cell>
          <cell r="M63">
            <v>461673.10963999998</v>
          </cell>
          <cell r="N63">
            <v>180</v>
          </cell>
          <cell r="O63">
            <v>38415.686999999998</v>
          </cell>
          <cell r="P63">
            <v>411203.34742000006</v>
          </cell>
          <cell r="Q63">
            <v>180</v>
          </cell>
          <cell r="R63">
            <v>37766.623999999996</v>
          </cell>
          <cell r="S63">
            <v>404676.19501000008</v>
          </cell>
          <cell r="T63">
            <v>180</v>
          </cell>
          <cell r="U63">
            <v>35781.266000000003</v>
          </cell>
          <cell r="V63">
            <v>382422.67337999993</v>
          </cell>
          <cell r="W63">
            <v>180</v>
          </cell>
          <cell r="X63">
            <v>35746.233</v>
          </cell>
          <cell r="Y63">
            <v>382981.44475999998</v>
          </cell>
          <cell r="Z63">
            <v>180</v>
          </cell>
          <cell r="AA63">
            <v>32019.523999999998</v>
          </cell>
          <cell r="AB63">
            <v>342526.30622999987</v>
          </cell>
          <cell r="AC63">
            <v>180</v>
          </cell>
          <cell r="AD63">
            <v>47412.775999999998</v>
          </cell>
          <cell r="AE63">
            <v>506484.01860000013</v>
          </cell>
          <cell r="AF63">
            <v>180</v>
          </cell>
          <cell r="AG63">
            <v>48772.885000000002</v>
          </cell>
          <cell r="AH63">
            <v>519966.05438999989</v>
          </cell>
          <cell r="AI63">
            <v>180</v>
          </cell>
          <cell r="AJ63">
            <v>48857.122000000003</v>
          </cell>
          <cell r="AK63">
            <v>520536.54307999992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639</v>
          </cell>
          <cell r="L64">
            <v>6670</v>
          </cell>
          <cell r="M64">
            <v>70973.031440000035</v>
          </cell>
          <cell r="N64">
            <v>640</v>
          </cell>
          <cell r="O64">
            <v>4089.8</v>
          </cell>
          <cell r="P64">
            <v>43779.231443000026</v>
          </cell>
          <cell r="Q64">
            <v>645</v>
          </cell>
          <cell r="R64">
            <v>3431.3</v>
          </cell>
          <cell r="S64">
            <v>36767.560639999974</v>
          </cell>
          <cell r="T64">
            <v>647</v>
          </cell>
          <cell r="U64">
            <v>2513</v>
          </cell>
          <cell r="V64">
            <v>26860.611913999994</v>
          </cell>
          <cell r="W64">
            <v>648</v>
          </cell>
          <cell r="X64">
            <v>2683.2</v>
          </cell>
          <cell r="Y64">
            <v>28749.621359999983</v>
          </cell>
          <cell r="Z64">
            <v>648</v>
          </cell>
          <cell r="AA64">
            <v>3851</v>
          </cell>
          <cell r="AB64">
            <v>41197.529460000042</v>
          </cell>
          <cell r="AC64">
            <v>649</v>
          </cell>
          <cell r="AD64">
            <v>7501.9</v>
          </cell>
          <cell r="AE64">
            <v>80142.400090000039</v>
          </cell>
          <cell r="AF64">
            <v>650</v>
          </cell>
          <cell r="AG64">
            <v>8319.7000000000007</v>
          </cell>
          <cell r="AH64">
            <v>88700.87959000007</v>
          </cell>
          <cell r="AI64">
            <v>648</v>
          </cell>
          <cell r="AJ64">
            <v>9151.2999999999993</v>
          </cell>
          <cell r="AK64">
            <v>97502.043309999906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17974</v>
          </cell>
          <cell r="L65">
            <v>8130.5</v>
          </cell>
          <cell r="M65">
            <v>86513.7</v>
          </cell>
          <cell r="N65">
            <v>17957</v>
          </cell>
          <cell r="O65">
            <v>3542.2</v>
          </cell>
          <cell r="P65">
            <v>37918.400000000001</v>
          </cell>
          <cell r="Q65">
            <v>17943</v>
          </cell>
          <cell r="R65">
            <v>1742.1</v>
          </cell>
          <cell r="S65">
            <v>18667.599999999999</v>
          </cell>
          <cell r="T65">
            <v>17918</v>
          </cell>
          <cell r="U65">
            <v>1312.4</v>
          </cell>
          <cell r="V65">
            <v>14028.3</v>
          </cell>
          <cell r="W65">
            <v>17899</v>
          </cell>
          <cell r="X65">
            <v>1304.9000000000001</v>
          </cell>
          <cell r="Y65">
            <v>13981.2</v>
          </cell>
          <cell r="Z65">
            <v>17903</v>
          </cell>
          <cell r="AA65">
            <v>2422.8000000000002</v>
          </cell>
          <cell r="AB65">
            <v>25918.6</v>
          </cell>
          <cell r="AC65">
            <v>17943</v>
          </cell>
          <cell r="AD65">
            <v>8575.1</v>
          </cell>
          <cell r="AE65">
            <v>91607.1</v>
          </cell>
          <cell r="AF65">
            <v>17978</v>
          </cell>
          <cell r="AG65">
            <v>11378.7</v>
          </cell>
          <cell r="AH65">
            <v>121314.8</v>
          </cell>
          <cell r="AI65">
            <v>18019</v>
          </cell>
          <cell r="AJ65">
            <v>16085.9</v>
          </cell>
          <cell r="AK65">
            <v>171386.9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234668</v>
          </cell>
          <cell r="L66">
            <v>20168.3</v>
          </cell>
          <cell r="M66">
            <v>214603.7</v>
          </cell>
          <cell r="N66">
            <v>234577</v>
          </cell>
          <cell r="O66">
            <v>8786.7999999999993</v>
          </cell>
          <cell r="P66">
            <v>94059.4</v>
          </cell>
          <cell r="Q66">
            <v>234462</v>
          </cell>
          <cell r="R66">
            <v>4321.5</v>
          </cell>
          <cell r="S66">
            <v>46306.400000000001</v>
          </cell>
          <cell r="T66">
            <v>234317</v>
          </cell>
          <cell r="U66">
            <v>3255.6</v>
          </cell>
          <cell r="V66">
            <v>34798.300000000003</v>
          </cell>
          <cell r="W66">
            <v>234145</v>
          </cell>
          <cell r="X66">
            <v>3236.8</v>
          </cell>
          <cell r="Y66">
            <v>34681.4</v>
          </cell>
          <cell r="Z66">
            <v>234171</v>
          </cell>
          <cell r="AA66">
            <v>6009.8</v>
          </cell>
          <cell r="AB66">
            <v>64293</v>
          </cell>
          <cell r="AC66">
            <v>234292</v>
          </cell>
          <cell r="AD66">
            <v>21271.3</v>
          </cell>
          <cell r="AE66">
            <v>227238.39999999999</v>
          </cell>
          <cell r="AF66">
            <v>234435</v>
          </cell>
          <cell r="AG66">
            <v>28225.599999999999</v>
          </cell>
          <cell r="AH66">
            <v>300930.5</v>
          </cell>
          <cell r="AI66">
            <v>234583</v>
          </cell>
          <cell r="AJ66">
            <v>39902.300000000003</v>
          </cell>
          <cell r="AK66">
            <v>425138.1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132</v>
          </cell>
          <cell r="L69">
            <v>48210.307000000001</v>
          </cell>
          <cell r="M69">
            <v>512988.38781999989</v>
          </cell>
          <cell r="N69">
            <v>132</v>
          </cell>
          <cell r="O69">
            <v>43060.9</v>
          </cell>
          <cell r="P69">
            <v>460950.15754999995</v>
          </cell>
          <cell r="Q69">
            <v>132</v>
          </cell>
          <cell r="R69">
            <v>38550.394</v>
          </cell>
          <cell r="S69">
            <v>413081.24091999978</v>
          </cell>
          <cell r="T69">
            <v>131</v>
          </cell>
          <cell r="U69">
            <v>49613.350000000006</v>
          </cell>
          <cell r="V69">
            <v>530250.79356000002</v>
          </cell>
          <cell r="W69">
            <v>131</v>
          </cell>
          <cell r="X69">
            <v>40676.855000000003</v>
          </cell>
          <cell r="Y69">
            <v>435832.13344999996</v>
          </cell>
          <cell r="Z69">
            <v>131</v>
          </cell>
          <cell r="AA69">
            <v>44073.555999999997</v>
          </cell>
          <cell r="AB69">
            <v>471405.0689999999</v>
          </cell>
          <cell r="AC69">
            <v>131</v>
          </cell>
          <cell r="AD69">
            <v>70295.625</v>
          </cell>
          <cell r="AE69">
            <v>750370.8874799998</v>
          </cell>
          <cell r="AF69">
            <v>129</v>
          </cell>
          <cell r="AG69">
            <v>70165.245999999999</v>
          </cell>
          <cell r="AH69">
            <v>746988.37396999996</v>
          </cell>
          <cell r="AI69">
            <v>129</v>
          </cell>
          <cell r="AJ69">
            <v>51992.356999999996</v>
          </cell>
          <cell r="AK69">
            <v>553737.01014999975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338</v>
          </cell>
          <cell r="L70">
            <v>3436.9</v>
          </cell>
          <cell r="M70">
            <v>36570.923750999973</v>
          </cell>
          <cell r="N70">
            <v>341</v>
          </cell>
          <cell r="O70">
            <v>1952.2</v>
          </cell>
          <cell r="P70">
            <v>20897.787185000019</v>
          </cell>
          <cell r="Q70">
            <v>342</v>
          </cell>
          <cell r="R70">
            <v>1696.4</v>
          </cell>
          <cell r="S70">
            <v>18177.247430000003</v>
          </cell>
          <cell r="T70">
            <v>342</v>
          </cell>
          <cell r="U70">
            <v>1641.4</v>
          </cell>
          <cell r="V70">
            <v>17544.220980000009</v>
          </cell>
          <cell r="W70">
            <v>343</v>
          </cell>
          <cell r="X70">
            <v>1645</v>
          </cell>
          <cell r="Y70">
            <v>17625.584329999991</v>
          </cell>
          <cell r="Z70">
            <v>343</v>
          </cell>
          <cell r="AA70">
            <v>2153.6999999999998</v>
          </cell>
          <cell r="AB70">
            <v>23040.588740000014</v>
          </cell>
          <cell r="AC70">
            <v>343</v>
          </cell>
          <cell r="AD70">
            <v>3619.6</v>
          </cell>
          <cell r="AE70">
            <v>38667.51017999999</v>
          </cell>
          <cell r="AF70">
            <v>342</v>
          </cell>
          <cell r="AG70">
            <v>4375</v>
          </cell>
          <cell r="AH70">
            <v>46644.672960000025</v>
          </cell>
          <cell r="AI70">
            <v>343</v>
          </cell>
          <cell r="AJ70">
            <v>4620.2</v>
          </cell>
          <cell r="AK70">
            <v>49225.273930000047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12366</v>
          </cell>
          <cell r="L71">
            <v>4771.3999999999996</v>
          </cell>
          <cell r="M71">
            <v>50771</v>
          </cell>
          <cell r="N71">
            <v>12354</v>
          </cell>
          <cell r="O71">
            <v>2078.8000000000002</v>
          </cell>
          <cell r="P71">
            <v>22252.6</v>
          </cell>
          <cell r="Q71">
            <v>12344</v>
          </cell>
          <cell r="R71">
            <v>1022.4</v>
          </cell>
          <cell r="S71">
            <v>10955.2</v>
          </cell>
          <cell r="T71">
            <v>12327</v>
          </cell>
          <cell r="U71">
            <v>770.2</v>
          </cell>
          <cell r="V71">
            <v>8232.6</v>
          </cell>
          <cell r="W71">
            <v>12314</v>
          </cell>
          <cell r="X71">
            <v>765.8</v>
          </cell>
          <cell r="Y71">
            <v>8204.9</v>
          </cell>
          <cell r="Z71">
            <v>12317</v>
          </cell>
          <cell r="AA71">
            <v>1421.8</v>
          </cell>
          <cell r="AB71">
            <v>15210.4</v>
          </cell>
          <cell r="AC71">
            <v>12344</v>
          </cell>
          <cell r="AD71">
            <v>5032.3999999999996</v>
          </cell>
          <cell r="AE71">
            <v>53760.1</v>
          </cell>
          <cell r="AF71">
            <v>12368</v>
          </cell>
          <cell r="AG71">
            <v>6677.6</v>
          </cell>
          <cell r="AH71">
            <v>71194.2</v>
          </cell>
          <cell r="AI71">
            <v>12396</v>
          </cell>
          <cell r="AJ71">
            <v>9440.1</v>
          </cell>
          <cell r="AK71">
            <v>100579.3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214094</v>
          </cell>
          <cell r="L72">
            <v>10701.3</v>
          </cell>
          <cell r="M72">
            <v>113868.6</v>
          </cell>
          <cell r="N72">
            <v>214010</v>
          </cell>
          <cell r="O72">
            <v>4662.3</v>
          </cell>
          <cell r="P72">
            <v>49907.8</v>
          </cell>
          <cell r="Q72">
            <v>213906</v>
          </cell>
          <cell r="R72">
            <v>2293</v>
          </cell>
          <cell r="S72">
            <v>24570.2</v>
          </cell>
          <cell r="T72">
            <v>213774</v>
          </cell>
          <cell r="U72">
            <v>1727.4</v>
          </cell>
          <cell r="V72">
            <v>18463.900000000001</v>
          </cell>
          <cell r="W72">
            <v>213616</v>
          </cell>
          <cell r="X72">
            <v>1717.4</v>
          </cell>
          <cell r="Y72">
            <v>18401.900000000001</v>
          </cell>
          <cell r="Z72">
            <v>213640</v>
          </cell>
          <cell r="AA72">
            <v>3188.8</v>
          </cell>
          <cell r="AB72">
            <v>34113.800000000003</v>
          </cell>
          <cell r="AC72">
            <v>213750</v>
          </cell>
          <cell r="AD72">
            <v>11286.5</v>
          </cell>
          <cell r="AE72">
            <v>120572.5</v>
          </cell>
          <cell r="AF72">
            <v>213881</v>
          </cell>
          <cell r="AG72">
            <v>14976.5</v>
          </cell>
          <cell r="AH72">
            <v>159673.5</v>
          </cell>
          <cell r="AI72">
            <v>214016</v>
          </cell>
          <cell r="AJ72">
            <v>21172.2</v>
          </cell>
          <cell r="AK72">
            <v>225578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97</v>
          </cell>
          <cell r="L75">
            <v>9973.8320000000003</v>
          </cell>
          <cell r="M75">
            <v>106125.88035999995</v>
          </cell>
          <cell r="N75">
            <v>97</v>
          </cell>
          <cell r="O75">
            <v>8584.646999999999</v>
          </cell>
          <cell r="P75">
            <v>91881.185650000014</v>
          </cell>
          <cell r="Q75">
            <v>97</v>
          </cell>
          <cell r="R75">
            <v>7921.79</v>
          </cell>
          <cell r="S75">
            <v>84837.370260000011</v>
          </cell>
          <cell r="T75">
            <v>97</v>
          </cell>
          <cell r="U75">
            <v>7335.1360000000004</v>
          </cell>
          <cell r="V75">
            <v>78315.190010000006</v>
          </cell>
          <cell r="W75">
            <v>98</v>
          </cell>
          <cell r="X75">
            <v>7626.2489999999998</v>
          </cell>
          <cell r="Y75">
            <v>81698.165430000008</v>
          </cell>
          <cell r="Z75">
            <v>98</v>
          </cell>
          <cell r="AA75">
            <v>8822.6229999999996</v>
          </cell>
          <cell r="AB75">
            <v>94375.606030000024</v>
          </cell>
          <cell r="AC75">
            <v>98</v>
          </cell>
          <cell r="AD75">
            <v>11303.011999999999</v>
          </cell>
          <cell r="AE75">
            <v>120739.46674</v>
          </cell>
          <cell r="AF75">
            <v>98</v>
          </cell>
          <cell r="AG75">
            <v>12169.928</v>
          </cell>
          <cell r="AH75">
            <v>129779.65072999999</v>
          </cell>
          <cell r="AI75">
            <v>98</v>
          </cell>
          <cell r="AJ75">
            <v>12365.621000000001</v>
          </cell>
          <cell r="AK75">
            <v>131726.02058000001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335</v>
          </cell>
          <cell r="L76">
            <v>3130.2280000000001</v>
          </cell>
          <cell r="M76">
            <v>33307.558479999992</v>
          </cell>
          <cell r="N76">
            <v>334</v>
          </cell>
          <cell r="O76">
            <v>2049.7150000000001</v>
          </cell>
          <cell r="P76">
            <v>21937.749730000003</v>
          </cell>
          <cell r="Q76">
            <v>335</v>
          </cell>
          <cell r="R76">
            <v>1622.1860000000001</v>
          </cell>
          <cell r="S76">
            <v>17368.196120000001</v>
          </cell>
          <cell r="T76">
            <v>336</v>
          </cell>
          <cell r="U76">
            <v>1481.816</v>
          </cell>
          <cell r="V76">
            <v>15815.99956</v>
          </cell>
          <cell r="W76">
            <v>337</v>
          </cell>
          <cell r="X76">
            <v>1449.9449999999999</v>
          </cell>
          <cell r="Y76">
            <v>15532.276789999994</v>
          </cell>
          <cell r="Z76">
            <v>334</v>
          </cell>
          <cell r="AA76">
            <v>1828.087</v>
          </cell>
          <cell r="AB76">
            <v>19554.531610000002</v>
          </cell>
          <cell r="AC76">
            <v>333</v>
          </cell>
          <cell r="AD76">
            <v>3429.0970000000002</v>
          </cell>
          <cell r="AE76">
            <v>36629.291850000009</v>
          </cell>
          <cell r="AF76">
            <v>336</v>
          </cell>
          <cell r="AG76">
            <v>4061.1949999999997</v>
          </cell>
          <cell r="AH76">
            <v>43308.328330000018</v>
          </cell>
          <cell r="AI76">
            <v>335</v>
          </cell>
          <cell r="AJ76">
            <v>4434.3630000000003</v>
          </cell>
          <cell r="AK76">
            <v>47239.052049999998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10019</v>
          </cell>
          <cell r="L77">
            <v>4755.6308520000002</v>
          </cell>
          <cell r="M77">
            <v>50601.391252000001</v>
          </cell>
          <cell r="N77">
            <v>10010</v>
          </cell>
          <cell r="O77">
            <v>2322.8498920000002</v>
          </cell>
          <cell r="P77">
            <v>24858.068016000001</v>
          </cell>
          <cell r="Q77">
            <v>10003</v>
          </cell>
          <cell r="R77">
            <v>1203.790236</v>
          </cell>
          <cell r="S77">
            <v>12882.853955999999</v>
          </cell>
          <cell r="T77">
            <v>9990</v>
          </cell>
          <cell r="U77">
            <v>946.71057599999995</v>
          </cell>
          <cell r="V77">
            <v>10091.200135999999</v>
          </cell>
          <cell r="W77">
            <v>10068</v>
          </cell>
          <cell r="X77">
            <v>916.96850400000005</v>
          </cell>
          <cell r="Y77">
            <v>9819.8681859999997</v>
          </cell>
          <cell r="Z77">
            <v>10094</v>
          </cell>
          <cell r="AA77">
            <v>1461.8637940000001</v>
          </cell>
          <cell r="AB77">
            <v>15636.430638</v>
          </cell>
          <cell r="AC77">
            <v>10120</v>
          </cell>
          <cell r="AD77">
            <v>4771.9940560000005</v>
          </cell>
          <cell r="AE77">
            <v>50975.919446</v>
          </cell>
          <cell r="AF77">
            <v>10143</v>
          </cell>
          <cell r="AG77">
            <v>6295.3469619999996</v>
          </cell>
          <cell r="AH77">
            <v>67128.771689000001</v>
          </cell>
          <cell r="AI77">
            <v>10169</v>
          </cell>
          <cell r="AJ77">
            <v>8684.4014800000004</v>
          </cell>
          <cell r="AK77">
            <v>92519.491355999999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104985</v>
          </cell>
          <cell r="L78">
            <v>9058.035147999999</v>
          </cell>
          <cell r="M78">
            <v>96380.574747999999</v>
          </cell>
          <cell r="N78">
            <v>104949</v>
          </cell>
          <cell r="O78">
            <v>4474.7361080000001</v>
          </cell>
          <cell r="P78">
            <v>47885.459984000001</v>
          </cell>
          <cell r="Q78">
            <v>104903</v>
          </cell>
          <cell r="R78">
            <v>2330.0477639999999</v>
          </cell>
          <cell r="S78">
            <v>24932.544044000002</v>
          </cell>
          <cell r="T78">
            <v>104845</v>
          </cell>
          <cell r="U78">
            <v>1839.197424</v>
          </cell>
          <cell r="V78">
            <v>19599.687864</v>
          </cell>
          <cell r="W78">
            <v>104744</v>
          </cell>
          <cell r="X78">
            <v>1777.3634959999999</v>
          </cell>
          <cell r="Y78">
            <v>19033.844814</v>
          </cell>
          <cell r="Z78">
            <v>104736</v>
          </cell>
          <cell r="AA78">
            <v>2793.4132060000002</v>
          </cell>
          <cell r="AB78">
            <v>29878.548362000001</v>
          </cell>
          <cell r="AC78">
            <v>104778</v>
          </cell>
          <cell r="AD78">
            <v>9040.3539440000004</v>
          </cell>
          <cell r="AE78">
            <v>96570.723553999997</v>
          </cell>
          <cell r="AF78">
            <v>104832</v>
          </cell>
          <cell r="AG78">
            <v>11713.871038000001</v>
          </cell>
          <cell r="AH78">
            <v>124907.79931100001</v>
          </cell>
          <cell r="AI78">
            <v>104894</v>
          </cell>
          <cell r="AJ78">
            <v>16395.738519999999</v>
          </cell>
          <cell r="AK78">
            <v>174670.306644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70</v>
          </cell>
          <cell r="L81">
            <v>12302.6</v>
          </cell>
          <cell r="M81">
            <v>130907.38328999998</v>
          </cell>
          <cell r="N81">
            <v>71</v>
          </cell>
          <cell r="O81">
            <v>10531.9</v>
          </cell>
          <cell r="P81">
            <v>112739.63407</v>
          </cell>
          <cell r="Q81">
            <v>71</v>
          </cell>
          <cell r="R81">
            <v>9283</v>
          </cell>
          <cell r="S81">
            <v>99471.168440000009</v>
          </cell>
          <cell r="T81">
            <v>70</v>
          </cell>
          <cell r="U81">
            <v>10329</v>
          </cell>
          <cell r="V81">
            <v>110404.21107999998</v>
          </cell>
          <cell r="W81">
            <v>69</v>
          </cell>
          <cell r="X81">
            <v>8092.5</v>
          </cell>
          <cell r="Y81">
            <v>86708.950630000007</v>
          </cell>
          <cell r="Z81">
            <v>69</v>
          </cell>
          <cell r="AA81">
            <v>10684.1</v>
          </cell>
          <cell r="AB81">
            <v>114298.78032999999</v>
          </cell>
          <cell r="AC81">
            <v>69</v>
          </cell>
          <cell r="AD81">
            <v>13338.3</v>
          </cell>
          <cell r="AE81">
            <v>142491.54215999998</v>
          </cell>
          <cell r="AF81">
            <v>69</v>
          </cell>
          <cell r="AG81">
            <v>13901.8</v>
          </cell>
          <cell r="AH81">
            <v>148215.36049000002</v>
          </cell>
          <cell r="AI81">
            <v>69</v>
          </cell>
          <cell r="AJ81">
            <v>14870.5</v>
          </cell>
          <cell r="AK81">
            <v>158436.68111000003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345</v>
          </cell>
          <cell r="L82">
            <v>2723.4</v>
          </cell>
          <cell r="M82">
            <v>28978.887359999993</v>
          </cell>
          <cell r="N82">
            <v>345</v>
          </cell>
          <cell r="O82">
            <v>1473.1</v>
          </cell>
          <cell r="P82">
            <v>15769.04293</v>
          </cell>
          <cell r="Q82">
            <v>346</v>
          </cell>
          <cell r="R82">
            <v>1247.0999999999999</v>
          </cell>
          <cell r="S82">
            <v>13362.816539999994</v>
          </cell>
          <cell r="T82">
            <v>346</v>
          </cell>
          <cell r="U82">
            <v>1067.7</v>
          </cell>
          <cell r="V82">
            <v>11412.191539999994</v>
          </cell>
          <cell r="W82">
            <v>345</v>
          </cell>
          <cell r="X82">
            <v>1073.9000000000001</v>
          </cell>
          <cell r="Y82">
            <v>11506.788140000001</v>
          </cell>
          <cell r="Z82">
            <v>347</v>
          </cell>
          <cell r="AA82">
            <v>1465.9</v>
          </cell>
          <cell r="AB82">
            <v>15681.819709999992</v>
          </cell>
          <cell r="AC82">
            <v>346</v>
          </cell>
          <cell r="AD82">
            <v>3615.1</v>
          </cell>
          <cell r="AE82">
            <v>38619.298569999977</v>
          </cell>
          <cell r="AF82">
            <v>346</v>
          </cell>
          <cell r="AG82">
            <v>3946.2</v>
          </cell>
          <cell r="AH82">
            <v>42072.970140000012</v>
          </cell>
          <cell r="AI82">
            <v>347</v>
          </cell>
          <cell r="AJ82">
            <v>4432.1000000000004</v>
          </cell>
          <cell r="AK82">
            <v>47221.233420000033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10410</v>
          </cell>
          <cell r="L83">
            <v>5010.5</v>
          </cell>
          <cell r="M83">
            <v>53315.3</v>
          </cell>
          <cell r="N83">
            <v>10400</v>
          </cell>
          <cell r="O83">
            <v>2183</v>
          </cell>
          <cell r="P83">
            <v>23367.7</v>
          </cell>
          <cell r="Q83">
            <v>10392</v>
          </cell>
          <cell r="R83">
            <v>1073.5999999999999</v>
          </cell>
          <cell r="S83">
            <v>11504.2</v>
          </cell>
          <cell r="T83">
            <v>10377</v>
          </cell>
          <cell r="U83">
            <v>808.8</v>
          </cell>
          <cell r="V83">
            <v>8645.1</v>
          </cell>
          <cell r="W83">
            <v>10367</v>
          </cell>
          <cell r="X83">
            <v>804.1</v>
          </cell>
          <cell r="Y83">
            <v>8616.1</v>
          </cell>
          <cell r="Z83">
            <v>10369</v>
          </cell>
          <cell r="AA83">
            <v>1493.1</v>
          </cell>
          <cell r="AB83">
            <v>15972.7</v>
          </cell>
          <cell r="AC83">
            <v>10392</v>
          </cell>
          <cell r="AD83">
            <v>5284.5</v>
          </cell>
          <cell r="AE83">
            <v>56454.2</v>
          </cell>
          <cell r="AF83">
            <v>10413</v>
          </cell>
          <cell r="AG83">
            <v>7012.3</v>
          </cell>
          <cell r="AH83">
            <v>74762</v>
          </cell>
          <cell r="AI83">
            <v>10436</v>
          </cell>
          <cell r="AJ83">
            <v>9913.2000000000007</v>
          </cell>
          <cell r="AK83">
            <v>105619.6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148193</v>
          </cell>
          <cell r="L84">
            <v>11305.9</v>
          </cell>
          <cell r="M84">
            <v>120302.5</v>
          </cell>
          <cell r="N84">
            <v>148135</v>
          </cell>
          <cell r="O84">
            <v>4925.7</v>
          </cell>
          <cell r="P84">
            <v>52727.8</v>
          </cell>
          <cell r="Q84">
            <v>148063</v>
          </cell>
          <cell r="R84">
            <v>2422.5</v>
          </cell>
          <cell r="S84">
            <v>25958.400000000001</v>
          </cell>
          <cell r="T84">
            <v>147972</v>
          </cell>
          <cell r="U84">
            <v>1825</v>
          </cell>
          <cell r="V84">
            <v>19507.2</v>
          </cell>
          <cell r="W84">
            <v>147863</v>
          </cell>
          <cell r="X84">
            <v>1814.5</v>
          </cell>
          <cell r="Y84">
            <v>19441.7</v>
          </cell>
          <cell r="Z84">
            <v>147879</v>
          </cell>
          <cell r="AA84">
            <v>3369</v>
          </cell>
          <cell r="AB84">
            <v>36041.300000000003</v>
          </cell>
          <cell r="AC84">
            <v>147956</v>
          </cell>
          <cell r="AD84">
            <v>11924.2</v>
          </cell>
          <cell r="AE84">
            <v>127385.2</v>
          </cell>
          <cell r="AF84">
            <v>148046</v>
          </cell>
          <cell r="AG84">
            <v>15822.7</v>
          </cell>
          <cell r="AH84">
            <v>168695.5</v>
          </cell>
          <cell r="AI84">
            <v>148140</v>
          </cell>
          <cell r="AJ84">
            <v>22368.400000000001</v>
          </cell>
          <cell r="AK84">
            <v>238323.7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182</v>
          </cell>
          <cell r="L3">
            <v>18931.912845140083</v>
          </cell>
          <cell r="M3">
            <v>201238.992</v>
          </cell>
          <cell r="N3">
            <v>184</v>
          </cell>
          <cell r="O3">
            <v>11823.866661913391</v>
          </cell>
          <cell r="P3">
            <v>126464.77899999999</v>
          </cell>
          <cell r="Q3">
            <v>184</v>
          </cell>
          <cell r="R3">
            <v>8518.9257183214686</v>
          </cell>
          <cell r="S3">
            <v>90879.952000000005</v>
          </cell>
          <cell r="T3">
            <v>184</v>
          </cell>
          <cell r="U3">
            <v>8321.0154692804535</v>
          </cell>
          <cell r="V3">
            <v>88138.611999999994</v>
          </cell>
          <cell r="W3">
            <v>185</v>
          </cell>
          <cell r="X3">
            <v>7707.2446334299757</v>
          </cell>
          <cell r="Y3">
            <v>82492.856</v>
          </cell>
          <cell r="Z3">
            <v>185</v>
          </cell>
          <cell r="AA3">
            <v>10011.381801364159</v>
          </cell>
          <cell r="AB3">
            <v>107040.15700000001</v>
          </cell>
          <cell r="AC3">
            <v>185</v>
          </cell>
          <cell r="AD3">
            <v>19785.400000000001</v>
          </cell>
          <cell r="AE3">
            <v>211171.139</v>
          </cell>
          <cell r="AF3">
            <v>185</v>
          </cell>
          <cell r="AG3">
            <v>22530.630703374507</v>
          </cell>
          <cell r="AH3">
            <v>239504.93799999999</v>
          </cell>
          <cell r="AI3">
            <v>185</v>
          </cell>
          <cell r="AJ3">
            <v>25427.301524831939</v>
          </cell>
          <cell r="AK3">
            <v>270198.62900000002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1617</v>
          </cell>
          <cell r="L4">
            <v>13603.197377537306</v>
          </cell>
          <cell r="M4">
            <v>144596.61199999999</v>
          </cell>
          <cell r="N4">
            <v>1617</v>
          </cell>
          <cell r="O4">
            <v>6784.6096031706493</v>
          </cell>
          <cell r="P4">
            <v>72566.178</v>
          </cell>
          <cell r="Q4">
            <v>1618</v>
          </cell>
          <cell r="R4">
            <v>4273.9841119322391</v>
          </cell>
          <cell r="S4">
            <v>45594.786999999997</v>
          </cell>
          <cell r="T4">
            <v>1617</v>
          </cell>
          <cell r="U4">
            <v>3498.1315612597155</v>
          </cell>
          <cell r="V4">
            <v>37053.036</v>
          </cell>
          <cell r="W4">
            <v>1618</v>
          </cell>
          <cell r="X4">
            <v>3291.0322590852484</v>
          </cell>
          <cell r="Y4">
            <v>35224.853000000003</v>
          </cell>
          <cell r="Z4">
            <v>1621</v>
          </cell>
          <cell r="AA4">
            <v>5270.5184245247365</v>
          </cell>
          <cell r="AB4">
            <v>56351.546999999999</v>
          </cell>
          <cell r="AC4">
            <v>1627</v>
          </cell>
          <cell r="AD4">
            <v>14265.4</v>
          </cell>
          <cell r="AE4">
            <v>152248.27900000001</v>
          </cell>
          <cell r="AF4">
            <v>1630</v>
          </cell>
          <cell r="AG4">
            <v>16989.236264702493</v>
          </cell>
          <cell r="AH4">
            <v>180598.75700000001</v>
          </cell>
          <cell r="AI4">
            <v>1636</v>
          </cell>
          <cell r="AJ4">
            <v>20384.915756356157</v>
          </cell>
          <cell r="AK4">
            <v>216616.66099999999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38786</v>
          </cell>
          <cell r="L5">
            <v>14488.897854727258</v>
          </cell>
          <cell r="M5">
            <v>154011.2580346101</v>
          </cell>
          <cell r="N5">
            <v>38793</v>
          </cell>
          <cell r="O5">
            <v>6227.7772070432993</v>
          </cell>
          <cell r="P5">
            <v>66610.463355098356</v>
          </cell>
          <cell r="Q5">
            <v>38752</v>
          </cell>
          <cell r="R5">
            <v>3225.925359020102</v>
          </cell>
          <cell r="S5">
            <v>34414.114739402648</v>
          </cell>
          <cell r="T5">
            <v>38690</v>
          </cell>
          <cell r="U5">
            <v>2234.3771998096381</v>
          </cell>
          <cell r="V5">
            <v>23667.051216424792</v>
          </cell>
          <cell r="W5">
            <v>38637</v>
          </cell>
          <cell r="X5">
            <v>2141.2613426995154</v>
          </cell>
          <cell r="Y5">
            <v>22918.528319785542</v>
          </cell>
          <cell r="Z5">
            <v>38581</v>
          </cell>
          <cell r="AA5">
            <v>4799.1070721224905</v>
          </cell>
          <cell r="AB5">
            <v>51311.291594076793</v>
          </cell>
          <cell r="AC5">
            <v>38532</v>
          </cell>
          <cell r="AD5">
            <v>16020.6</v>
          </cell>
          <cell r="AE5">
            <v>170994.1985428952</v>
          </cell>
          <cell r="AF5">
            <v>38628</v>
          </cell>
          <cell r="AG5">
            <v>20483.15284405588</v>
          </cell>
          <cell r="AH5">
            <v>217739.74329635865</v>
          </cell>
          <cell r="AI5">
            <v>38655</v>
          </cell>
          <cell r="AJ5">
            <v>24903.863513193508</v>
          </cell>
          <cell r="AK5">
            <v>264636.45102607971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389436</v>
          </cell>
          <cell r="L6">
            <v>22029.18872312551</v>
          </cell>
          <cell r="M6">
            <v>234161.56996534171</v>
          </cell>
          <cell r="N6">
            <v>389280</v>
          </cell>
          <cell r="O6">
            <v>10343.250756959564</v>
          </cell>
          <cell r="P6">
            <v>110628.35143490035</v>
          </cell>
          <cell r="Q6">
            <v>388890</v>
          </cell>
          <cell r="R6">
            <v>6288.792684776462</v>
          </cell>
          <cell r="S6">
            <v>67088.729260603039</v>
          </cell>
          <cell r="T6">
            <v>388595</v>
          </cell>
          <cell r="U6">
            <v>4510.9233172954291</v>
          </cell>
          <cell r="V6">
            <v>47780.765572120668</v>
          </cell>
          <cell r="W6">
            <v>388292</v>
          </cell>
          <cell r="X6">
            <v>4314.2137625396481</v>
          </cell>
          <cell r="Y6">
            <v>46176.255239222686</v>
          </cell>
          <cell r="Z6">
            <v>388109</v>
          </cell>
          <cell r="AA6">
            <v>7506.9758830532292</v>
          </cell>
          <cell r="AB6">
            <v>80263.395405905772</v>
          </cell>
          <cell r="AC6">
            <v>388146</v>
          </cell>
          <cell r="AD6">
            <v>24615.3</v>
          </cell>
          <cell r="AE6">
            <v>262729.12945706648</v>
          </cell>
          <cell r="AF6">
            <v>388308</v>
          </cell>
          <cell r="AG6">
            <v>30214.615967854632</v>
          </cell>
          <cell r="AH6">
            <v>321187.01523764199</v>
          </cell>
          <cell r="AI6">
            <v>388506</v>
          </cell>
          <cell r="AJ6">
            <v>35608.412737498402</v>
          </cell>
          <cell r="AK6">
            <v>378386.42861703708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2285.7130134052777</v>
          </cell>
          <cell r="M7">
            <v>24296.225999999999</v>
          </cell>
          <cell r="O7">
            <v>1762.4417709129741</v>
          </cell>
          <cell r="P7">
            <v>18850.556</v>
          </cell>
          <cell r="R7">
            <v>1530.1121139517404</v>
          </cell>
          <cell r="S7">
            <v>16323.209000000001</v>
          </cell>
          <cell r="U7">
            <v>1477.5184957398856</v>
          </cell>
          <cell r="V7">
            <v>15650.224999999999</v>
          </cell>
          <cell r="X7">
            <v>1454.428002246382</v>
          </cell>
          <cell r="Y7">
            <v>15567.155999999999</v>
          </cell>
          <cell r="AA7">
            <v>1671.2877941485024</v>
          </cell>
          <cell r="AB7">
            <v>17869.144</v>
          </cell>
          <cell r="AD7">
            <v>2320.8969999999999</v>
          </cell>
          <cell r="AE7">
            <v>24772.764999999999</v>
          </cell>
          <cell r="AG7">
            <v>2577.58815456206</v>
          </cell>
          <cell r="AH7">
            <v>27396.417000000001</v>
          </cell>
          <cell r="AJ7">
            <v>2846.923468130994</v>
          </cell>
          <cell r="AK7">
            <v>30252.323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1257</v>
          </cell>
          <cell r="L10">
            <v>255482.60000000003</v>
          </cell>
          <cell r="M10">
            <v>2718498.8811399993</v>
          </cell>
          <cell r="N10">
            <v>1259</v>
          </cell>
          <cell r="O10">
            <v>222423.69999999998</v>
          </cell>
          <cell r="P10">
            <v>2380958.5397899998</v>
          </cell>
          <cell r="Q10">
            <v>1258</v>
          </cell>
          <cell r="R10">
            <v>203089.2</v>
          </cell>
          <cell r="S10">
            <v>2176176.7706899997</v>
          </cell>
          <cell r="T10">
            <v>1256</v>
          </cell>
          <cell r="U10">
            <v>195422.00000000003</v>
          </cell>
          <cell r="V10">
            <v>2088826.9225899999</v>
          </cell>
          <cell r="W10">
            <v>1258</v>
          </cell>
          <cell r="X10">
            <v>183113.70000000004</v>
          </cell>
          <cell r="Y10">
            <v>1962014.9512200002</v>
          </cell>
          <cell r="Z10">
            <v>1259</v>
          </cell>
          <cell r="AA10">
            <v>204193.60000000003</v>
          </cell>
          <cell r="AB10">
            <v>2184459.6263899994</v>
          </cell>
          <cell r="AC10">
            <v>1264</v>
          </cell>
          <cell r="AD10">
            <v>268195.7</v>
          </cell>
          <cell r="AE10">
            <v>2865103.1446799999</v>
          </cell>
          <cell r="AF10">
            <v>1266</v>
          </cell>
          <cell r="AG10">
            <v>284707.59999999998</v>
          </cell>
          <cell r="AH10">
            <v>3035441.4739699997</v>
          </cell>
          <cell r="AI10">
            <v>1270</v>
          </cell>
          <cell r="AJ10">
            <v>285494</v>
          </cell>
          <cell r="AK10">
            <v>3041784.86203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4772</v>
          </cell>
          <cell r="L11">
            <v>46374.2</v>
          </cell>
          <cell r="M11">
            <v>493452.34702499973</v>
          </cell>
          <cell r="N11">
            <v>4773</v>
          </cell>
          <cell r="O11">
            <v>27988.400000000001</v>
          </cell>
          <cell r="P11">
            <v>299605.32863000006</v>
          </cell>
          <cell r="Q11">
            <v>4784</v>
          </cell>
          <cell r="R11">
            <v>22525.7</v>
          </cell>
          <cell r="S11">
            <v>241370.83517999994</v>
          </cell>
          <cell r="T11">
            <v>4794</v>
          </cell>
          <cell r="U11">
            <v>19960.900000000001</v>
          </cell>
          <cell r="V11">
            <v>213357.07875400005</v>
          </cell>
          <cell r="W11">
            <v>4802</v>
          </cell>
          <cell r="X11">
            <v>19092.799999999996</v>
          </cell>
          <cell r="Y11">
            <v>204573.04100999996</v>
          </cell>
          <cell r="Z11">
            <v>4813</v>
          </cell>
          <cell r="AA11">
            <v>26264.000000000004</v>
          </cell>
          <cell r="AB11">
            <v>280971.42028000008</v>
          </cell>
          <cell r="AC11">
            <v>4814</v>
          </cell>
          <cell r="AD11">
            <v>53547.799999999996</v>
          </cell>
          <cell r="AE11">
            <v>572044.10978000006</v>
          </cell>
          <cell r="AF11">
            <v>4819</v>
          </cell>
          <cell r="AG11">
            <v>60713.299999999996</v>
          </cell>
          <cell r="AH11">
            <v>647301.48995000008</v>
          </cell>
          <cell r="AI11">
            <v>4820</v>
          </cell>
          <cell r="AJ11">
            <v>67138.2</v>
          </cell>
          <cell r="AK11">
            <v>715320.02803000016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150899</v>
          </cell>
          <cell r="L12">
            <v>66363.734999999986</v>
          </cell>
          <cell r="M12">
            <v>706152.02</v>
          </cell>
          <cell r="N12">
            <v>150756</v>
          </cell>
          <cell r="O12">
            <v>28912.859000000004</v>
          </cell>
          <cell r="P12">
            <v>309501.60900000005</v>
          </cell>
          <cell r="Q12">
            <v>150637</v>
          </cell>
          <cell r="R12">
            <v>14220.021000000001</v>
          </cell>
          <cell r="S12">
            <v>152371.057</v>
          </cell>
          <cell r="T12">
            <v>150422</v>
          </cell>
          <cell r="U12">
            <v>10712.357</v>
          </cell>
          <cell r="V12">
            <v>114503.387</v>
          </cell>
          <cell r="W12">
            <v>150268</v>
          </cell>
          <cell r="X12">
            <v>10650.573</v>
          </cell>
          <cell r="Y12">
            <v>114119.065</v>
          </cell>
          <cell r="Z12">
            <v>150304</v>
          </cell>
          <cell r="AA12">
            <v>19775.297999999999</v>
          </cell>
          <cell r="AB12">
            <v>211555.62</v>
          </cell>
          <cell r="AC12">
            <v>150635</v>
          </cell>
          <cell r="AD12">
            <v>69992.975000000006</v>
          </cell>
          <cell r="AE12">
            <v>747726.08900000004</v>
          </cell>
          <cell r="AF12">
            <v>150934</v>
          </cell>
          <cell r="AG12">
            <v>92876.297999999995</v>
          </cell>
          <cell r="AH12">
            <v>990209.54500000004</v>
          </cell>
          <cell r="AI12">
            <v>151273</v>
          </cell>
          <cell r="AJ12">
            <v>131298.15400000001</v>
          </cell>
          <cell r="AK12">
            <v>1398913.8149999999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2144822</v>
          </cell>
          <cell r="L13">
            <v>144234.19999999998</v>
          </cell>
          <cell r="M13">
            <v>1534744.9999999998</v>
          </cell>
          <cell r="N13">
            <v>2143981</v>
          </cell>
          <cell r="O13">
            <v>62839.1</v>
          </cell>
          <cell r="P13">
            <v>672668.29999999993</v>
          </cell>
          <cell r="Q13">
            <v>2142935</v>
          </cell>
          <cell r="R13">
            <v>30905.3</v>
          </cell>
          <cell r="S13">
            <v>331161.59999999998</v>
          </cell>
          <cell r="T13">
            <v>2141614</v>
          </cell>
          <cell r="U13">
            <v>23282.400000000001</v>
          </cell>
          <cell r="V13">
            <v>248860.80000000002</v>
          </cell>
          <cell r="W13">
            <v>2140036</v>
          </cell>
          <cell r="X13">
            <v>23147.999999999996</v>
          </cell>
          <cell r="Y13">
            <v>248025</v>
          </cell>
          <cell r="Z13">
            <v>2140276</v>
          </cell>
          <cell r="AA13">
            <v>42979.499999999993</v>
          </cell>
          <cell r="AB13">
            <v>459793.10000000003</v>
          </cell>
          <cell r="AC13">
            <v>2141378</v>
          </cell>
          <cell r="AD13">
            <v>152122.1</v>
          </cell>
          <cell r="AE13">
            <v>1625102.1</v>
          </cell>
          <cell r="AF13">
            <v>2142688</v>
          </cell>
          <cell r="AG13">
            <v>201856.5</v>
          </cell>
          <cell r="AH13">
            <v>2152113.4</v>
          </cell>
          <cell r="AI13">
            <v>2144042</v>
          </cell>
          <cell r="AJ13">
            <v>285362.8</v>
          </cell>
          <cell r="AK13">
            <v>3040387.5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9780.5748266840583</v>
          </cell>
          <cell r="M14">
            <v>104071.61195999999</v>
          </cell>
          <cell r="O14">
            <v>6576.8026651719128</v>
          </cell>
          <cell r="P14">
            <v>70402.126300000004</v>
          </cell>
          <cell r="R14">
            <v>4767.9374904102497</v>
          </cell>
          <cell r="S14">
            <v>51090.190040000009</v>
          </cell>
          <cell r="U14">
            <v>4620.9010045189034</v>
          </cell>
          <cell r="V14">
            <v>49391.892090000001</v>
          </cell>
          <cell r="X14">
            <v>4303.170593724396</v>
          </cell>
          <cell r="Y14">
            <v>46107.337049999995</v>
          </cell>
          <cell r="AA14">
            <v>4810.9253754124938</v>
          </cell>
          <cell r="AB14">
            <v>51467.173599999995</v>
          </cell>
          <cell r="AD14">
            <v>10255.172900063431</v>
          </cell>
          <cell r="AE14">
            <v>109554.77297000001</v>
          </cell>
          <cell r="AG14">
            <v>11786.095917538718</v>
          </cell>
          <cell r="AH14">
            <v>125658.69998</v>
          </cell>
          <cell r="AJ14">
            <v>-23852.164280829795</v>
          </cell>
          <cell r="AK14">
            <v>-254132.02530000001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134</v>
          </cell>
          <cell r="L17">
            <v>11359.318000000001</v>
          </cell>
          <cell r="M17">
            <v>120850.37</v>
          </cell>
          <cell r="N17">
            <v>134</v>
          </cell>
          <cell r="O17">
            <v>9493.0889999999981</v>
          </cell>
          <cell r="P17">
            <v>101500.04699999999</v>
          </cell>
          <cell r="Q17">
            <v>135</v>
          </cell>
          <cell r="R17">
            <v>8663.1280000000006</v>
          </cell>
          <cell r="S17">
            <v>92405.349999999991</v>
          </cell>
          <cell r="T17">
            <v>135</v>
          </cell>
          <cell r="U17">
            <v>8973.5589999999993</v>
          </cell>
          <cell r="V17">
            <v>95050.401999999987</v>
          </cell>
          <cell r="W17">
            <v>135</v>
          </cell>
          <cell r="X17">
            <v>7709.8630000000003</v>
          </cell>
          <cell r="Y17">
            <v>82472.417000000001</v>
          </cell>
          <cell r="Z17">
            <v>135</v>
          </cell>
          <cell r="AA17">
            <v>9277.3590000000022</v>
          </cell>
          <cell r="AB17">
            <v>99165.764999999985</v>
          </cell>
          <cell r="AC17">
            <v>135</v>
          </cell>
          <cell r="AD17">
            <v>11663.361999999999</v>
          </cell>
          <cell r="AE17">
            <v>124535.588</v>
          </cell>
          <cell r="AF17">
            <v>135</v>
          </cell>
          <cell r="AG17">
            <v>12077.826000000001</v>
          </cell>
          <cell r="AH17">
            <v>128968.149</v>
          </cell>
          <cell r="AI17">
            <v>135</v>
          </cell>
          <cell r="AJ17">
            <v>11427.215</v>
          </cell>
          <cell r="AK17">
            <v>121614.04399999999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349</v>
          </cell>
          <cell r="L18">
            <v>1611.3579999999999</v>
          </cell>
          <cell r="M18">
            <v>17143.237999999998</v>
          </cell>
          <cell r="N18">
            <v>350</v>
          </cell>
          <cell r="O18">
            <v>819.33600000000001</v>
          </cell>
          <cell r="P18">
            <v>8760.34</v>
          </cell>
          <cell r="Q18">
            <v>350</v>
          </cell>
          <cell r="R18">
            <v>636.755</v>
          </cell>
          <cell r="S18">
            <v>6792.2650000000003</v>
          </cell>
          <cell r="T18">
            <v>351</v>
          </cell>
          <cell r="U18">
            <v>584.60500000000002</v>
          </cell>
          <cell r="V18">
            <v>6192.5010000000002</v>
          </cell>
          <cell r="W18">
            <v>352</v>
          </cell>
          <cell r="X18">
            <v>510.13</v>
          </cell>
          <cell r="Y18">
            <v>5456.8609999999999</v>
          </cell>
          <cell r="Z18">
            <v>352</v>
          </cell>
          <cell r="AA18">
            <v>802.60500000000002</v>
          </cell>
          <cell r="AB18">
            <v>8579.0450000000001</v>
          </cell>
          <cell r="AC18">
            <v>352</v>
          </cell>
          <cell r="AD18">
            <v>1686.444</v>
          </cell>
          <cell r="AE18">
            <v>18007.006000000001</v>
          </cell>
          <cell r="AF18">
            <v>352</v>
          </cell>
          <cell r="AG18">
            <v>2037.8629999999998</v>
          </cell>
          <cell r="AH18">
            <v>21760.504999999997</v>
          </cell>
          <cell r="AI18">
            <v>352</v>
          </cell>
          <cell r="AJ18">
            <v>2370.61</v>
          </cell>
          <cell r="AK18">
            <v>25229.217000000001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7987</v>
          </cell>
          <cell r="L19">
            <v>4040.9435079999998</v>
          </cell>
          <cell r="M19">
            <v>42991.992288000001</v>
          </cell>
          <cell r="N19">
            <v>7988</v>
          </cell>
          <cell r="O19">
            <v>1876.7734580000001</v>
          </cell>
          <cell r="P19">
            <v>20070.257423999999</v>
          </cell>
          <cell r="Q19">
            <v>7990</v>
          </cell>
          <cell r="R19">
            <v>878.09528799999998</v>
          </cell>
          <cell r="S19">
            <v>9368.2267840000004</v>
          </cell>
          <cell r="T19">
            <v>7992</v>
          </cell>
          <cell r="U19">
            <v>634.73477200000002</v>
          </cell>
          <cell r="V19">
            <v>6730.9096119999995</v>
          </cell>
          <cell r="W19">
            <v>9186</v>
          </cell>
          <cell r="X19">
            <v>689.49827800000003</v>
          </cell>
          <cell r="Y19">
            <v>7377.2869380000002</v>
          </cell>
          <cell r="Z19">
            <v>9388</v>
          </cell>
          <cell r="AA19">
            <v>1367.924908</v>
          </cell>
          <cell r="AB19">
            <v>14619.810436</v>
          </cell>
          <cell r="AC19">
            <v>9706</v>
          </cell>
          <cell r="AD19">
            <v>4174.5380880000002</v>
          </cell>
          <cell r="AE19">
            <v>44574.858635999997</v>
          </cell>
          <cell r="AF19">
            <v>9765</v>
          </cell>
          <cell r="AG19">
            <v>6071.0712579999999</v>
          </cell>
          <cell r="AH19">
            <v>64827.967982000002</v>
          </cell>
          <cell r="AI19">
            <v>9790</v>
          </cell>
          <cell r="AJ19">
            <v>6679.0376660000002</v>
          </cell>
          <cell r="AK19">
            <v>71081.381181999997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105652</v>
          </cell>
          <cell r="L20">
            <v>8508.5704920000007</v>
          </cell>
          <cell r="M20">
            <v>90523.511712000007</v>
          </cell>
          <cell r="N20">
            <v>105657</v>
          </cell>
          <cell r="O20">
            <v>3951.7155419999999</v>
          </cell>
          <cell r="P20">
            <v>42259.734576000003</v>
          </cell>
          <cell r="Q20">
            <v>105662</v>
          </cell>
          <cell r="R20">
            <v>1848.9087119999999</v>
          </cell>
          <cell r="S20">
            <v>19725.645216000001</v>
          </cell>
          <cell r="T20">
            <v>105669</v>
          </cell>
          <cell r="U20">
            <v>1336.4912279999999</v>
          </cell>
          <cell r="V20">
            <v>14172.536388</v>
          </cell>
          <cell r="W20">
            <v>104048</v>
          </cell>
          <cell r="X20">
            <v>1451.800722</v>
          </cell>
          <cell r="Y20">
            <v>15533.542062</v>
          </cell>
          <cell r="Z20">
            <v>103846</v>
          </cell>
          <cell r="AA20">
            <v>2880.289092</v>
          </cell>
          <cell r="AB20">
            <v>30783.327563999999</v>
          </cell>
          <cell r="AC20">
            <v>103528</v>
          </cell>
          <cell r="AD20">
            <v>8789.8659119999993</v>
          </cell>
          <cell r="AE20">
            <v>93856.379363999993</v>
          </cell>
          <cell r="AF20">
            <v>103499</v>
          </cell>
          <cell r="AG20">
            <v>10839.990742</v>
          </cell>
          <cell r="AH20">
            <v>115751.33001800001</v>
          </cell>
          <cell r="AI20">
            <v>103499</v>
          </cell>
          <cell r="AJ20">
            <v>14063.315333999999</v>
          </cell>
          <cell r="AK20">
            <v>149668.24981800001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512.57600000000002</v>
          </cell>
          <cell r="M21">
            <v>5453.2129999999997</v>
          </cell>
          <cell r="O21">
            <v>313.87900000000002</v>
          </cell>
          <cell r="P21">
            <v>3356.181</v>
          </cell>
          <cell r="R21">
            <v>229.93600000000001</v>
          </cell>
          <cell r="S21">
            <v>2452.7690000000002</v>
          </cell>
          <cell r="U21">
            <v>217.96600000000001</v>
          </cell>
          <cell r="V21">
            <v>2309.1600000000003</v>
          </cell>
          <cell r="X21">
            <v>194.804</v>
          </cell>
          <cell r="Y21">
            <v>2083.9189999999999</v>
          </cell>
          <cell r="AA21">
            <v>271.03899999999999</v>
          </cell>
          <cell r="AB21">
            <v>2897.0250000000001</v>
          </cell>
          <cell r="AD21">
            <v>515.61400000000003</v>
          </cell>
          <cell r="AE21">
            <v>5505.5529999999999</v>
          </cell>
          <cell r="AG21">
            <v>614.66600000000005</v>
          </cell>
          <cell r="AH21">
            <v>6563.5309999999999</v>
          </cell>
          <cell r="AJ21">
            <v>694.26599999999996</v>
          </cell>
          <cell r="AK21">
            <v>7388.7269999999999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1594.221</v>
          </cell>
          <cell r="M26">
            <v>16950.120999999999</v>
          </cell>
          <cell r="N26">
            <v>11</v>
          </cell>
          <cell r="O26">
            <v>1201.4870000000001</v>
          </cell>
          <cell r="P26">
            <v>12840.136</v>
          </cell>
          <cell r="Q26">
            <v>11</v>
          </cell>
          <cell r="R26">
            <v>1295.6179999999999</v>
          </cell>
          <cell r="S26">
            <v>13876.04</v>
          </cell>
          <cell r="T26">
            <v>11</v>
          </cell>
          <cell r="U26">
            <v>11138.316000000001</v>
          </cell>
          <cell r="V26">
            <v>118962.973</v>
          </cell>
          <cell r="W26">
            <v>11</v>
          </cell>
          <cell r="X26">
            <v>6515.7879999999996</v>
          </cell>
          <cell r="Y26">
            <v>69774.789999999994</v>
          </cell>
          <cell r="Z26">
            <v>11</v>
          </cell>
          <cell r="AA26">
            <v>9688.48</v>
          </cell>
          <cell r="AB26">
            <v>103537.02899999999</v>
          </cell>
          <cell r="AC26">
            <v>11</v>
          </cell>
          <cell r="AD26">
            <v>32754.201000000001</v>
          </cell>
          <cell r="AE26">
            <v>349299.337</v>
          </cell>
          <cell r="AF26">
            <v>11</v>
          </cell>
          <cell r="AG26">
            <v>28132.030999999999</v>
          </cell>
          <cell r="AH26">
            <v>298815.52100000001</v>
          </cell>
          <cell r="AI26">
            <v>11</v>
          </cell>
          <cell r="AJ26">
            <v>11438.978999999999</v>
          </cell>
          <cell r="AK26">
            <v>121652.99400000001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159</v>
          </cell>
          <cell r="L32">
            <v>935</v>
          </cell>
          <cell r="M32">
            <v>9783</v>
          </cell>
          <cell r="N32">
            <v>159</v>
          </cell>
          <cell r="O32">
            <v>802</v>
          </cell>
          <cell r="P32">
            <v>8393</v>
          </cell>
          <cell r="Q32">
            <v>159</v>
          </cell>
          <cell r="R32">
            <v>895</v>
          </cell>
          <cell r="S32">
            <v>9379</v>
          </cell>
          <cell r="T32">
            <v>159</v>
          </cell>
          <cell r="U32">
            <v>869</v>
          </cell>
          <cell r="V32">
            <v>9111</v>
          </cell>
          <cell r="W32">
            <v>159</v>
          </cell>
          <cell r="X32">
            <v>696</v>
          </cell>
          <cell r="Y32">
            <v>7303</v>
          </cell>
          <cell r="Z32">
            <v>158</v>
          </cell>
          <cell r="AA32">
            <v>857</v>
          </cell>
          <cell r="AB32">
            <v>8970</v>
          </cell>
          <cell r="AC32">
            <v>160</v>
          </cell>
          <cell r="AD32">
            <v>1091</v>
          </cell>
          <cell r="AE32">
            <v>11449</v>
          </cell>
          <cell r="AF32">
            <v>161</v>
          </cell>
          <cell r="AG32">
            <v>1178</v>
          </cell>
          <cell r="AH32">
            <v>12357</v>
          </cell>
          <cell r="AI32">
            <v>160</v>
          </cell>
          <cell r="AJ32">
            <v>1349.1279999999999</v>
          </cell>
          <cell r="AK32">
            <v>14159.351999999999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672.47199999999793</v>
          </cell>
          <cell r="M34">
            <v>7188.697199999966</v>
          </cell>
          <cell r="O34">
            <v>630.68399999999747</v>
          </cell>
          <cell r="P34">
            <v>6694.4464000000153</v>
          </cell>
          <cell r="R34">
            <v>614.59699999999975</v>
          </cell>
          <cell r="S34">
            <v>6843.0684999999939</v>
          </cell>
          <cell r="U34">
            <v>247.37099999999919</v>
          </cell>
          <cell r="V34">
            <v>2654.776600000012</v>
          </cell>
          <cell r="X34">
            <v>194.17399999999907</v>
          </cell>
          <cell r="Y34">
            <v>2137.3643000000156</v>
          </cell>
          <cell r="AA34">
            <v>214.75000000000182</v>
          </cell>
          <cell r="AB34">
            <v>2421.4477999999945</v>
          </cell>
          <cell r="AD34">
            <v>257.56099999999788</v>
          </cell>
          <cell r="AE34">
            <v>2905.7181000000273</v>
          </cell>
          <cell r="AG34">
            <v>329.93700000000172</v>
          </cell>
          <cell r="AH34">
            <v>3847.4984000000113</v>
          </cell>
          <cell r="AJ34">
            <v>337.75800000000163</v>
          </cell>
          <cell r="AK34">
            <v>3601.0265000000072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1589</v>
          </cell>
          <cell r="L36">
            <v>288198.05184514017</v>
          </cell>
          <cell r="M36">
            <v>3066229.3641399993</v>
          </cell>
          <cell r="N36">
            <v>1593</v>
          </cell>
          <cell r="O36">
            <v>245681.14266191339</v>
          </cell>
          <cell r="P36">
            <v>2629497.5017899997</v>
          </cell>
          <cell r="Q36">
            <v>1593</v>
          </cell>
          <cell r="R36">
            <v>222394.87171832146</v>
          </cell>
          <cell r="S36">
            <v>2382031.1126899999</v>
          </cell>
          <cell r="T36">
            <v>1591</v>
          </cell>
          <cell r="U36">
            <v>224677.89046928048</v>
          </cell>
          <cell r="V36">
            <v>2399603.9095899994</v>
          </cell>
          <cell r="W36">
            <v>1594</v>
          </cell>
          <cell r="X36">
            <v>205693.59563343003</v>
          </cell>
          <cell r="Y36">
            <v>2203553.0142200002</v>
          </cell>
          <cell r="Z36">
            <v>1595</v>
          </cell>
          <cell r="AA36">
            <v>233971.8208013642</v>
          </cell>
          <cell r="AB36">
            <v>2502587.5773899998</v>
          </cell>
          <cell r="AC36">
            <v>1600</v>
          </cell>
          <cell r="AD36">
            <v>333360.66300000006</v>
          </cell>
          <cell r="AE36">
            <v>3560210.2086799997</v>
          </cell>
          <cell r="AF36">
            <v>1602</v>
          </cell>
          <cell r="AG36">
            <v>348475.08770337451</v>
          </cell>
          <cell r="AH36">
            <v>3713510.0819700002</v>
          </cell>
          <cell r="AI36">
            <v>1606</v>
          </cell>
          <cell r="AJ36">
            <v>334800.62352483196</v>
          </cell>
          <cell r="AK36">
            <v>3565710.5310299997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6744</v>
          </cell>
          <cell r="L37">
            <v>61678.755377537302</v>
          </cell>
          <cell r="M37">
            <v>656131.19702499977</v>
          </cell>
          <cell r="N37">
            <v>6746</v>
          </cell>
          <cell r="O37">
            <v>35649.345603170652</v>
          </cell>
          <cell r="P37">
            <v>381527.8466300001</v>
          </cell>
          <cell r="Q37">
            <v>6758</v>
          </cell>
          <cell r="R37">
            <v>27487.439111932243</v>
          </cell>
          <cell r="S37">
            <v>294286.88717999996</v>
          </cell>
          <cell r="T37">
            <v>6768</v>
          </cell>
          <cell r="U37">
            <v>24088.636561259718</v>
          </cell>
          <cell r="V37">
            <v>257078.61575400003</v>
          </cell>
          <cell r="W37">
            <v>6778</v>
          </cell>
          <cell r="X37">
            <v>22941.962259085245</v>
          </cell>
          <cell r="Y37">
            <v>245750.75500999996</v>
          </cell>
          <cell r="Z37">
            <v>6792</v>
          </cell>
          <cell r="AA37">
            <v>32392.12342452474</v>
          </cell>
          <cell r="AB37">
            <v>346473.01228000008</v>
          </cell>
          <cell r="AC37">
            <v>6799</v>
          </cell>
          <cell r="AD37">
            <v>69602.644</v>
          </cell>
          <cell r="AE37">
            <v>743381.39478000009</v>
          </cell>
          <cell r="AF37">
            <v>6807</v>
          </cell>
          <cell r="AG37">
            <v>79859.399264702486</v>
          </cell>
          <cell r="AH37">
            <v>850909.75195000006</v>
          </cell>
          <cell r="AI37">
            <v>6814</v>
          </cell>
          <cell r="AJ37">
            <v>90020.725756356158</v>
          </cell>
          <cell r="AK37">
            <v>958493.35903000005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197680</v>
          </cell>
          <cell r="L38">
            <v>84908.576362727239</v>
          </cell>
          <cell r="M38">
            <v>903308.27032261004</v>
          </cell>
          <cell r="N38">
            <v>197545</v>
          </cell>
          <cell r="O38">
            <v>37021.409665043306</v>
          </cell>
          <cell r="P38">
            <v>396226.32977909845</v>
          </cell>
          <cell r="Q38">
            <v>197387</v>
          </cell>
          <cell r="R38">
            <v>18340.041647020102</v>
          </cell>
          <cell r="S38">
            <v>196310.39852340263</v>
          </cell>
          <cell r="T38">
            <v>197112</v>
          </cell>
          <cell r="U38">
            <v>13582.468971809638</v>
          </cell>
          <cell r="V38">
            <v>144911.34782842477</v>
          </cell>
          <cell r="W38">
            <v>198099</v>
          </cell>
          <cell r="X38">
            <v>13482.332620699515</v>
          </cell>
          <cell r="Y38">
            <v>144423.88025778555</v>
          </cell>
          <cell r="Z38">
            <v>198280</v>
          </cell>
          <cell r="AA38">
            <v>25943.329980122489</v>
          </cell>
          <cell r="AB38">
            <v>277500.72203007678</v>
          </cell>
          <cell r="AC38">
            <v>198880</v>
          </cell>
          <cell r="AD38">
            <v>90214.113088000013</v>
          </cell>
          <cell r="AE38">
            <v>963561.14617889514</v>
          </cell>
          <cell r="AF38">
            <v>199334</v>
          </cell>
          <cell r="AG38">
            <v>119462.52210205587</v>
          </cell>
          <cell r="AH38">
            <v>1273105.2562783586</v>
          </cell>
          <cell r="AI38">
            <v>199725</v>
          </cell>
          <cell r="AJ38">
            <v>162912.0551791935</v>
          </cell>
          <cell r="AK38">
            <v>1734864.0812080796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2640050</v>
          </cell>
          <cell r="L39">
            <v>174771.95921512551</v>
          </cell>
          <cell r="M39">
            <v>1859430.0816773416</v>
          </cell>
          <cell r="N39">
            <v>2639058</v>
          </cell>
          <cell r="O39">
            <v>77136.066298959573</v>
          </cell>
          <cell r="P39">
            <v>825575.38601090026</v>
          </cell>
          <cell r="Q39">
            <v>2637627</v>
          </cell>
          <cell r="R39">
            <v>39043.001396776461</v>
          </cell>
          <cell r="S39">
            <v>417975.97447660298</v>
          </cell>
          <cell r="T39">
            <v>2636018</v>
          </cell>
          <cell r="U39">
            <v>29129.81454529543</v>
          </cell>
          <cell r="V39">
            <v>310814.10196012072</v>
          </cell>
          <cell r="W39">
            <v>2632516</v>
          </cell>
          <cell r="X39">
            <v>28914.014484539643</v>
          </cell>
          <cell r="Y39">
            <v>309734.79730122269</v>
          </cell>
          <cell r="Z39">
            <v>2632371</v>
          </cell>
          <cell r="AA39">
            <v>53366.764975053222</v>
          </cell>
          <cell r="AB39">
            <v>570839.8229699058</v>
          </cell>
          <cell r="AC39">
            <v>2633194</v>
          </cell>
          <cell r="AD39">
            <v>185527.265912</v>
          </cell>
          <cell r="AE39">
            <v>1981687.6088210666</v>
          </cell>
          <cell r="AF39">
            <v>2634638</v>
          </cell>
          <cell r="AG39">
            <v>242911.10670985462</v>
          </cell>
          <cell r="AH39">
            <v>2589051.7452556421</v>
          </cell>
          <cell r="AI39">
            <v>2636189</v>
          </cell>
          <cell r="AJ39">
            <v>335212.52807149838</v>
          </cell>
          <cell r="AK39">
            <v>3570581.6414350369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13251.335840089334</v>
          </cell>
          <cell r="M40">
            <v>141009.74815999996</v>
          </cell>
          <cell r="O40">
            <v>9283.8074360848859</v>
          </cell>
          <cell r="P40">
            <v>99303.309700000013</v>
          </cell>
          <cell r="R40">
            <v>7142.5826043619891</v>
          </cell>
          <cell r="S40">
            <v>76709.236539999998</v>
          </cell>
          <cell r="U40">
            <v>6563.7565002587889</v>
          </cell>
          <cell r="V40">
            <v>70006.053690000015</v>
          </cell>
          <cell r="X40">
            <v>6146.5765959707769</v>
          </cell>
          <cell r="Y40">
            <v>65895.77635</v>
          </cell>
          <cell r="AA40">
            <v>6968.0021695609976</v>
          </cell>
          <cell r="AB40">
            <v>74654.790399999983</v>
          </cell>
          <cell r="AD40">
            <v>13349.244900063428</v>
          </cell>
          <cell r="AE40">
            <v>142738.80907000005</v>
          </cell>
          <cell r="AG40">
            <v>15308.287072100778</v>
          </cell>
          <cell r="AH40">
            <v>163466.14637999999</v>
          </cell>
          <cell r="AJ40">
            <v>-19973.2168126988</v>
          </cell>
          <cell r="AK40">
            <v>-212889.94879999998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1594.221</v>
          </cell>
          <cell r="M56">
            <v>16950.120999999999</v>
          </cell>
          <cell r="N56">
            <v>11</v>
          </cell>
          <cell r="O56">
            <v>1201.4870000000001</v>
          </cell>
          <cell r="P56">
            <v>12840.136</v>
          </cell>
          <cell r="Q56">
            <v>11</v>
          </cell>
          <cell r="R56">
            <v>1295.6179999999999</v>
          </cell>
          <cell r="S56">
            <v>13876.04</v>
          </cell>
          <cell r="T56">
            <v>11</v>
          </cell>
          <cell r="U56">
            <v>11138.316000000001</v>
          </cell>
          <cell r="V56">
            <v>118962.973</v>
          </cell>
          <cell r="W56">
            <v>11</v>
          </cell>
          <cell r="X56">
            <v>6515.7879999999996</v>
          </cell>
          <cell r="Y56">
            <v>69774.789999999994</v>
          </cell>
          <cell r="Z56">
            <v>11</v>
          </cell>
          <cell r="AA56">
            <v>9688.48</v>
          </cell>
          <cell r="AB56">
            <v>103537.02899999999</v>
          </cell>
          <cell r="AC56">
            <v>11</v>
          </cell>
          <cell r="AD56">
            <v>32754.201000000001</v>
          </cell>
          <cell r="AE56">
            <v>349299.337</v>
          </cell>
          <cell r="AF56">
            <v>11</v>
          </cell>
          <cell r="AG56">
            <v>28132.030999999999</v>
          </cell>
          <cell r="AH56">
            <v>298815.52100000001</v>
          </cell>
          <cell r="AI56">
            <v>11</v>
          </cell>
          <cell r="AJ56">
            <v>11438.978999999999</v>
          </cell>
          <cell r="AK56">
            <v>121652.99400000001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2845893</v>
          </cell>
          <cell r="L57">
            <v>607028.12180053024</v>
          </cell>
          <cell r="M57">
            <v>6458365.7921649497</v>
          </cell>
          <cell r="N57">
            <v>2844772</v>
          </cell>
          <cell r="O57">
            <v>393484.47722908686</v>
          </cell>
          <cell r="P57">
            <v>4211593.9282099986</v>
          </cell>
          <cell r="Q57">
            <v>2843195</v>
          </cell>
          <cell r="R57">
            <v>305074.7358740503</v>
          </cell>
          <cell r="S57">
            <v>3267349.3328700056</v>
          </cell>
          <cell r="T57">
            <v>2841319</v>
          </cell>
          <cell r="U57">
            <v>279471.49454764527</v>
          </cell>
          <cell r="V57">
            <v>2984334.0021325452</v>
          </cell>
          <cell r="W57">
            <v>2838817</v>
          </cell>
          <cell r="X57">
            <v>263820.11699775443</v>
          </cell>
          <cell r="Y57">
            <v>2826384.6567890081</v>
          </cell>
          <cell r="Z57">
            <v>2838869</v>
          </cell>
          <cell r="AA57">
            <v>335128.55918106466</v>
          </cell>
          <cell r="AB57">
            <v>3584894.1056699823</v>
          </cell>
          <cell r="AC57">
            <v>2840302</v>
          </cell>
          <cell r="AD57">
            <v>644859.48499999987</v>
          </cell>
          <cell r="AE57">
            <v>6888092.0214599632</v>
          </cell>
          <cell r="AF57">
            <v>2842209</v>
          </cell>
          <cell r="AG57">
            <v>761398.08477998746</v>
          </cell>
          <cell r="AH57">
            <v>8115404.3144540004</v>
          </cell>
          <cell r="AI57">
            <v>2844163</v>
          </cell>
          <cell r="AJ57">
            <v>910157.82553188002</v>
          </cell>
          <cell r="AK57">
            <v>9693837.2667031176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159</v>
          </cell>
          <cell r="L58">
            <v>935</v>
          </cell>
          <cell r="M58">
            <v>9783</v>
          </cell>
          <cell r="N58">
            <v>159</v>
          </cell>
          <cell r="O58">
            <v>802</v>
          </cell>
          <cell r="P58">
            <v>8393</v>
          </cell>
          <cell r="Q58">
            <v>159</v>
          </cell>
          <cell r="R58">
            <v>895</v>
          </cell>
          <cell r="S58">
            <v>9379</v>
          </cell>
          <cell r="T58">
            <v>159</v>
          </cell>
          <cell r="U58">
            <v>869</v>
          </cell>
          <cell r="V58">
            <v>9111</v>
          </cell>
          <cell r="W58">
            <v>159</v>
          </cell>
          <cell r="X58">
            <v>696</v>
          </cell>
          <cell r="Y58">
            <v>7303</v>
          </cell>
          <cell r="Z58">
            <v>158</v>
          </cell>
          <cell r="AA58">
            <v>857</v>
          </cell>
          <cell r="AB58">
            <v>8970</v>
          </cell>
          <cell r="AC58">
            <v>160</v>
          </cell>
          <cell r="AD58">
            <v>1091</v>
          </cell>
          <cell r="AE58">
            <v>11449</v>
          </cell>
          <cell r="AF58">
            <v>161</v>
          </cell>
          <cell r="AG58">
            <v>1178</v>
          </cell>
          <cell r="AH58">
            <v>12357</v>
          </cell>
          <cell r="AI58">
            <v>160</v>
          </cell>
          <cell r="AJ58">
            <v>1349.1279999999999</v>
          </cell>
          <cell r="AK58">
            <v>14159.351999999999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12578.863840089336</v>
          </cell>
          <cell r="M60">
            <v>133821.05095999999</v>
          </cell>
          <cell r="O60">
            <v>8653.1234360848885</v>
          </cell>
          <cell r="P60">
            <v>92608.863299999997</v>
          </cell>
          <cell r="R60">
            <v>6527.9856043619893</v>
          </cell>
          <cell r="S60">
            <v>69866.168040000004</v>
          </cell>
          <cell r="U60">
            <v>6316.3855002587898</v>
          </cell>
          <cell r="V60">
            <v>67351.277090000003</v>
          </cell>
          <cell r="X60">
            <v>5952.4025959707778</v>
          </cell>
          <cell r="Y60">
            <v>63758.412049999992</v>
          </cell>
          <cell r="AA60">
            <v>6753.2521695609958</v>
          </cell>
          <cell r="AB60">
            <v>72233.342599999989</v>
          </cell>
          <cell r="AD60">
            <v>13091.68390006343</v>
          </cell>
          <cell r="AE60">
            <v>139833.09097000002</v>
          </cell>
          <cell r="AG60">
            <v>14978.350072100777</v>
          </cell>
          <cell r="AH60">
            <v>159618.64797999998</v>
          </cell>
          <cell r="AJ60">
            <v>-20310.974812698802</v>
          </cell>
          <cell r="AK60">
            <v>-216490.97529999999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  <sheetName val="MZ_2015"/>
    </sheetNames>
    <sheetDataSet>
      <sheetData sheetId="0"/>
      <sheetData sheetId="1">
        <row r="1">
          <cell r="C1" t="str">
            <v>Leden</v>
          </cell>
          <cell r="D1">
            <v>0</v>
          </cell>
          <cell r="E1" t="str">
            <v>Únor</v>
          </cell>
          <cell r="F1">
            <v>0</v>
          </cell>
          <cell r="G1" t="str">
            <v>Březen</v>
          </cell>
          <cell r="H1">
            <v>0</v>
          </cell>
          <cell r="I1" t="str">
            <v>Duben</v>
          </cell>
          <cell r="J1">
            <v>0</v>
          </cell>
          <cell r="K1" t="str">
            <v>Květen</v>
          </cell>
          <cell r="L1">
            <v>0</v>
          </cell>
          <cell r="M1" t="str">
            <v>Červen</v>
          </cell>
          <cell r="N1">
            <v>0</v>
          </cell>
          <cell r="O1" t="str">
            <v>Červenec</v>
          </cell>
          <cell r="P1">
            <v>0</v>
          </cell>
          <cell r="Q1" t="str">
            <v>Srpen</v>
          </cell>
          <cell r="R1">
            <v>0</v>
          </cell>
          <cell r="S1" t="str">
            <v>Září</v>
          </cell>
          <cell r="T1">
            <v>0</v>
          </cell>
          <cell r="U1" t="str">
            <v>Říjen</v>
          </cell>
          <cell r="V1">
            <v>0</v>
          </cell>
          <cell r="W1" t="str">
            <v>Listopad</v>
          </cell>
          <cell r="X1">
            <v>0</v>
          </cell>
          <cell r="Y1" t="str">
            <v>Prosinec</v>
          </cell>
          <cell r="Z1">
            <v>0</v>
          </cell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12362.624</v>
          </cell>
          <cell r="J9">
            <v>134786.83842000001</v>
          </cell>
          <cell r="K9">
            <v>12859.960999999999</v>
          </cell>
          <cell r="L9">
            <v>140773.57611999998</v>
          </cell>
          <cell r="M9">
            <v>11504.555</v>
          </cell>
          <cell r="N9">
            <v>125819.90699999999</v>
          </cell>
          <cell r="O9">
            <v>11642.264999999999</v>
          </cell>
          <cell r="P9">
            <v>127381.30194400001</v>
          </cell>
          <cell r="Q9">
            <v>11732.060000000001</v>
          </cell>
          <cell r="R9">
            <v>128204.65484999999</v>
          </cell>
          <cell r="S9">
            <v>11080.218000000001</v>
          </cell>
          <cell r="T9">
            <v>120551.7721038</v>
          </cell>
          <cell r="U9">
            <v>11385.984</v>
          </cell>
          <cell r="V9">
            <v>123873.95695200001</v>
          </cell>
          <cell r="W9">
            <v>10901.282999999999</v>
          </cell>
          <cell r="X9">
            <v>118731.53839560002</v>
          </cell>
          <cell r="Y9">
            <v>10522.863000000001</v>
          </cell>
          <cell r="Z9">
            <v>114450.09441600001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951</v>
          </cell>
          <cell r="J10">
            <v>9957</v>
          </cell>
          <cell r="K10">
            <v>819</v>
          </cell>
          <cell r="L10">
            <v>8570</v>
          </cell>
          <cell r="M10">
            <v>912</v>
          </cell>
          <cell r="N10">
            <v>9557</v>
          </cell>
          <cell r="O10">
            <v>884</v>
          </cell>
          <cell r="P10">
            <v>9267</v>
          </cell>
          <cell r="Q10">
            <v>713</v>
          </cell>
          <cell r="R10">
            <v>7487</v>
          </cell>
          <cell r="S10">
            <v>877</v>
          </cell>
          <cell r="T10">
            <v>9185</v>
          </cell>
          <cell r="U10">
            <v>1091</v>
          </cell>
          <cell r="V10">
            <v>11449</v>
          </cell>
          <cell r="W10">
            <v>1178</v>
          </cell>
          <cell r="X10">
            <v>12357</v>
          </cell>
          <cell r="Y10">
            <v>1349</v>
          </cell>
          <cell r="Z10">
            <v>14159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13986.095999999998</v>
          </cell>
          <cell r="J17">
            <v>151932.53561999998</v>
          </cell>
          <cell r="K17">
            <v>14309.644999999997</v>
          </cell>
          <cell r="L17">
            <v>156038.02252</v>
          </cell>
          <cell r="M17">
            <v>13031.152</v>
          </cell>
          <cell r="N17">
            <v>142219.9755</v>
          </cell>
          <cell r="O17">
            <v>12773.635999999999</v>
          </cell>
          <cell r="P17">
            <v>139303.07854400002</v>
          </cell>
          <cell r="Q17">
            <v>12639.234</v>
          </cell>
          <cell r="R17">
            <v>137829.01915000001</v>
          </cell>
          <cell r="S17">
            <v>12171.968000000003</v>
          </cell>
          <cell r="T17">
            <v>132158.2199038</v>
          </cell>
          <cell r="U17">
            <v>12734.544999999998</v>
          </cell>
          <cell r="V17">
            <v>138228.67505200004</v>
          </cell>
          <cell r="W17">
            <v>12409.220000000001</v>
          </cell>
          <cell r="X17">
            <v>134936.03679560003</v>
          </cell>
          <cell r="Y17">
            <v>12209.621000000003</v>
          </cell>
          <cell r="Z17">
            <v>132210.12091600001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672.47199999999793</v>
          </cell>
          <cell r="J22">
            <v>7188.697199999966</v>
          </cell>
          <cell r="K22">
            <v>630.68399999999747</v>
          </cell>
          <cell r="L22">
            <v>6694.4464000000153</v>
          </cell>
          <cell r="M22">
            <v>614.59699999999975</v>
          </cell>
          <cell r="N22">
            <v>6843.0684999999939</v>
          </cell>
          <cell r="O22">
            <v>247.37099999999919</v>
          </cell>
          <cell r="P22">
            <v>2654.776600000012</v>
          </cell>
          <cell r="Q22">
            <v>194.17399999999907</v>
          </cell>
          <cell r="R22">
            <v>2137.3643000000156</v>
          </cell>
          <cell r="S22">
            <v>214.75000000000182</v>
          </cell>
          <cell r="T22">
            <v>2421.4477999999945</v>
          </cell>
          <cell r="U22">
            <v>257.56099999999788</v>
          </cell>
          <cell r="V22">
            <v>2905.7181000000273</v>
          </cell>
          <cell r="W22">
            <v>329.93700000000172</v>
          </cell>
          <cell r="X22">
            <v>3847.4984000000113</v>
          </cell>
          <cell r="Y22">
            <v>337.75800000000163</v>
          </cell>
          <cell r="Z22">
            <v>3601.0265000000072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>
            <v>0</v>
          </cell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>
            <v>2.2000000000000002</v>
          </cell>
        </row>
        <row r="108">
          <cell r="AF108">
            <v>1.3</v>
          </cell>
        </row>
        <row r="109">
          <cell r="AF109">
            <v>1.8</v>
          </cell>
        </row>
        <row r="110">
          <cell r="AF110">
            <v>1.6</v>
          </cell>
        </row>
        <row r="111">
          <cell r="AF111">
            <v>1.7</v>
          </cell>
        </row>
        <row r="112">
          <cell r="AF112">
            <v>1</v>
          </cell>
        </row>
        <row r="113">
          <cell r="AF113">
            <v>4.3</v>
          </cell>
        </row>
        <row r="114">
          <cell r="AF114">
            <v>6.2</v>
          </cell>
        </row>
        <row r="115">
          <cell r="AF115">
            <v>8.1</v>
          </cell>
        </row>
        <row r="116">
          <cell r="AF116">
            <v>9.9</v>
          </cell>
        </row>
        <row r="117">
          <cell r="AF117">
            <v>12</v>
          </cell>
        </row>
        <row r="118">
          <cell r="AF118">
            <v>10.8</v>
          </cell>
        </row>
        <row r="119">
          <cell r="AF119">
            <v>8.5</v>
          </cell>
        </row>
        <row r="120">
          <cell r="AF120">
            <v>8.9</v>
          </cell>
        </row>
        <row r="121">
          <cell r="AF121">
            <v>14.2</v>
          </cell>
        </row>
        <row r="122">
          <cell r="AF122">
            <v>14.8</v>
          </cell>
        </row>
        <row r="123">
          <cell r="AF123">
            <v>8.1</v>
          </cell>
        </row>
        <row r="124">
          <cell r="AF124">
            <v>3.9</v>
          </cell>
        </row>
        <row r="125">
          <cell r="AF125">
            <v>6.4</v>
          </cell>
        </row>
        <row r="126">
          <cell r="AF126">
            <v>10.4</v>
          </cell>
        </row>
        <row r="127">
          <cell r="AF127">
            <v>12</v>
          </cell>
        </row>
        <row r="128">
          <cell r="AF128">
            <v>10</v>
          </cell>
        </row>
        <row r="129">
          <cell r="AF129">
            <v>10.6</v>
          </cell>
        </row>
        <row r="130">
          <cell r="AF130">
            <v>11.1</v>
          </cell>
        </row>
        <row r="131">
          <cell r="AF131">
            <v>14.6</v>
          </cell>
        </row>
        <row r="132">
          <cell r="AF132">
            <v>13.5</v>
          </cell>
        </row>
        <row r="133">
          <cell r="AF133">
            <v>15.5</v>
          </cell>
        </row>
        <row r="134">
          <cell r="AF134">
            <v>7.3</v>
          </cell>
        </row>
        <row r="135">
          <cell r="AF135">
            <v>7.1</v>
          </cell>
        </row>
        <row r="136">
          <cell r="AF136">
            <v>8.8000000000000007</v>
          </cell>
        </row>
        <row r="137">
          <cell r="AF137">
            <v>9.1</v>
          </cell>
        </row>
        <row r="138">
          <cell r="AF138">
            <v>8.8000000000000007</v>
          </cell>
        </row>
        <row r="139">
          <cell r="AF139">
            <v>10.199999999999999</v>
          </cell>
        </row>
        <row r="140">
          <cell r="AF140">
            <v>15.7</v>
          </cell>
        </row>
        <row r="141">
          <cell r="AF141">
            <v>18.600000000000001</v>
          </cell>
        </row>
        <row r="142">
          <cell r="AF142">
            <v>13</v>
          </cell>
        </row>
        <row r="143">
          <cell r="AF143">
            <v>12</v>
          </cell>
        </row>
        <row r="144">
          <cell r="AF144">
            <v>13.7</v>
          </cell>
        </row>
        <row r="145">
          <cell r="AF145">
            <v>13.6</v>
          </cell>
        </row>
        <row r="146">
          <cell r="AF146">
            <v>12.7</v>
          </cell>
        </row>
        <row r="147">
          <cell r="AF147">
            <v>12.1</v>
          </cell>
        </row>
        <row r="148">
          <cell r="AF148">
            <v>17</v>
          </cell>
        </row>
        <row r="149">
          <cell r="AF149">
            <v>14.5</v>
          </cell>
        </row>
        <row r="150">
          <cell r="AF150">
            <v>11.7</v>
          </cell>
        </row>
        <row r="151">
          <cell r="AF151">
            <v>11.1</v>
          </cell>
        </row>
        <row r="152">
          <cell r="AF152">
            <v>15.1</v>
          </cell>
        </row>
        <row r="153">
          <cell r="AF153">
            <v>12.1</v>
          </cell>
        </row>
        <row r="154">
          <cell r="AF154">
            <v>15</v>
          </cell>
        </row>
        <row r="155">
          <cell r="AF155">
            <v>14.2</v>
          </cell>
        </row>
        <row r="156">
          <cell r="AF156">
            <v>10</v>
          </cell>
        </row>
        <row r="157">
          <cell r="AF157">
            <v>10.3</v>
          </cell>
        </row>
        <row r="158">
          <cell r="AF158">
            <v>12</v>
          </cell>
        </row>
        <row r="159">
          <cell r="AF159">
            <v>12.2</v>
          </cell>
        </row>
        <row r="160">
          <cell r="AF160">
            <v>12.3</v>
          </cell>
        </row>
        <row r="161">
          <cell r="AF161">
            <v>14.6</v>
          </cell>
        </row>
        <row r="162">
          <cell r="AF162">
            <v>11.2</v>
          </cell>
        </row>
        <row r="163">
          <cell r="AF163">
            <v>9.6999999999999993</v>
          </cell>
        </row>
        <row r="164">
          <cell r="AF164">
            <v>11.3</v>
          </cell>
        </row>
        <row r="165">
          <cell r="AF165">
            <v>14.8</v>
          </cell>
        </row>
        <row r="166">
          <cell r="AF166">
            <v>13.9</v>
          </cell>
        </row>
        <row r="167">
          <cell r="AF167">
            <v>15.5</v>
          </cell>
        </row>
        <row r="168">
          <cell r="AF168">
            <v>18.2</v>
          </cell>
        </row>
        <row r="169">
          <cell r="AF169">
            <v>19.600000000000001</v>
          </cell>
        </row>
        <row r="170">
          <cell r="AF170">
            <v>22.1</v>
          </cell>
        </row>
        <row r="171">
          <cell r="AF171">
            <v>18.100000000000001</v>
          </cell>
        </row>
        <row r="172">
          <cell r="AF172">
            <v>19</v>
          </cell>
        </row>
        <row r="173">
          <cell r="AF173">
            <v>22</v>
          </cell>
        </row>
        <row r="174">
          <cell r="AF174">
            <v>21.1</v>
          </cell>
        </row>
        <row r="175">
          <cell r="AF175">
            <v>17.3</v>
          </cell>
        </row>
        <row r="176">
          <cell r="AF176">
            <v>13.5</v>
          </cell>
        </row>
        <row r="177">
          <cell r="AF177">
            <v>15.6</v>
          </cell>
        </row>
        <row r="178">
          <cell r="AF178">
            <v>18.399999999999999</v>
          </cell>
        </row>
        <row r="179">
          <cell r="AF179">
            <v>22.2</v>
          </cell>
        </row>
        <row r="180">
          <cell r="AF180">
            <v>21</v>
          </cell>
        </row>
        <row r="181">
          <cell r="AF181">
            <v>19.5</v>
          </cell>
        </row>
        <row r="182">
          <cell r="AF182">
            <v>16</v>
          </cell>
        </row>
        <row r="183">
          <cell r="AF183">
            <v>14.5</v>
          </cell>
        </row>
        <row r="184">
          <cell r="AF184">
            <v>12.3</v>
          </cell>
        </row>
        <row r="185">
          <cell r="AF185">
            <v>15</v>
          </cell>
        </row>
        <row r="186">
          <cell r="AF186">
            <v>11.9</v>
          </cell>
        </row>
        <row r="187">
          <cell r="AF187">
            <v>11</v>
          </cell>
        </row>
        <row r="188">
          <cell r="AF188">
            <v>12.5</v>
          </cell>
        </row>
        <row r="189">
          <cell r="AF189">
            <v>13.7</v>
          </cell>
        </row>
        <row r="190">
          <cell r="AF190">
            <v>12</v>
          </cell>
        </row>
        <row r="191">
          <cell r="AF191">
            <v>12.8</v>
          </cell>
        </row>
        <row r="192">
          <cell r="AF192">
            <v>15.3</v>
          </cell>
        </row>
        <row r="193">
          <cell r="AF193">
            <v>18.2</v>
          </cell>
        </row>
        <row r="194">
          <cell r="AF194">
            <v>17.2</v>
          </cell>
        </row>
        <row r="195">
          <cell r="AF195">
            <v>16.2</v>
          </cell>
        </row>
        <row r="196">
          <cell r="AF196">
            <v>16.8</v>
          </cell>
        </row>
        <row r="197">
          <cell r="AF197">
            <v>19.399999999999999</v>
          </cell>
        </row>
        <row r="198">
          <cell r="AF198">
            <v>21.2</v>
          </cell>
        </row>
        <row r="199">
          <cell r="AF199">
            <v>22</v>
          </cell>
        </row>
        <row r="200">
          <cell r="AF200">
            <v>23.3</v>
          </cell>
        </row>
        <row r="201">
          <cell r="AF201">
            <v>24.5</v>
          </cell>
        </row>
        <row r="202">
          <cell r="AF202">
            <v>25.8</v>
          </cell>
        </row>
        <row r="203">
          <cell r="AF203">
            <v>24</v>
          </cell>
        </row>
        <row r="204">
          <cell r="AF204">
            <v>26.5</v>
          </cell>
        </row>
        <row r="205">
          <cell r="AF205">
            <v>18.600000000000001</v>
          </cell>
        </row>
        <row r="206">
          <cell r="AF206">
            <v>14.5</v>
          </cell>
        </row>
        <row r="207">
          <cell r="AF207">
            <v>14.6</v>
          </cell>
        </row>
        <row r="208">
          <cell r="AF208">
            <v>17.7</v>
          </cell>
        </row>
        <row r="209">
          <cell r="AF209">
            <v>22</v>
          </cell>
        </row>
        <row r="210">
          <cell r="AF210">
            <v>17.399999999999999</v>
          </cell>
        </row>
        <row r="211">
          <cell r="AF211">
            <v>18.600000000000001</v>
          </cell>
        </row>
        <row r="212">
          <cell r="AF212">
            <v>19.2</v>
          </cell>
        </row>
        <row r="213">
          <cell r="AF213">
            <v>22.7</v>
          </cell>
        </row>
        <row r="214">
          <cell r="AF214">
            <v>24.1</v>
          </cell>
        </row>
        <row r="215">
          <cell r="AF215">
            <v>25.1</v>
          </cell>
        </row>
        <row r="216">
          <cell r="AF216">
            <v>25.4</v>
          </cell>
        </row>
        <row r="217">
          <cell r="AF217">
            <v>22.2</v>
          </cell>
        </row>
        <row r="218">
          <cell r="AF218">
            <v>25.3</v>
          </cell>
        </row>
        <row r="219">
          <cell r="AF219">
            <v>27.4</v>
          </cell>
        </row>
        <row r="220">
          <cell r="AF220">
            <v>22.3</v>
          </cell>
        </row>
        <row r="221">
          <cell r="AF221">
            <v>23.8</v>
          </cell>
        </row>
        <row r="222">
          <cell r="AF222">
            <v>22</v>
          </cell>
        </row>
        <row r="223">
          <cell r="AF223">
            <v>16.600000000000001</v>
          </cell>
        </row>
        <row r="224">
          <cell r="AF224">
            <v>15.6</v>
          </cell>
        </row>
        <row r="225">
          <cell r="AF225">
            <v>18.399999999999999</v>
          </cell>
        </row>
        <row r="226">
          <cell r="AF226">
            <v>15.7</v>
          </cell>
        </row>
        <row r="227">
          <cell r="AF227">
            <v>15.6</v>
          </cell>
        </row>
        <row r="228">
          <cell r="AF228">
            <v>16.3</v>
          </cell>
        </row>
        <row r="229">
          <cell r="AF229">
            <v>19.899999999999999</v>
          </cell>
        </row>
        <row r="230">
          <cell r="AF230">
            <v>18.7</v>
          </cell>
        </row>
        <row r="231">
          <cell r="AF231">
            <v>21.8</v>
          </cell>
        </row>
        <row r="232">
          <cell r="AF232">
            <v>24.3</v>
          </cell>
        </row>
        <row r="233">
          <cell r="AF233">
            <v>24</v>
          </cell>
        </row>
        <row r="234">
          <cell r="AF234">
            <v>25.8</v>
          </cell>
        </row>
        <row r="235">
          <cell r="AF235">
            <v>27.2</v>
          </cell>
        </row>
        <row r="236">
          <cell r="AF236">
            <v>27.4</v>
          </cell>
        </row>
        <row r="237">
          <cell r="AF237">
            <v>26</v>
          </cell>
        </row>
        <row r="238">
          <cell r="AF238">
            <v>25.8</v>
          </cell>
        </row>
        <row r="239">
          <cell r="AF239">
            <v>25.5</v>
          </cell>
        </row>
        <row r="240">
          <cell r="AF240">
            <v>25.1</v>
          </cell>
        </row>
        <row r="241">
          <cell r="AF241">
            <v>26.6</v>
          </cell>
        </row>
        <row r="242">
          <cell r="AF242">
            <v>27</v>
          </cell>
        </row>
        <row r="243">
          <cell r="AF243">
            <v>26.7</v>
          </cell>
        </row>
        <row r="244">
          <cell r="AF244">
            <v>20.6</v>
          </cell>
        </row>
        <row r="245">
          <cell r="AF245">
            <v>17.2</v>
          </cell>
        </row>
        <row r="246">
          <cell r="AF246">
            <v>14.8</v>
          </cell>
        </row>
        <row r="247">
          <cell r="AF247">
            <v>15.6</v>
          </cell>
        </row>
        <row r="248">
          <cell r="AF248">
            <v>16.100000000000001</v>
          </cell>
        </row>
        <row r="249">
          <cell r="AF249">
            <v>16.600000000000001</v>
          </cell>
        </row>
        <row r="250">
          <cell r="AF250">
            <v>16</v>
          </cell>
        </row>
        <row r="251">
          <cell r="AF251">
            <v>17.3</v>
          </cell>
        </row>
        <row r="252">
          <cell r="AF252">
            <v>20.399999999999999</v>
          </cell>
        </row>
        <row r="253">
          <cell r="AF253">
            <v>15.6</v>
          </cell>
        </row>
        <row r="254">
          <cell r="AF254">
            <v>17.3</v>
          </cell>
        </row>
        <row r="255">
          <cell r="AF255">
            <v>20.9</v>
          </cell>
        </row>
        <row r="256">
          <cell r="AF256">
            <v>22.9</v>
          </cell>
        </row>
        <row r="257">
          <cell r="AF257">
            <v>23.4</v>
          </cell>
        </row>
        <row r="258">
          <cell r="AF258">
            <v>24.3</v>
          </cell>
        </row>
        <row r="259">
          <cell r="AF259">
            <v>24.4</v>
          </cell>
        </row>
        <row r="260">
          <cell r="AF260">
            <v>23.5</v>
          </cell>
        </row>
        <row r="261">
          <cell r="AF261">
            <v>15.6</v>
          </cell>
        </row>
        <row r="262">
          <cell r="AF262">
            <v>16</v>
          </cell>
        </row>
        <row r="263">
          <cell r="AF263">
            <v>15</v>
          </cell>
        </row>
        <row r="264">
          <cell r="AF264">
            <v>13.8</v>
          </cell>
        </row>
        <row r="265">
          <cell r="AF265">
            <v>11.8</v>
          </cell>
        </row>
        <row r="266">
          <cell r="AF266">
            <v>10.6</v>
          </cell>
        </row>
        <row r="267">
          <cell r="AF267">
            <v>11.1</v>
          </cell>
        </row>
        <row r="268">
          <cell r="AF268">
            <v>9.9</v>
          </cell>
        </row>
        <row r="269">
          <cell r="AF269">
            <v>11.5</v>
          </cell>
        </row>
        <row r="270">
          <cell r="AF270">
            <v>13</v>
          </cell>
        </row>
        <row r="271">
          <cell r="AF271">
            <v>14.9</v>
          </cell>
        </row>
        <row r="272">
          <cell r="AF272">
            <v>17.399999999999999</v>
          </cell>
        </row>
        <row r="273">
          <cell r="AF273">
            <v>15.5</v>
          </cell>
        </row>
        <row r="274">
          <cell r="AF274">
            <v>15.6</v>
          </cell>
        </row>
        <row r="275">
          <cell r="AF275">
            <v>18.7</v>
          </cell>
        </row>
        <row r="276">
          <cell r="AF276">
            <v>20.6</v>
          </cell>
        </row>
        <row r="277">
          <cell r="AF277">
            <v>14.1</v>
          </cell>
        </row>
        <row r="278">
          <cell r="AF278">
            <v>14.7</v>
          </cell>
        </row>
        <row r="279">
          <cell r="AF279">
            <v>11.4</v>
          </cell>
        </row>
        <row r="280">
          <cell r="AF280">
            <v>10.3</v>
          </cell>
        </row>
        <row r="281">
          <cell r="AF281">
            <v>13.1</v>
          </cell>
        </row>
        <row r="282">
          <cell r="AF282">
            <v>11.5</v>
          </cell>
        </row>
        <row r="283">
          <cell r="AF283">
            <v>12.6</v>
          </cell>
        </row>
        <row r="284">
          <cell r="AF284">
            <v>13.7</v>
          </cell>
        </row>
        <row r="285">
          <cell r="AF285">
            <v>12.1</v>
          </cell>
        </row>
        <row r="286">
          <cell r="AF286">
            <v>11</v>
          </cell>
        </row>
        <row r="287">
          <cell r="AF287">
            <v>10</v>
          </cell>
        </row>
        <row r="288">
          <cell r="AF288">
            <v>9.1999999999999993</v>
          </cell>
        </row>
        <row r="289">
          <cell r="AF289">
            <v>7.6</v>
          </cell>
        </row>
        <row r="290">
          <cell r="AF290">
            <v>7.2</v>
          </cell>
        </row>
        <row r="291">
          <cell r="AF291">
            <v>9.8000000000000007</v>
          </cell>
        </row>
        <row r="292">
          <cell r="AF292">
            <v>13.1</v>
          </cell>
        </row>
        <row r="293">
          <cell r="AF293">
            <v>12.4</v>
          </cell>
        </row>
        <row r="294">
          <cell r="AF294">
            <v>12.3</v>
          </cell>
        </row>
        <row r="295">
          <cell r="AF295">
            <v>12.9</v>
          </cell>
        </row>
        <row r="296">
          <cell r="AF296">
            <v>13.4</v>
          </cell>
        </row>
        <row r="297">
          <cell r="AF297">
            <v>12.1</v>
          </cell>
        </row>
        <row r="298">
          <cell r="AF298">
            <v>10.199999999999999</v>
          </cell>
        </row>
        <row r="299">
          <cell r="AF299">
            <v>7.8</v>
          </cell>
        </row>
        <row r="300">
          <cell r="AF300">
            <v>4.4000000000000004</v>
          </cell>
        </row>
        <row r="301">
          <cell r="AF301">
            <v>2.1</v>
          </cell>
        </row>
        <row r="302">
          <cell r="AF302">
            <v>3</v>
          </cell>
        </row>
        <row r="303">
          <cell r="AF303">
            <v>6.3</v>
          </cell>
        </row>
        <row r="304">
          <cell r="AF304">
            <v>9.4</v>
          </cell>
        </row>
        <row r="305">
          <cell r="AF305">
            <v>8.4</v>
          </cell>
        </row>
        <row r="306">
          <cell r="AF306">
            <v>5.3</v>
          </cell>
        </row>
        <row r="307">
          <cell r="AF307">
            <v>5.9</v>
          </cell>
        </row>
        <row r="308">
          <cell r="AF308">
            <v>6.9</v>
          </cell>
        </row>
        <row r="309">
          <cell r="AF309">
            <v>5.9</v>
          </cell>
        </row>
        <row r="310">
          <cell r="AF310">
            <v>7.4</v>
          </cell>
        </row>
        <row r="311">
          <cell r="AF311">
            <v>7.6</v>
          </cell>
        </row>
        <row r="312">
          <cell r="AF312">
            <v>7.2</v>
          </cell>
        </row>
        <row r="313">
          <cell r="AF313">
            <v>5.8</v>
          </cell>
        </row>
        <row r="314">
          <cell r="AF314">
            <v>7.9</v>
          </cell>
        </row>
        <row r="315">
          <cell r="AF315">
            <v>8.6</v>
          </cell>
        </row>
        <row r="316">
          <cell r="AF316">
            <v>8.3000000000000007</v>
          </cell>
        </row>
        <row r="317">
          <cell r="AF317">
            <v>8.1</v>
          </cell>
        </row>
        <row r="318">
          <cell r="AF318">
            <v>7.9</v>
          </cell>
        </row>
        <row r="319">
          <cell r="AF319">
            <v>7.5</v>
          </cell>
        </row>
        <row r="320">
          <cell r="AF320">
            <v>7.8</v>
          </cell>
        </row>
        <row r="321">
          <cell r="AF321">
            <v>5.6</v>
          </cell>
        </row>
        <row r="322">
          <cell r="AF322">
            <v>3.3</v>
          </cell>
        </row>
        <row r="323">
          <cell r="AF323">
            <v>2.8</v>
          </cell>
        </row>
        <row r="324">
          <cell r="AF324">
            <v>4</v>
          </cell>
        </row>
        <row r="325">
          <cell r="AF325">
            <v>6.6</v>
          </cell>
        </row>
        <row r="326">
          <cell r="AF326">
            <v>8.3000000000000007</v>
          </cell>
        </row>
        <row r="327">
          <cell r="AF327">
            <v>11.1</v>
          </cell>
        </row>
        <row r="328">
          <cell r="AF328">
            <v>10.8</v>
          </cell>
        </row>
        <row r="329">
          <cell r="AF329">
            <v>11.6</v>
          </cell>
        </row>
        <row r="330">
          <cell r="AF330">
            <v>14</v>
          </cell>
        </row>
        <row r="331">
          <cell r="AF331">
            <v>12</v>
          </cell>
        </row>
        <row r="332">
          <cell r="AF332">
            <v>8.5</v>
          </cell>
        </row>
        <row r="333">
          <cell r="AF333">
            <v>7.3</v>
          </cell>
        </row>
        <row r="334">
          <cell r="AF334">
            <v>6.3</v>
          </cell>
        </row>
        <row r="335">
          <cell r="AF335">
            <v>9</v>
          </cell>
        </row>
        <row r="336">
          <cell r="AF336">
            <v>9.3000000000000007</v>
          </cell>
        </row>
        <row r="337">
          <cell r="AF337">
            <v>10.5</v>
          </cell>
        </row>
        <row r="338">
          <cell r="AF338">
            <v>10.8</v>
          </cell>
        </row>
        <row r="339">
          <cell r="AF339">
            <v>10.199999999999999</v>
          </cell>
        </row>
        <row r="340">
          <cell r="AF340">
            <v>5.6</v>
          </cell>
        </row>
        <row r="341">
          <cell r="AF341">
            <v>1.5</v>
          </cell>
        </row>
        <row r="342">
          <cell r="AF342">
            <v>0</v>
          </cell>
        </row>
        <row r="343">
          <cell r="AF343">
            <v>-0.9</v>
          </cell>
        </row>
        <row r="344">
          <cell r="AF344">
            <v>-1.8</v>
          </cell>
        </row>
        <row r="345">
          <cell r="AF345">
            <v>-0.6</v>
          </cell>
        </row>
        <row r="346">
          <cell r="AF346">
            <v>1.1000000000000001</v>
          </cell>
        </row>
        <row r="347">
          <cell r="AF347">
            <v>0.8</v>
          </cell>
        </row>
        <row r="348">
          <cell r="AF348">
            <v>1</v>
          </cell>
        </row>
        <row r="349">
          <cell r="AF349">
            <v>3.2</v>
          </cell>
        </row>
        <row r="350">
          <cell r="AF350">
            <v>6.4</v>
          </cell>
        </row>
        <row r="351">
          <cell r="AF351">
            <v>6.4</v>
          </cell>
        </row>
        <row r="352">
          <cell r="AF352">
            <v>7</v>
          </cell>
        </row>
        <row r="353">
          <cell r="AF353">
            <v>4</v>
          </cell>
        </row>
        <row r="354">
          <cell r="AF354">
            <v>3.9</v>
          </cell>
        </row>
        <row r="355">
          <cell r="AF355">
            <v>4.9000000000000004</v>
          </cell>
        </row>
        <row r="356">
          <cell r="AF356">
            <v>3.3</v>
          </cell>
        </row>
        <row r="357">
          <cell r="AF357">
            <v>3.6</v>
          </cell>
        </row>
        <row r="358">
          <cell r="AF358">
            <v>2</v>
          </cell>
        </row>
        <row r="359">
          <cell r="AF359">
            <v>2.8</v>
          </cell>
        </row>
        <row r="360">
          <cell r="AF360">
            <v>0.6</v>
          </cell>
        </row>
        <row r="361">
          <cell r="AF361">
            <v>0.9</v>
          </cell>
        </row>
        <row r="362">
          <cell r="AF362">
            <v>3.7</v>
          </cell>
        </row>
        <row r="363">
          <cell r="AF363">
            <v>4.3</v>
          </cell>
        </row>
        <row r="364">
          <cell r="AF364">
            <v>1.4</v>
          </cell>
        </row>
        <row r="365">
          <cell r="AF365">
            <v>2.9</v>
          </cell>
        </row>
        <row r="366">
          <cell r="AF366">
            <v>2.9</v>
          </cell>
        </row>
        <row r="367">
          <cell r="AF367">
            <v>4.4000000000000004</v>
          </cell>
        </row>
        <row r="368">
          <cell r="AF368">
            <v>5.0999999999999996</v>
          </cell>
        </row>
        <row r="369">
          <cell r="AF369">
            <v>4.8</v>
          </cell>
        </row>
        <row r="370">
          <cell r="AF370">
            <v>2.6</v>
          </cell>
        </row>
        <row r="371">
          <cell r="AF371">
            <v>3.4</v>
          </cell>
        </row>
        <row r="372">
          <cell r="AF372">
            <v>7.4</v>
          </cell>
        </row>
        <row r="373">
          <cell r="AF373">
            <v>6.5</v>
          </cell>
        </row>
        <row r="374">
          <cell r="AF374">
            <v>4.2</v>
          </cell>
        </row>
        <row r="375">
          <cell r="AF375">
            <v>5.5</v>
          </cell>
        </row>
        <row r="376">
          <cell r="AF376">
            <v>6.2</v>
          </cell>
        </row>
        <row r="377">
          <cell r="AF377">
            <v>3.7</v>
          </cell>
        </row>
        <row r="378">
          <cell r="AF378">
            <v>4.5</v>
          </cell>
        </row>
        <row r="379">
          <cell r="AF379">
            <v>2.2999999999999998</v>
          </cell>
        </row>
        <row r="380">
          <cell r="AF380">
            <v>-1.7</v>
          </cell>
        </row>
        <row r="381">
          <cell r="AF381">
            <v>-3.9</v>
          </cell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>
            <v>7.6833333333333345</v>
          </cell>
          <cell r="T3">
            <v>14.9</v>
          </cell>
          <cell r="U3">
            <v>0.3</v>
          </cell>
          <cell r="V3">
            <v>7.0999999999999961</v>
          </cell>
          <cell r="W3">
            <v>0.58333333333333837</v>
          </cell>
          <cell r="X3">
            <v>12.290322580645162</v>
          </cell>
          <cell r="Y3">
            <v>19.3</v>
          </cell>
          <cell r="Z3">
            <v>7.8</v>
          </cell>
          <cell r="AA3">
            <v>12.5</v>
          </cell>
          <cell r="AB3">
            <v>-0.20967741935483808</v>
          </cell>
          <cell r="AC3">
            <v>15.96</v>
          </cell>
          <cell r="AD3">
            <v>21.8</v>
          </cell>
          <cell r="AE3">
            <v>9.8000000000000007</v>
          </cell>
          <cell r="AF3">
            <v>15.399999999999993</v>
          </cell>
          <cell r="AG3">
            <v>0.5600000000000076</v>
          </cell>
          <cell r="AH3">
            <v>20.309677419354838</v>
          </cell>
          <cell r="AI3">
            <v>27</v>
          </cell>
          <cell r="AJ3">
            <v>13.4</v>
          </cell>
          <cell r="AK3">
            <v>17.199999999999996</v>
          </cell>
          <cell r="AL3">
            <v>3.109677419354842</v>
          </cell>
          <cell r="AM3">
            <v>20.890322580645162</v>
          </cell>
          <cell r="AN3">
            <v>26.5</v>
          </cell>
          <cell r="AO3">
            <v>14.1</v>
          </cell>
          <cell r="AP3">
            <v>16.899999999999991</v>
          </cell>
          <cell r="AQ3">
            <v>3.9903225806451701</v>
          </cell>
          <cell r="AR3">
            <v>12.48</v>
          </cell>
          <cell r="AS3">
            <v>23.9</v>
          </cell>
          <cell r="AT3">
            <v>7.1</v>
          </cell>
          <cell r="AU3">
            <v>12.600000000000003</v>
          </cell>
          <cell r="AV3">
            <v>-0.12000000000000277</v>
          </cell>
          <cell r="AW3">
            <v>7.6741935483870991</v>
          </cell>
          <cell r="AX3">
            <v>12.7</v>
          </cell>
          <cell r="AY3">
            <v>2</v>
          </cell>
          <cell r="AZ3">
            <v>7.5</v>
          </cell>
          <cell r="BA3">
            <v>0.17419354838709911</v>
          </cell>
          <cell r="BB3">
            <v>5.8166666666666682</v>
          </cell>
          <cell r="BC3">
            <v>13.9</v>
          </cell>
          <cell r="BD3">
            <v>-2</v>
          </cell>
          <cell r="BE3">
            <v>2.2999999999999985</v>
          </cell>
          <cell r="BF3">
            <v>3.5166666666666697</v>
          </cell>
          <cell r="BG3">
            <v>3.8645161290322569</v>
          </cell>
          <cell r="BH3">
            <v>7.5</v>
          </cell>
          <cell r="BI3">
            <v>-3.4</v>
          </cell>
          <cell r="BJ3">
            <v>-0.5</v>
          </cell>
          <cell r="BK3">
            <v>4.3645161290322569</v>
          </cell>
          <cell r="BL3">
            <v>9.3605479452054912</v>
          </cell>
          <cell r="BM3">
            <v>27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>
            <v>9.7566666666666659</v>
          </cell>
          <cell r="T4">
            <v>18.100000000000001</v>
          </cell>
          <cell r="U4">
            <v>2.6</v>
          </cell>
          <cell r="V4">
            <v>8.9000000000000021</v>
          </cell>
          <cell r="W4">
            <v>0.8566666666666638</v>
          </cell>
          <cell r="X4">
            <v>14.245161290322583</v>
          </cell>
          <cell r="Y4">
            <v>19.600000000000001</v>
          </cell>
          <cell r="Z4">
            <v>10.199999999999999</v>
          </cell>
          <cell r="AA4">
            <v>14.199999999999992</v>
          </cell>
          <cell r="AB4">
            <v>4.5161290322591086E-2</v>
          </cell>
          <cell r="AC4">
            <v>18.576666666666664</v>
          </cell>
          <cell r="AD4">
            <v>25</v>
          </cell>
          <cell r="AE4">
            <v>13</v>
          </cell>
          <cell r="AF4">
            <v>17</v>
          </cell>
          <cell r="AG4">
            <v>1.5766666666666644</v>
          </cell>
          <cell r="AH4">
            <v>22.409677419354839</v>
          </cell>
          <cell r="AI4">
            <v>28.9</v>
          </cell>
          <cell r="AJ4">
            <v>15.9</v>
          </cell>
          <cell r="AK4">
            <v>18.899999999999988</v>
          </cell>
          <cell r="AL4">
            <v>3.5096774193548512</v>
          </cell>
          <cell r="AM4">
            <v>22.945161290322584</v>
          </cell>
          <cell r="AN4">
            <v>28.7</v>
          </cell>
          <cell r="AO4">
            <v>15.7</v>
          </cell>
          <cell r="AP4">
            <v>18.7</v>
          </cell>
          <cell r="AQ4">
            <v>4.245161290322585</v>
          </cell>
          <cell r="AR4">
            <v>15.356666666666666</v>
          </cell>
          <cell r="AS4">
            <v>24.1</v>
          </cell>
          <cell r="AT4">
            <v>9.4</v>
          </cell>
          <cell r="AU4">
            <v>14.199999999999992</v>
          </cell>
          <cell r="AV4">
            <v>1.1566666666666734</v>
          </cell>
          <cell r="AW4">
            <v>9.1516129032258071</v>
          </cell>
          <cell r="AX4">
            <v>15.2</v>
          </cell>
          <cell r="AY4">
            <v>2.6</v>
          </cell>
          <cell r="AZ4">
            <v>8.9</v>
          </cell>
          <cell r="BA4">
            <v>0.25161290322580676</v>
          </cell>
          <cell r="BB4">
            <v>6.2366666666666672</v>
          </cell>
          <cell r="BC4">
            <v>15.6</v>
          </cell>
          <cell r="BD4">
            <v>-0.7</v>
          </cell>
          <cell r="BE4">
            <v>3.2000000000000015</v>
          </cell>
          <cell r="BF4">
            <v>3.0366666666666657</v>
          </cell>
          <cell r="BG4">
            <v>2.8096774193548391</v>
          </cell>
          <cell r="BH4">
            <v>8.1999999999999993</v>
          </cell>
          <cell r="BI4">
            <v>-3.7</v>
          </cell>
          <cell r="BJ4">
            <v>-0.20000000000000009</v>
          </cell>
          <cell r="BK4">
            <v>3.0096774193548392</v>
          </cell>
          <cell r="BL4">
            <v>10.88328767123288</v>
          </cell>
          <cell r="BM4">
            <v>28.9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>
            <v>6.3466666666666658</v>
          </cell>
          <cell r="T5">
            <v>12.9</v>
          </cell>
          <cell r="U5">
            <v>-0.2</v>
          </cell>
          <cell r="V5">
            <v>6.5</v>
          </cell>
          <cell r="W5">
            <v>-0.15333333333333421</v>
          </cell>
          <cell r="X5">
            <v>11.351612903225805</v>
          </cell>
          <cell r="Y5">
            <v>17.5</v>
          </cell>
          <cell r="Z5">
            <v>7.1</v>
          </cell>
          <cell r="AA5">
            <v>11.800000000000006</v>
          </cell>
          <cell r="AB5">
            <v>-0.44838709677420141</v>
          </cell>
          <cell r="AC5">
            <v>14.506666666666664</v>
          </cell>
          <cell r="AD5">
            <v>22.8</v>
          </cell>
          <cell r="AE5">
            <v>8.6999999999999993</v>
          </cell>
          <cell r="AF5">
            <v>14.600000000000007</v>
          </cell>
          <cell r="AG5">
            <v>-9.3333333333342594E-2</v>
          </cell>
          <cell r="AH5">
            <v>18.341935483870976</v>
          </cell>
          <cell r="AI5">
            <v>25.3</v>
          </cell>
          <cell r="AJ5">
            <v>11.2</v>
          </cell>
          <cell r="AK5">
            <v>16.5</v>
          </cell>
          <cell r="AL5">
            <v>1.8419354838709765</v>
          </cell>
          <cell r="AM5">
            <v>19.422580645161286</v>
          </cell>
          <cell r="AN5">
            <v>25.5</v>
          </cell>
          <cell r="AO5">
            <v>12.2</v>
          </cell>
          <cell r="AP5">
            <v>16.100000000000009</v>
          </cell>
          <cell r="AQ5">
            <v>3.3225806451612776</v>
          </cell>
          <cell r="AR5">
            <v>10.866666666666667</v>
          </cell>
          <cell r="AS5">
            <v>18.8</v>
          </cell>
          <cell r="AT5">
            <v>7.2</v>
          </cell>
          <cell r="AU5">
            <v>11.800000000000006</v>
          </cell>
          <cell r="AV5">
            <v>-0.9333333333333389</v>
          </cell>
          <cell r="AW5">
            <v>6.5612903225806463</v>
          </cell>
          <cell r="AX5">
            <v>12.6</v>
          </cell>
          <cell r="AY5">
            <v>0.6</v>
          </cell>
          <cell r="AZ5">
            <v>7</v>
          </cell>
          <cell r="BA5">
            <v>-0.43870967741935374</v>
          </cell>
          <cell r="BB5">
            <v>5.21</v>
          </cell>
          <cell r="BC5">
            <v>13</v>
          </cell>
          <cell r="BD5">
            <v>-2.2999999999999998</v>
          </cell>
          <cell r="BE5">
            <v>1.7999999999999992</v>
          </cell>
          <cell r="BF5">
            <v>3.410000000000001</v>
          </cell>
          <cell r="BG5">
            <v>3.8419354838709681</v>
          </cell>
          <cell r="BH5">
            <v>8.4</v>
          </cell>
          <cell r="BI5">
            <v>-4.0999999999999996</v>
          </cell>
          <cell r="BJ5">
            <v>-0.80000000000000038</v>
          </cell>
          <cell r="BK5">
            <v>4.6419354838709683</v>
          </cell>
          <cell r="BL5">
            <v>8.2572602739726122</v>
          </cell>
          <cell r="BM5">
            <v>25.5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>
            <v>7.7266666666666657</v>
          </cell>
          <cell r="T6">
            <v>16.100000000000001</v>
          </cell>
          <cell r="U6">
            <v>0.7</v>
          </cell>
          <cell r="V6">
            <v>7</v>
          </cell>
          <cell r="W6">
            <v>0.72666666666666568</v>
          </cell>
          <cell r="X6">
            <v>12.383870967741936</v>
          </cell>
          <cell r="Y6">
            <v>18.5</v>
          </cell>
          <cell r="Z6">
            <v>8.6999999999999993</v>
          </cell>
          <cell r="AA6">
            <v>12.600000000000005</v>
          </cell>
          <cell r="AB6">
            <v>-0.21612903225806868</v>
          </cell>
          <cell r="AC6">
            <v>15.796666666666663</v>
          </cell>
          <cell r="AD6">
            <v>21.7</v>
          </cell>
          <cell r="AE6">
            <v>10.6</v>
          </cell>
          <cell r="AF6">
            <v>15.199999999999992</v>
          </cell>
          <cell r="AG6">
            <v>0.59666666666667112</v>
          </cell>
          <cell r="AH6">
            <v>19.783870967741937</v>
          </cell>
          <cell r="AI6">
            <v>26.8</v>
          </cell>
          <cell r="AJ6">
            <v>12.1</v>
          </cell>
          <cell r="AK6">
            <v>16.899999999999991</v>
          </cell>
          <cell r="AL6">
            <v>2.8838709677419452</v>
          </cell>
          <cell r="AM6">
            <v>21.56451612903226</v>
          </cell>
          <cell r="AN6">
            <v>27.7</v>
          </cell>
          <cell r="AO6">
            <v>14.8</v>
          </cell>
          <cell r="AP6">
            <v>16.899999999999991</v>
          </cell>
          <cell r="AQ6">
            <v>4.6645161290322683</v>
          </cell>
          <cell r="AR6">
            <v>13.473333333333334</v>
          </cell>
          <cell r="AS6">
            <v>24.1</v>
          </cell>
          <cell r="AT6">
            <v>7.5</v>
          </cell>
          <cell r="AU6">
            <v>12.600000000000003</v>
          </cell>
          <cell r="AV6">
            <v>0.8733333333333313</v>
          </cell>
          <cell r="AW6">
            <v>8.1258064516129025</v>
          </cell>
          <cell r="AX6">
            <v>13.9</v>
          </cell>
          <cell r="AY6">
            <v>1.7</v>
          </cell>
          <cell r="AZ6">
            <v>7.8000000000000043</v>
          </cell>
          <cell r="BA6">
            <v>0.32580645161289823</v>
          </cell>
          <cell r="BB6">
            <v>5.28</v>
          </cell>
          <cell r="BC6">
            <v>13.1</v>
          </cell>
          <cell r="BD6">
            <v>-1.5</v>
          </cell>
          <cell r="BE6">
            <v>2.5</v>
          </cell>
          <cell r="BF6">
            <v>2.7800000000000002</v>
          </cell>
          <cell r="BG6">
            <v>3.5193548387096776</v>
          </cell>
          <cell r="BH6">
            <v>7.9</v>
          </cell>
          <cell r="BI6">
            <v>-4</v>
          </cell>
          <cell r="BJ6">
            <v>-0.60000000000000009</v>
          </cell>
          <cell r="BK6">
            <v>4.1193548387096772</v>
          </cell>
          <cell r="BL6">
            <v>9.4657534246575334</v>
          </cell>
          <cell r="BM6">
            <v>27.7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>
            <v>7.3400000000000007</v>
          </cell>
          <cell r="T7">
            <v>15.2</v>
          </cell>
          <cell r="U7">
            <v>0.3</v>
          </cell>
          <cell r="V7">
            <v>6.9000000000000039</v>
          </cell>
          <cell r="W7">
            <v>0.43999999999999684</v>
          </cell>
          <cell r="X7">
            <v>12.074193548387095</v>
          </cell>
          <cell r="Y7">
            <v>18.600000000000001</v>
          </cell>
          <cell r="Z7">
            <v>7.9</v>
          </cell>
          <cell r="AA7">
            <v>12.399999999999995</v>
          </cell>
          <cell r="AB7">
            <v>-0.32580645161290001</v>
          </cell>
          <cell r="AC7">
            <v>15.219999999999997</v>
          </cell>
          <cell r="AD7">
            <v>22.4</v>
          </cell>
          <cell r="AE7">
            <v>10</v>
          </cell>
          <cell r="AF7">
            <v>15.100000000000007</v>
          </cell>
          <cell r="AG7">
            <v>0.11999999999999034</v>
          </cell>
          <cell r="AH7">
            <v>19.216129032258067</v>
          </cell>
          <cell r="AI7">
            <v>26</v>
          </cell>
          <cell r="AJ7">
            <v>11.6</v>
          </cell>
          <cell r="AK7">
            <v>16.600000000000009</v>
          </cell>
          <cell r="AL7">
            <v>2.6161290322580584</v>
          </cell>
          <cell r="AM7">
            <v>21.07096774193549</v>
          </cell>
          <cell r="AN7">
            <v>28.1</v>
          </cell>
          <cell r="AO7">
            <v>14.3</v>
          </cell>
          <cell r="AP7">
            <v>16.300000000000008</v>
          </cell>
          <cell r="AQ7">
            <v>4.7709677419354826</v>
          </cell>
          <cell r="AR7">
            <v>12.686666666666666</v>
          </cell>
          <cell r="AS7">
            <v>22.7</v>
          </cell>
          <cell r="AT7">
            <v>5.7</v>
          </cell>
          <cell r="AU7">
            <v>12.300000000000006</v>
          </cell>
          <cell r="AV7">
            <v>0.38666666666665961</v>
          </cell>
          <cell r="AW7">
            <v>7.91290322580645</v>
          </cell>
          <cell r="AX7">
            <v>14.1</v>
          </cell>
          <cell r="AY7">
            <v>1.2</v>
          </cell>
          <cell r="AZ7">
            <v>7.8000000000000043</v>
          </cell>
          <cell r="BA7">
            <v>0.11290322580644574</v>
          </cell>
          <cell r="BB7">
            <v>5.7566666666666668</v>
          </cell>
          <cell r="BC7">
            <v>13.7</v>
          </cell>
          <cell r="BD7">
            <v>-1.3</v>
          </cell>
          <cell r="BE7">
            <v>2.7000000000000015</v>
          </cell>
          <cell r="BF7">
            <v>3.0566666666666653</v>
          </cell>
          <cell r="BG7">
            <v>4.2290322580645157</v>
          </cell>
          <cell r="BH7">
            <v>7.9</v>
          </cell>
          <cell r="BI7">
            <v>-2.2999999999999998</v>
          </cell>
          <cell r="BJ7">
            <v>-0.20000000000000009</v>
          </cell>
          <cell r="BK7">
            <v>4.4290322580645158</v>
          </cell>
          <cell r="BL7">
            <v>9.3180821917808085</v>
          </cell>
          <cell r="BM7">
            <v>28.1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>
            <v>8.4366666666666656</v>
          </cell>
          <cell r="T8">
            <v>17.7</v>
          </cell>
          <cell r="U8">
            <v>0.7</v>
          </cell>
          <cell r="V8">
            <v>7.3000000000000034</v>
          </cell>
          <cell r="W8">
            <v>1.1366666666666623</v>
          </cell>
          <cell r="X8">
            <v>12.732258064516129</v>
          </cell>
          <cell r="Y8">
            <v>19.3</v>
          </cell>
          <cell r="Z8">
            <v>9</v>
          </cell>
          <cell r="AA8">
            <v>12.699999999999994</v>
          </cell>
          <cell r="AB8">
            <v>3.2258064516135221E-2</v>
          </cell>
          <cell r="AC8">
            <v>16.75333333333333</v>
          </cell>
          <cell r="AD8">
            <v>24.6</v>
          </cell>
          <cell r="AE8">
            <v>11.5</v>
          </cell>
          <cell r="AF8">
            <v>15.5</v>
          </cell>
          <cell r="AG8">
            <v>1.2533333333333303</v>
          </cell>
          <cell r="AH8">
            <v>20.677419354838712</v>
          </cell>
          <cell r="AI8">
            <v>26.6</v>
          </cell>
          <cell r="AJ8">
            <v>13.5</v>
          </cell>
          <cell r="AK8">
            <v>17.199999999999996</v>
          </cell>
          <cell r="AL8">
            <v>3.477419354838716</v>
          </cell>
          <cell r="AM8">
            <v>21.551612903225806</v>
          </cell>
          <cell r="AN8">
            <v>28</v>
          </cell>
          <cell r="AO8">
            <v>15.4</v>
          </cell>
          <cell r="AP8">
            <v>16.899999999999991</v>
          </cell>
          <cell r="AQ8">
            <v>4.6516129032258142</v>
          </cell>
          <cell r="AR8">
            <v>14.50333333333333</v>
          </cell>
          <cell r="AS8">
            <v>25.3</v>
          </cell>
          <cell r="AT8">
            <v>7.5</v>
          </cell>
          <cell r="AU8">
            <v>12.699999999999994</v>
          </cell>
          <cell r="AV8">
            <v>1.8033333333333363</v>
          </cell>
          <cell r="AW8">
            <v>8.0193548387096794</v>
          </cell>
          <cell r="AX8">
            <v>15.1</v>
          </cell>
          <cell r="AY8">
            <v>1.3</v>
          </cell>
          <cell r="AZ8">
            <v>8.1999999999999957</v>
          </cell>
          <cell r="BA8">
            <v>-0.18064516129031638</v>
          </cell>
          <cell r="BB8">
            <v>6.2033333333333331</v>
          </cell>
          <cell r="BC8">
            <v>13.9</v>
          </cell>
          <cell r="BD8">
            <v>-1.5</v>
          </cell>
          <cell r="BE8">
            <v>2.7000000000000015</v>
          </cell>
          <cell r="BF8">
            <v>3.5033333333333316</v>
          </cell>
          <cell r="BG8">
            <v>3.725806451612903</v>
          </cell>
          <cell r="BH8">
            <v>8.6</v>
          </cell>
          <cell r="BI8">
            <v>-5.8</v>
          </cell>
          <cell r="BJ8">
            <v>-0.5</v>
          </cell>
          <cell r="BK8">
            <v>4.225806451612903</v>
          </cell>
          <cell r="BL8">
            <v>9.9487671232876771</v>
          </cell>
          <cell r="BM8">
            <v>28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>
            <v>8.1666666666666661</v>
          </cell>
          <cell r="T9">
            <v>16.600000000000001</v>
          </cell>
          <cell r="U9">
            <v>0.7</v>
          </cell>
          <cell r="V9">
            <v>6.9000000000000039</v>
          </cell>
          <cell r="W9">
            <v>1.2666666666666622</v>
          </cell>
          <cell r="X9">
            <v>12.467741935483875</v>
          </cell>
          <cell r="Y9">
            <v>17.899999999999999</v>
          </cell>
          <cell r="Z9">
            <v>8.9</v>
          </cell>
          <cell r="AA9">
            <v>12.199999999999994</v>
          </cell>
          <cell r="AB9">
            <v>0.26774193548388148</v>
          </cell>
          <cell r="AC9">
            <v>16.343333333333337</v>
          </cell>
          <cell r="AD9">
            <v>22.5</v>
          </cell>
          <cell r="AE9">
            <v>11.3</v>
          </cell>
          <cell r="AF9">
            <v>14.899999999999993</v>
          </cell>
          <cell r="AG9">
            <v>1.443333333333344</v>
          </cell>
          <cell r="AH9">
            <v>20.264516129032259</v>
          </cell>
          <cell r="AI9">
            <v>26.6</v>
          </cell>
          <cell r="AJ9">
            <v>13.1</v>
          </cell>
          <cell r="AK9">
            <v>16.699999999999996</v>
          </cell>
          <cell r="AL9">
            <v>3.5645161290322633</v>
          </cell>
          <cell r="AM9">
            <v>21.680645161290318</v>
          </cell>
          <cell r="AN9">
            <v>27.4</v>
          </cell>
          <cell r="AO9">
            <v>15.9</v>
          </cell>
          <cell r="AP9">
            <v>16.600000000000009</v>
          </cell>
          <cell r="AQ9">
            <v>5.0806451612903096</v>
          </cell>
          <cell r="AR9">
            <v>14.01</v>
          </cell>
          <cell r="AS9">
            <v>23.8</v>
          </cell>
          <cell r="AT9">
            <v>7.6</v>
          </cell>
          <cell r="AU9">
            <v>12.5</v>
          </cell>
          <cell r="AV9">
            <v>1.5099999999999998</v>
          </cell>
          <cell r="AW9">
            <v>8.0129032258064523</v>
          </cell>
          <cell r="AX9">
            <v>14</v>
          </cell>
          <cell r="AY9">
            <v>1.4</v>
          </cell>
          <cell r="AZ9">
            <v>7.6999999999999957</v>
          </cell>
          <cell r="BA9">
            <v>0.31290322580645658</v>
          </cell>
          <cell r="BB9">
            <v>5.3200000000000012</v>
          </cell>
          <cell r="BC9">
            <v>13.3</v>
          </cell>
          <cell r="BD9">
            <v>-1.6</v>
          </cell>
          <cell r="BE9">
            <v>2.100000000000001</v>
          </cell>
          <cell r="BF9">
            <v>3.22</v>
          </cell>
          <cell r="BG9">
            <v>2.7903225806451615</v>
          </cell>
          <cell r="BH9">
            <v>7.5</v>
          </cell>
          <cell r="BI9">
            <v>-4.5999999999999996</v>
          </cell>
          <cell r="BJ9">
            <v>-1.1000000000000005</v>
          </cell>
          <cell r="BK9">
            <v>3.890322580645162</v>
          </cell>
          <cell r="BL9">
            <v>9.5476712328767057</v>
          </cell>
          <cell r="BM9">
            <v>27.4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>
            <v>7.9133333333333331</v>
          </cell>
          <cell r="T10">
            <v>16.2</v>
          </cell>
          <cell r="U10">
            <v>0.5</v>
          </cell>
          <cell r="V10">
            <v>7.9000000000000039</v>
          </cell>
          <cell r="W10">
            <v>1.33333333333292E-2</v>
          </cell>
          <cell r="X10">
            <v>12.387096774193546</v>
          </cell>
          <cell r="Y10">
            <v>18</v>
          </cell>
          <cell r="Z10">
            <v>8.3000000000000007</v>
          </cell>
          <cell r="AA10">
            <v>13.300000000000008</v>
          </cell>
          <cell r="AB10">
            <v>-0.91290322580646155</v>
          </cell>
          <cell r="AC10">
            <v>16.233333333333334</v>
          </cell>
          <cell r="AD10">
            <v>22.4</v>
          </cell>
          <cell r="AE10">
            <v>10.199999999999999</v>
          </cell>
          <cell r="AF10">
            <v>16.199999999999992</v>
          </cell>
          <cell r="AG10">
            <v>3.3333333333342097E-2</v>
          </cell>
          <cell r="AH10">
            <v>20.280645161290323</v>
          </cell>
          <cell r="AI10">
            <v>27</v>
          </cell>
          <cell r="AJ10">
            <v>12.8</v>
          </cell>
          <cell r="AK10">
            <v>17.7</v>
          </cell>
          <cell r="AL10">
            <v>2.5806451612903238</v>
          </cell>
          <cell r="AM10">
            <v>21.490322580645163</v>
          </cell>
          <cell r="AN10">
            <v>27.6</v>
          </cell>
          <cell r="AO10">
            <v>14.3</v>
          </cell>
          <cell r="AP10">
            <v>17.5</v>
          </cell>
          <cell r="AQ10">
            <v>3.990322580645163</v>
          </cell>
          <cell r="AR10">
            <v>13.446666666666667</v>
          </cell>
          <cell r="AS10">
            <v>23.8</v>
          </cell>
          <cell r="AT10">
            <v>6.6</v>
          </cell>
          <cell r="AU10">
            <v>13.300000000000008</v>
          </cell>
          <cell r="AV10">
            <v>0.1466666666666594</v>
          </cell>
          <cell r="AW10">
            <v>8.1000000000000014</v>
          </cell>
          <cell r="AX10">
            <v>13.9</v>
          </cell>
          <cell r="AY10">
            <v>1.4</v>
          </cell>
          <cell r="AZ10">
            <v>8.4000000000000021</v>
          </cell>
          <cell r="BA10">
            <v>-0.30000000000000071</v>
          </cell>
          <cell r="BB10">
            <v>5.5933333333333328</v>
          </cell>
          <cell r="BC10">
            <v>13.8</v>
          </cell>
          <cell r="BD10">
            <v>-1.9</v>
          </cell>
          <cell r="BE10">
            <v>3</v>
          </cell>
          <cell r="BF10">
            <v>2.5933333333333328</v>
          </cell>
          <cell r="BG10">
            <v>3.5870967741935491</v>
          </cell>
          <cell r="BH10">
            <v>8.6</v>
          </cell>
          <cell r="BI10">
            <v>-4</v>
          </cell>
          <cell r="BJ10">
            <v>0.10000000000000005</v>
          </cell>
          <cell r="BK10">
            <v>3.487096774193549</v>
          </cell>
          <cell r="BL10">
            <v>9.606575342465753</v>
          </cell>
          <cell r="BM10">
            <v>27.6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>
            <v>8.0433333333333312</v>
          </cell>
          <cell r="T11">
            <v>15</v>
          </cell>
          <cell r="U11">
            <v>1.1000000000000001</v>
          </cell>
          <cell r="V11">
            <v>7.1999999999999966</v>
          </cell>
          <cell r="W11">
            <v>0.8433333333333346</v>
          </cell>
          <cell r="X11">
            <v>12.816129032258068</v>
          </cell>
          <cell r="Y11">
            <v>18.7</v>
          </cell>
          <cell r="Z11">
            <v>8.3000000000000007</v>
          </cell>
          <cell r="AA11">
            <v>12.699999999999994</v>
          </cell>
          <cell r="AB11">
            <v>0.11612903225807436</v>
          </cell>
          <cell r="AC11">
            <v>16.226666666666667</v>
          </cell>
          <cell r="AD11">
            <v>23.3</v>
          </cell>
          <cell r="AE11">
            <v>10.7</v>
          </cell>
          <cell r="AF11">
            <v>15.600000000000007</v>
          </cell>
          <cell r="AG11">
            <v>0.62666666666665982</v>
          </cell>
          <cell r="AH11">
            <v>20.835483870967746</v>
          </cell>
          <cell r="AI11">
            <v>27</v>
          </cell>
          <cell r="AJ11">
            <v>14.1</v>
          </cell>
          <cell r="AK11">
            <v>17.5</v>
          </cell>
          <cell r="AL11">
            <v>3.3354838709677459</v>
          </cell>
          <cell r="AM11">
            <v>21.590322580645168</v>
          </cell>
          <cell r="AN11">
            <v>27.8</v>
          </cell>
          <cell r="AO11">
            <v>14.9</v>
          </cell>
          <cell r="AP11">
            <v>17</v>
          </cell>
          <cell r="AQ11">
            <v>4.590322580645168</v>
          </cell>
          <cell r="AR11">
            <v>12.940000000000003</v>
          </cell>
          <cell r="AS11">
            <v>22.6</v>
          </cell>
          <cell r="AT11">
            <v>8.8000000000000007</v>
          </cell>
          <cell r="AU11">
            <v>12.800000000000006</v>
          </cell>
          <cell r="AV11">
            <v>0.13999999999999702</v>
          </cell>
          <cell r="AW11">
            <v>7.9290322580645158</v>
          </cell>
          <cell r="AX11">
            <v>13.5</v>
          </cell>
          <cell r="AY11">
            <v>1.7</v>
          </cell>
          <cell r="AZ11">
            <v>7.6999999999999957</v>
          </cell>
          <cell r="BA11">
            <v>0.2290322580645201</v>
          </cell>
          <cell r="BB11">
            <v>6.1799999999999988</v>
          </cell>
          <cell r="BC11">
            <v>13.8</v>
          </cell>
          <cell r="BD11">
            <v>-1.3</v>
          </cell>
          <cell r="BE11">
            <v>2.5999999999999996</v>
          </cell>
          <cell r="BF11">
            <v>3.5799999999999992</v>
          </cell>
          <cell r="BG11">
            <v>4.661290322580645</v>
          </cell>
          <cell r="BH11">
            <v>9.1999999999999993</v>
          </cell>
          <cell r="BI11">
            <v>-3.2</v>
          </cell>
          <cell r="BJ11">
            <v>-0.10000000000000005</v>
          </cell>
          <cell r="BK11">
            <v>4.7612903225806447</v>
          </cell>
          <cell r="BL11">
            <v>9.8224657534246589</v>
          </cell>
          <cell r="BM11">
            <v>27.8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>
            <v>9.7066666666666706</v>
          </cell>
          <cell r="T12">
            <v>17.3</v>
          </cell>
          <cell r="U12">
            <v>2.1</v>
          </cell>
          <cell r="V12">
            <v>8.6999999999999957</v>
          </cell>
          <cell r="W12">
            <v>1.0066666666666748</v>
          </cell>
          <cell r="X12">
            <v>14.616129032258067</v>
          </cell>
          <cell r="Y12">
            <v>20.9</v>
          </cell>
          <cell r="Z12">
            <v>10</v>
          </cell>
          <cell r="AA12">
            <v>14</v>
          </cell>
          <cell r="AB12">
            <v>0.61612903225806726</v>
          </cell>
          <cell r="AC12">
            <v>17.789999999999996</v>
          </cell>
          <cell r="AD12">
            <v>25.4</v>
          </cell>
          <cell r="AE12">
            <v>11.5</v>
          </cell>
          <cell r="AF12">
            <v>16.800000000000008</v>
          </cell>
          <cell r="AG12">
            <v>0.98999999999998778</v>
          </cell>
          <cell r="AH12">
            <v>22.396774193548382</v>
          </cell>
          <cell r="AI12">
            <v>30</v>
          </cell>
          <cell r="AJ12">
            <v>16</v>
          </cell>
          <cell r="AK12">
            <v>18.7</v>
          </cell>
          <cell r="AL12">
            <v>3.6967741935483822</v>
          </cell>
          <cell r="AM12">
            <v>23.674193548387098</v>
          </cell>
          <cell r="AN12">
            <v>30.8</v>
          </cell>
          <cell r="AO12">
            <v>15.6</v>
          </cell>
          <cell r="AP12">
            <v>18.5</v>
          </cell>
          <cell r="AQ12">
            <v>5.1741935483870982</v>
          </cell>
          <cell r="AR12">
            <v>15.140000000000004</v>
          </cell>
          <cell r="AS12">
            <v>25.1</v>
          </cell>
          <cell r="AT12">
            <v>10.199999999999999</v>
          </cell>
          <cell r="AU12">
            <v>14.100000000000005</v>
          </cell>
          <cell r="AV12">
            <v>1.0399999999999991</v>
          </cell>
          <cell r="AW12">
            <v>9.4806451612903224</v>
          </cell>
          <cell r="AX12">
            <v>14.7</v>
          </cell>
          <cell r="AY12">
            <v>3.4</v>
          </cell>
          <cell r="AZ12">
            <v>9</v>
          </cell>
          <cell r="BA12">
            <v>0.48064516129032242</v>
          </cell>
          <cell r="BB12">
            <v>7.8</v>
          </cell>
          <cell r="BC12">
            <v>15.1</v>
          </cell>
          <cell r="BD12">
            <v>0</v>
          </cell>
          <cell r="BE12">
            <v>3.700000000000002</v>
          </cell>
          <cell r="BF12">
            <v>4.0999999999999979</v>
          </cell>
          <cell r="BG12">
            <v>6.2677419354838699</v>
          </cell>
          <cell r="BH12">
            <v>11</v>
          </cell>
          <cell r="BI12">
            <v>-0.9</v>
          </cell>
          <cell r="BJ12">
            <v>1.1000000000000005</v>
          </cell>
          <cell r="BK12">
            <v>5.1677419354838694</v>
          </cell>
          <cell r="BL12">
            <v>11.541643835616442</v>
          </cell>
          <cell r="BM12">
            <v>30.8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>
            <v>8.5900000000000016</v>
          </cell>
          <cell r="T13">
            <v>15.6</v>
          </cell>
          <cell r="U13">
            <v>1.5</v>
          </cell>
          <cell r="V13">
            <v>8.5</v>
          </cell>
          <cell r="W13">
            <v>9.0000000000001634E-2</v>
          </cell>
          <cell r="X13">
            <v>13.296774193548389</v>
          </cell>
          <cell r="Y13">
            <v>19.5</v>
          </cell>
          <cell r="Z13">
            <v>9.5</v>
          </cell>
          <cell r="AA13">
            <v>13.800000000000008</v>
          </cell>
          <cell r="AB13">
            <v>-0.50322580645161885</v>
          </cell>
          <cell r="AC13">
            <v>16.649999999999999</v>
          </cell>
          <cell r="AD13">
            <v>22.9</v>
          </cell>
          <cell r="AE13">
            <v>11.5</v>
          </cell>
          <cell r="AF13">
            <v>16.600000000000009</v>
          </cell>
          <cell r="AG13">
            <v>4.9999999999990052E-2</v>
          </cell>
          <cell r="AH13">
            <v>20.916129032258066</v>
          </cell>
          <cell r="AI13">
            <v>28.2</v>
          </cell>
          <cell r="AJ13">
            <v>14.4</v>
          </cell>
          <cell r="AK13">
            <v>18.3</v>
          </cell>
          <cell r="AL13">
            <v>2.6161290322580655</v>
          </cell>
          <cell r="AM13">
            <v>22.151612903225807</v>
          </cell>
          <cell r="AN13">
            <v>29.4</v>
          </cell>
          <cell r="AO13">
            <v>14.7</v>
          </cell>
          <cell r="AP13">
            <v>18.100000000000009</v>
          </cell>
          <cell r="AQ13">
            <v>4.0516129032257986</v>
          </cell>
          <cell r="AR13">
            <v>13.836666666666666</v>
          </cell>
          <cell r="AS13">
            <v>24.4</v>
          </cell>
          <cell r="AT13">
            <v>8</v>
          </cell>
          <cell r="AU13">
            <v>13.699999999999992</v>
          </cell>
          <cell r="AV13">
            <v>0.13666666666667382</v>
          </cell>
          <cell r="AW13">
            <v>8.4677419354838683</v>
          </cell>
          <cell r="AX13">
            <v>13.9</v>
          </cell>
          <cell r="AY13">
            <v>2.5</v>
          </cell>
          <cell r="AZ13">
            <v>8.6999999999999957</v>
          </cell>
          <cell r="BA13">
            <v>-0.2322580645161274</v>
          </cell>
          <cell r="BB13">
            <v>6.74</v>
          </cell>
          <cell r="BC13">
            <v>14.5</v>
          </cell>
          <cell r="BD13">
            <v>-1.1000000000000001</v>
          </cell>
          <cell r="BE13">
            <v>3.5</v>
          </cell>
          <cell r="BF13">
            <v>3.24</v>
          </cell>
          <cell r="BG13">
            <v>5.1096774193548375</v>
          </cell>
          <cell r="BH13">
            <v>9.8000000000000007</v>
          </cell>
          <cell r="BI13">
            <v>-2.2999999999999998</v>
          </cell>
          <cell r="BJ13">
            <v>0.69999999999999962</v>
          </cell>
          <cell r="BK13">
            <v>4.4096774193548383</v>
          </cell>
          <cell r="BL13">
            <v>10.365479452054798</v>
          </cell>
          <cell r="BM13">
            <v>29.4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>
            <v>8.5266666666666655</v>
          </cell>
          <cell r="T14">
            <v>15.8</v>
          </cell>
          <cell r="U14">
            <v>1.4</v>
          </cell>
          <cell r="V14">
            <v>8.5</v>
          </cell>
          <cell r="W14">
            <v>2.6666666666665506E-2</v>
          </cell>
          <cell r="X14">
            <v>13.174193548387098</v>
          </cell>
          <cell r="Y14">
            <v>18.5</v>
          </cell>
          <cell r="Z14">
            <v>9.4</v>
          </cell>
          <cell r="AA14">
            <v>13.899999999999993</v>
          </cell>
          <cell r="AB14">
            <v>-0.72580645161289503</v>
          </cell>
          <cell r="AC14">
            <v>16.096666666666671</v>
          </cell>
          <cell r="AD14">
            <v>23.5</v>
          </cell>
          <cell r="AE14">
            <v>11.3</v>
          </cell>
          <cell r="AF14">
            <v>16.699999999999992</v>
          </cell>
          <cell r="AG14">
            <v>-0.60333333333332106</v>
          </cell>
          <cell r="AH14">
            <v>20.225806451612907</v>
          </cell>
          <cell r="AI14">
            <v>26.2</v>
          </cell>
          <cell r="AJ14">
            <v>13.6</v>
          </cell>
          <cell r="AK14">
            <v>18.5</v>
          </cell>
          <cell r="AL14">
            <v>1.7258064516129075</v>
          </cell>
          <cell r="AM14">
            <v>21.635483870967743</v>
          </cell>
          <cell r="AN14">
            <v>28.2</v>
          </cell>
          <cell r="AO14">
            <v>14.9</v>
          </cell>
          <cell r="AP14">
            <v>18</v>
          </cell>
          <cell r="AQ14">
            <v>3.6354838709677431</v>
          </cell>
          <cell r="AR14">
            <v>13.263333333333334</v>
          </cell>
          <cell r="AS14">
            <v>22.6</v>
          </cell>
          <cell r="AT14">
            <v>8.1999999999999993</v>
          </cell>
          <cell r="AU14">
            <v>13.699999999999992</v>
          </cell>
          <cell r="AV14">
            <v>-0.43666666666665854</v>
          </cell>
          <cell r="AW14">
            <v>8.3451612903225829</v>
          </cell>
          <cell r="AX14">
            <v>13.9</v>
          </cell>
          <cell r="AY14">
            <v>2.6</v>
          </cell>
          <cell r="AZ14">
            <v>8.5999999999999979</v>
          </cell>
          <cell r="BA14">
            <v>-0.25483870967741495</v>
          </cell>
          <cell r="BB14">
            <v>6.6466666666666665</v>
          </cell>
          <cell r="BC14">
            <v>15</v>
          </cell>
          <cell r="BD14">
            <v>-1</v>
          </cell>
          <cell r="BE14">
            <v>3.5</v>
          </cell>
          <cell r="BF14">
            <v>3.1466666666666665</v>
          </cell>
          <cell r="BG14">
            <v>4.8193548387096774</v>
          </cell>
          <cell r="BH14">
            <v>9.6999999999999993</v>
          </cell>
          <cell r="BI14">
            <v>-2.2999999999999998</v>
          </cell>
          <cell r="BJ14">
            <v>0.89999999999999947</v>
          </cell>
          <cell r="BK14">
            <v>3.9193548387096779</v>
          </cell>
          <cell r="BL14">
            <v>10.097260273972603</v>
          </cell>
          <cell r="BM14">
            <v>28.2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>
            <v>7.5200000000000005</v>
          </cell>
          <cell r="T15">
            <v>15.2</v>
          </cell>
          <cell r="U15">
            <v>0.2</v>
          </cell>
          <cell r="V15">
            <v>6.9000000000000039</v>
          </cell>
          <cell r="W15">
            <v>0.61999999999999655</v>
          </cell>
          <cell r="X15">
            <v>12.122580645161293</v>
          </cell>
          <cell r="Y15">
            <v>17.5</v>
          </cell>
          <cell r="Z15">
            <v>7.8</v>
          </cell>
          <cell r="AA15">
            <v>12.399999999999995</v>
          </cell>
          <cell r="AB15">
            <v>-0.2774193548387025</v>
          </cell>
          <cell r="AC15">
            <v>16.24666666666667</v>
          </cell>
          <cell r="AD15">
            <v>22.2</v>
          </cell>
          <cell r="AE15">
            <v>9.9</v>
          </cell>
          <cell r="AF15">
            <v>15.199999999999992</v>
          </cell>
          <cell r="AG15">
            <v>1.0466666666666775</v>
          </cell>
          <cell r="AH15">
            <v>20.380645161290328</v>
          </cell>
          <cell r="AI15">
            <v>27.6</v>
          </cell>
          <cell r="AJ15">
            <v>13.1</v>
          </cell>
          <cell r="AK15">
            <v>17</v>
          </cell>
          <cell r="AL15">
            <v>3.3806451612903281</v>
          </cell>
          <cell r="AM15">
            <v>21.112903225806448</v>
          </cell>
          <cell r="AN15">
            <v>27.7</v>
          </cell>
          <cell r="AO15">
            <v>13.7</v>
          </cell>
          <cell r="AP15">
            <v>16.699999999999996</v>
          </cell>
          <cell r="AQ15">
            <v>4.4129032258064527</v>
          </cell>
          <cell r="AR15">
            <v>12.82666666666667</v>
          </cell>
          <cell r="AS15">
            <v>24.2</v>
          </cell>
          <cell r="AT15">
            <v>6.7</v>
          </cell>
          <cell r="AU15">
            <v>12.399999999999997</v>
          </cell>
          <cell r="AV15">
            <v>0.42666666666667297</v>
          </cell>
          <cell r="AW15">
            <v>7.7258064516129039</v>
          </cell>
          <cell r="AX15">
            <v>13</v>
          </cell>
          <cell r="AY15">
            <v>1.6</v>
          </cell>
          <cell r="AZ15">
            <v>7.4000000000000039</v>
          </cell>
          <cell r="BA15">
            <v>0.32580645161290001</v>
          </cell>
          <cell r="BB15">
            <v>5.3866666666666676</v>
          </cell>
          <cell r="BC15">
            <v>13.3</v>
          </cell>
          <cell r="BD15">
            <v>-2.6</v>
          </cell>
          <cell r="BE15">
            <v>1.899999999999999</v>
          </cell>
          <cell r="BF15">
            <v>3.4866666666666686</v>
          </cell>
          <cell r="BG15">
            <v>3.1193548387096772</v>
          </cell>
          <cell r="BH15">
            <v>6.9</v>
          </cell>
          <cell r="BI15">
            <v>-4.7</v>
          </cell>
          <cell r="BJ15">
            <v>-1.2000000000000002</v>
          </cell>
          <cell r="BK15">
            <v>4.3193548387096774</v>
          </cell>
          <cell r="BL15">
            <v>9.261369863013698</v>
          </cell>
          <cell r="BM15">
            <v>27.7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>
            <v>8.0300000000000011</v>
          </cell>
          <cell r="T16">
            <v>17.2</v>
          </cell>
          <cell r="U16">
            <v>0.6</v>
          </cell>
          <cell r="V16">
            <v>8.5</v>
          </cell>
          <cell r="W16">
            <v>-0.46999999999999886</v>
          </cell>
          <cell r="X16">
            <v>12.729032258064516</v>
          </cell>
          <cell r="Y16">
            <v>18.600000000000001</v>
          </cell>
          <cell r="Z16">
            <v>8.8000000000000007</v>
          </cell>
          <cell r="AA16">
            <v>13.800000000000008</v>
          </cell>
          <cell r="AB16">
            <v>-1.0709677419354922</v>
          </cell>
          <cell r="AC16">
            <v>16.886666666666663</v>
          </cell>
          <cell r="AD16">
            <v>23.5</v>
          </cell>
          <cell r="AE16">
            <v>11.1</v>
          </cell>
          <cell r="AF16">
            <v>16.5</v>
          </cell>
          <cell r="AG16">
            <v>0.38666666666666316</v>
          </cell>
          <cell r="AH16">
            <v>20.63548387096774</v>
          </cell>
          <cell r="AI16">
            <v>26.8</v>
          </cell>
          <cell r="AJ16">
            <v>13.7</v>
          </cell>
          <cell r="AK16">
            <v>18.2</v>
          </cell>
          <cell r="AL16">
            <v>2.4354838709677402</v>
          </cell>
          <cell r="AM16">
            <v>21.422580645161286</v>
          </cell>
          <cell r="AN16">
            <v>26.8</v>
          </cell>
          <cell r="AO16">
            <v>15.4</v>
          </cell>
          <cell r="AP16">
            <v>17.899999999999991</v>
          </cell>
          <cell r="AQ16">
            <v>3.5225806451612947</v>
          </cell>
          <cell r="AR16">
            <v>14.053333333333333</v>
          </cell>
          <cell r="AS16">
            <v>24.6</v>
          </cell>
          <cell r="AT16">
            <v>6.6</v>
          </cell>
          <cell r="AU16">
            <v>13.699999999999992</v>
          </cell>
          <cell r="AV16">
            <v>0.3533333333333406</v>
          </cell>
          <cell r="AW16">
            <v>8.2935483870967737</v>
          </cell>
          <cell r="AX16">
            <v>14.6</v>
          </cell>
          <cell r="AY16">
            <v>1.8</v>
          </cell>
          <cell r="AZ16">
            <v>8.8000000000000043</v>
          </cell>
          <cell r="BA16">
            <v>-0.5064516129032306</v>
          </cell>
          <cell r="BB16">
            <v>5.3366666666666642</v>
          </cell>
          <cell r="BC16">
            <v>13.1</v>
          </cell>
          <cell r="BD16">
            <v>-2.5</v>
          </cell>
          <cell r="BE16">
            <v>3.299999999999998</v>
          </cell>
          <cell r="BF16">
            <v>2.0366666666666662</v>
          </cell>
          <cell r="BG16">
            <v>2.564516129032258</v>
          </cell>
          <cell r="BH16">
            <v>6.8</v>
          </cell>
          <cell r="BI16">
            <v>-5</v>
          </cell>
          <cell r="BJ16">
            <v>-0.10000000000000005</v>
          </cell>
          <cell r="BK16">
            <v>2.6645161290322581</v>
          </cell>
          <cell r="BL16">
            <v>9.6117808219178116</v>
          </cell>
          <cell r="BM16">
            <v>26.8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>
            <v>8.2200000000000006</v>
          </cell>
          <cell r="T17">
            <v>15.5</v>
          </cell>
          <cell r="U17">
            <v>1</v>
          </cell>
          <cell r="V17">
            <v>7.5500000000000007</v>
          </cell>
          <cell r="W17">
            <v>0.66999999999999993</v>
          </cell>
          <cell r="X17">
            <v>12.838709677419352</v>
          </cell>
          <cell r="Y17">
            <v>18.600000000000001</v>
          </cell>
          <cell r="Z17">
            <v>8.8000000000000007</v>
          </cell>
          <cell r="AA17">
            <v>12.95483870967742</v>
          </cell>
          <cell r="AB17">
            <v>-0.11612903225806726</v>
          </cell>
          <cell r="AC17">
            <v>16.746666666666666</v>
          </cell>
          <cell r="AD17">
            <v>22.2</v>
          </cell>
          <cell r="AE17">
            <v>11</v>
          </cell>
          <cell r="AF17">
            <v>15.81</v>
          </cell>
          <cell r="AG17">
            <v>0.93666666666666565</v>
          </cell>
          <cell r="AH17">
            <v>20.916129032258063</v>
          </cell>
          <cell r="AI17">
            <v>27.4</v>
          </cell>
          <cell r="AJ17">
            <v>14.5</v>
          </cell>
          <cell r="AK17">
            <v>17.525806451612908</v>
          </cell>
          <cell r="AL17">
            <v>3.3903225806451545</v>
          </cell>
          <cell r="AM17">
            <v>21.78064516129032</v>
          </cell>
          <cell r="AN17">
            <v>27.4</v>
          </cell>
          <cell r="AO17">
            <v>14.8</v>
          </cell>
          <cell r="AP17">
            <v>17.219354838709684</v>
          </cell>
          <cell r="AQ17">
            <v>4.5612903225806356</v>
          </cell>
          <cell r="AR17">
            <v>13.526666666666667</v>
          </cell>
          <cell r="AS17">
            <v>23.5</v>
          </cell>
          <cell r="AT17">
            <v>7.6</v>
          </cell>
          <cell r="AU17">
            <v>13.010000000000002</v>
          </cell>
          <cell r="AV17">
            <v>0.51666666666666572</v>
          </cell>
          <cell r="AW17">
            <v>8.1580645161290342</v>
          </cell>
          <cell r="AX17">
            <v>13.4</v>
          </cell>
          <cell r="AY17">
            <v>2.1</v>
          </cell>
          <cell r="AZ17">
            <v>7.9935483870967738</v>
          </cell>
          <cell r="BA17">
            <v>0.16451612903226032</v>
          </cell>
          <cell r="BB17">
            <v>5.9433333333333325</v>
          </cell>
          <cell r="BC17">
            <v>14</v>
          </cell>
          <cell r="BD17">
            <v>-1.8</v>
          </cell>
          <cell r="BE17">
            <v>2.6366666666666658</v>
          </cell>
          <cell r="BF17">
            <v>3.3066666666666666</v>
          </cell>
          <cell r="BG17">
            <v>3.5354838709677412</v>
          </cell>
          <cell r="BH17">
            <v>7.4</v>
          </cell>
          <cell r="BI17">
            <v>-3.9</v>
          </cell>
          <cell r="BJ17">
            <v>-0.43548387096774194</v>
          </cell>
          <cell r="BK17">
            <v>3.9709677419354832</v>
          </cell>
          <cell r="BL17">
            <v>9.8498630136986378</v>
          </cell>
          <cell r="BM17">
            <v>27.4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9.0233333333333334</v>
          </cell>
          <cell r="T21">
            <v>16.100000000000001</v>
          </cell>
          <cell r="U21">
            <v>1.7</v>
          </cell>
          <cell r="V21">
            <v>8.6999999999999957</v>
          </cell>
          <cell r="W21">
            <v>0.32333333333333769</v>
          </cell>
          <cell r="X21">
            <v>14.145161290322582</v>
          </cell>
          <cell r="Y21">
            <v>19.600000000000001</v>
          </cell>
          <cell r="Z21">
            <v>9.6999999999999993</v>
          </cell>
          <cell r="AA21">
            <v>14</v>
          </cell>
          <cell r="AB21">
            <v>0.14516129032258185</v>
          </cell>
          <cell r="AC21">
            <v>17.34</v>
          </cell>
          <cell r="AD21">
            <v>23.1</v>
          </cell>
          <cell r="AE21">
            <v>11.9</v>
          </cell>
          <cell r="AF21">
            <v>16.800000000000008</v>
          </cell>
          <cell r="AG21">
            <v>0.53999999999999204</v>
          </cell>
          <cell r="AH21">
            <v>21.9</v>
          </cell>
          <cell r="AI21">
            <v>28.5</v>
          </cell>
          <cell r="AJ21">
            <v>14.6</v>
          </cell>
          <cell r="AK21">
            <v>18.7</v>
          </cell>
          <cell r="AL21">
            <v>3.1999999999999993</v>
          </cell>
          <cell r="AM21">
            <v>23.054838709677423</v>
          </cell>
          <cell r="AN21">
            <v>30.5</v>
          </cell>
          <cell r="AO21">
            <v>14.9</v>
          </cell>
          <cell r="AP21">
            <v>18.5</v>
          </cell>
          <cell r="AQ21">
            <v>4.5548387096774228</v>
          </cell>
          <cell r="AR21">
            <v>14.2</v>
          </cell>
          <cell r="AS21">
            <v>24.5</v>
          </cell>
          <cell r="AT21">
            <v>8.4</v>
          </cell>
          <cell r="AU21">
            <v>14.100000000000005</v>
          </cell>
          <cell r="AV21">
            <v>9.9999999999994316E-2</v>
          </cell>
          <cell r="AW21">
            <v>8.9161290322580644</v>
          </cell>
          <cell r="AX21">
            <v>14.8</v>
          </cell>
          <cell r="AY21">
            <v>2.7</v>
          </cell>
          <cell r="AZ21">
            <v>9</v>
          </cell>
          <cell r="BA21">
            <v>-8.3870967741935587E-2</v>
          </cell>
          <cell r="BB21">
            <v>7.1433333333333344</v>
          </cell>
          <cell r="BC21">
            <v>15.1</v>
          </cell>
          <cell r="BD21">
            <v>-0.3</v>
          </cell>
          <cell r="BE21">
            <v>3.700000000000002</v>
          </cell>
          <cell r="BF21">
            <v>3.4433333333333325</v>
          </cell>
          <cell r="BG21">
            <v>5.3774193548387101</v>
          </cell>
          <cell r="BH21">
            <v>11.8</v>
          </cell>
          <cell r="BI21">
            <v>-1.2</v>
          </cell>
          <cell r="BJ21">
            <v>1.1000000000000005</v>
          </cell>
          <cell r="BK21">
            <v>4.2774193548387096</v>
          </cell>
          <cell r="BL21">
            <v>10.878142076502725</v>
          </cell>
          <cell r="BM21">
            <v>30.5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>
            <v>8.2616666666666667</v>
          </cell>
          <cell r="T22">
            <v>15.533333333333333</v>
          </cell>
          <cell r="U22">
            <v>1.1499999999999999</v>
          </cell>
          <cell r="V22">
            <v>7.6166666666666689</v>
          </cell>
          <cell r="W22">
            <v>0.6449999999999978</v>
          </cell>
          <cell r="X22">
            <v>12.883870967741936</v>
          </cell>
          <cell r="Y22">
            <v>18.633333333333336</v>
          </cell>
          <cell r="Z22">
            <v>8.9166666666666661</v>
          </cell>
          <cell r="AA22">
            <v>13.016666666666657</v>
          </cell>
          <cell r="AB22">
            <v>-0.13279569892472054</v>
          </cell>
          <cell r="AC22">
            <v>16.729999999999997</v>
          </cell>
          <cell r="AD22">
            <v>22.216666666666669</v>
          </cell>
          <cell r="AE22">
            <v>11.200000000000001</v>
          </cell>
          <cell r="AF22">
            <v>15.800000000000008</v>
          </cell>
          <cell r="AG22">
            <v>0.92999999999998906</v>
          </cell>
          <cell r="AH22">
            <v>20.8994623655914</v>
          </cell>
          <cell r="AI22">
            <v>27.316666666666674</v>
          </cell>
          <cell r="AJ22">
            <v>14.566666666666665</v>
          </cell>
          <cell r="AK22">
            <v>17.583333333333329</v>
          </cell>
          <cell r="AL22">
            <v>3.3161290322580719</v>
          </cell>
          <cell r="AM22">
            <v>21.795698924731187</v>
          </cell>
          <cell r="AN22">
            <v>27.433333333333326</v>
          </cell>
          <cell r="AO22">
            <v>14.899999999999999</v>
          </cell>
          <cell r="AP22">
            <v>17.31666666666667</v>
          </cell>
          <cell r="AQ22">
            <v>4.4790322580645174</v>
          </cell>
          <cell r="AR22">
            <v>13.571111111111115</v>
          </cell>
          <cell r="AS22">
            <v>23.333333333333332</v>
          </cell>
          <cell r="AT22">
            <v>7.6166666666666663</v>
          </cell>
          <cell r="AU22">
            <v>13.033333333333342</v>
          </cell>
          <cell r="AV22">
            <v>0.53777777777777303</v>
          </cell>
          <cell r="AW22">
            <v>8.1956989247311842</v>
          </cell>
          <cell r="AX22">
            <v>13.5</v>
          </cell>
          <cell r="AY22">
            <v>2.15</v>
          </cell>
          <cell r="AZ22">
            <v>8.1500000000000039</v>
          </cell>
          <cell r="BA22">
            <v>4.5698924731180313E-2</v>
          </cell>
          <cell r="BB22">
            <v>5.9911111111111115</v>
          </cell>
          <cell r="BC22">
            <v>14.033333333333337</v>
          </cell>
          <cell r="BD22">
            <v>-1.7166666666666666</v>
          </cell>
          <cell r="BE22">
            <v>2.833333333333333</v>
          </cell>
          <cell r="BF22">
            <v>3.1577777777777785</v>
          </cell>
          <cell r="BG22">
            <v>3.6451612903225805</v>
          </cell>
          <cell r="BH22">
            <v>7.5166666666666657</v>
          </cell>
          <cell r="BI22">
            <v>-3.7833333333333337</v>
          </cell>
          <cell r="BJ22">
            <v>-0.10000000000000005</v>
          </cell>
          <cell r="BK22">
            <v>3.7451612903225806</v>
          </cell>
          <cell r="BL22">
            <v>9.8628415300546504</v>
          </cell>
          <cell r="BM22">
            <v>27.433333333333326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7.5866666666666651</v>
          </cell>
          <cell r="T23">
            <v>14.8</v>
          </cell>
          <cell r="U23">
            <v>0.1</v>
          </cell>
          <cell r="V23">
            <v>7</v>
          </cell>
          <cell r="W23">
            <v>0.58666666666666512</v>
          </cell>
          <cell r="X23">
            <v>12.3258064516129</v>
          </cell>
          <cell r="Y23">
            <v>18.600000000000001</v>
          </cell>
          <cell r="Z23">
            <v>8.1</v>
          </cell>
          <cell r="AA23">
            <v>12.399999999999995</v>
          </cell>
          <cell r="AB23">
            <v>-7.4193548387095021E-2</v>
          </cell>
          <cell r="AC23">
            <v>16.190000000000001</v>
          </cell>
          <cell r="AD23">
            <v>22</v>
          </cell>
          <cell r="AE23">
            <v>10</v>
          </cell>
          <cell r="AF23">
            <v>15.300000000000008</v>
          </cell>
          <cell r="AG23">
            <v>0.88999999999999346</v>
          </cell>
          <cell r="AH23">
            <v>20.499999999999993</v>
          </cell>
          <cell r="AI23">
            <v>27.5</v>
          </cell>
          <cell r="AJ23">
            <v>13.3</v>
          </cell>
          <cell r="AK23">
            <v>17.100000000000009</v>
          </cell>
          <cell r="AL23">
            <v>3.3999999999999844</v>
          </cell>
          <cell r="AM23">
            <v>21.183870967741935</v>
          </cell>
          <cell r="AN23">
            <v>27.4</v>
          </cell>
          <cell r="AO23">
            <v>14</v>
          </cell>
          <cell r="AP23">
            <v>16.800000000000004</v>
          </cell>
          <cell r="AQ23">
            <v>4.383870967741931</v>
          </cell>
          <cell r="AR23">
            <v>12.703333333333331</v>
          </cell>
          <cell r="AS23">
            <v>24.3</v>
          </cell>
          <cell r="AT23">
            <v>6.9</v>
          </cell>
          <cell r="AU23">
            <v>12.5</v>
          </cell>
          <cell r="AV23">
            <v>0.20333333333333137</v>
          </cell>
          <cell r="AW23">
            <v>7.7161290322580642</v>
          </cell>
          <cell r="AX23">
            <v>13</v>
          </cell>
          <cell r="AY23">
            <v>1.7</v>
          </cell>
          <cell r="AZ23">
            <v>7.5</v>
          </cell>
          <cell r="BA23">
            <v>0.21612903225806424</v>
          </cell>
          <cell r="BB23">
            <v>5.6566666666666681</v>
          </cell>
          <cell r="BC23">
            <v>13.7</v>
          </cell>
          <cell r="BD23">
            <v>-2.6</v>
          </cell>
          <cell r="BE23">
            <v>2.2000000000000011</v>
          </cell>
          <cell r="BF23">
            <v>3.456666666666667</v>
          </cell>
          <cell r="BG23">
            <v>3.5677419354838702</v>
          </cell>
          <cell r="BH23">
            <v>7.2</v>
          </cell>
          <cell r="BI23">
            <v>-4.4000000000000004</v>
          </cell>
          <cell r="BJ23">
            <v>-0.69999999999999962</v>
          </cell>
          <cell r="BK23">
            <v>4.2677419354838699</v>
          </cell>
          <cell r="BL23">
            <v>9.3418032786885252</v>
          </cell>
          <cell r="BM23">
            <v>27.5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>
            <v>8.2200000000000006</v>
          </cell>
          <cell r="T24">
            <v>15.5</v>
          </cell>
          <cell r="U24">
            <v>1</v>
          </cell>
          <cell r="V24">
            <v>7.5500000000000007</v>
          </cell>
          <cell r="W24">
            <v>0.66999999999999993</v>
          </cell>
          <cell r="X24">
            <v>12.838709677419352</v>
          </cell>
          <cell r="Y24">
            <v>18.600000000000001</v>
          </cell>
          <cell r="Z24">
            <v>8.8000000000000007</v>
          </cell>
          <cell r="AA24">
            <v>12.95483870967742</v>
          </cell>
          <cell r="AB24">
            <v>-0.11612903225806726</v>
          </cell>
          <cell r="AC24">
            <v>16.746666666666666</v>
          </cell>
          <cell r="AD24">
            <v>22.2</v>
          </cell>
          <cell r="AE24">
            <v>11</v>
          </cell>
          <cell r="AF24">
            <v>15.81</v>
          </cell>
          <cell r="AG24">
            <v>0.93666666666666565</v>
          </cell>
          <cell r="AH24">
            <v>20.916129032258063</v>
          </cell>
          <cell r="AI24">
            <v>27.4</v>
          </cell>
          <cell r="AJ24">
            <v>14.5</v>
          </cell>
          <cell r="AK24">
            <v>17.525806451612908</v>
          </cell>
          <cell r="AL24">
            <v>3.3903225806451545</v>
          </cell>
          <cell r="AM24">
            <v>21.78064516129032</v>
          </cell>
          <cell r="AN24">
            <v>27.4</v>
          </cell>
          <cell r="AO24">
            <v>14.8</v>
          </cell>
          <cell r="AP24">
            <v>17.219354838709684</v>
          </cell>
          <cell r="AQ24">
            <v>4.5612903225806356</v>
          </cell>
          <cell r="AR24">
            <v>13.526666666666667</v>
          </cell>
          <cell r="AS24">
            <v>23.5</v>
          </cell>
          <cell r="AT24">
            <v>7.6</v>
          </cell>
          <cell r="AU24">
            <v>13.010000000000002</v>
          </cell>
          <cell r="AV24">
            <v>0.51666666666666572</v>
          </cell>
          <cell r="AW24">
            <v>8.1580645161290342</v>
          </cell>
          <cell r="AX24">
            <v>13.4</v>
          </cell>
          <cell r="AY24">
            <v>2.1</v>
          </cell>
          <cell r="AZ24">
            <v>7.9935483870967738</v>
          </cell>
          <cell r="BA24">
            <v>0.16451612903226032</v>
          </cell>
          <cell r="BB24">
            <v>5.9433333333333325</v>
          </cell>
          <cell r="BC24">
            <v>14</v>
          </cell>
          <cell r="BD24">
            <v>-1.8</v>
          </cell>
          <cell r="BE24">
            <v>2.6366666666666658</v>
          </cell>
          <cell r="BF24">
            <v>3.3066666666666666</v>
          </cell>
          <cell r="BG24">
            <v>3.5354838709677412</v>
          </cell>
          <cell r="BH24">
            <v>7.4</v>
          </cell>
          <cell r="BI24">
            <v>-3.9</v>
          </cell>
          <cell r="BJ24">
            <v>-0.43548387096774194</v>
          </cell>
          <cell r="BK24">
            <v>3.9709677419354832</v>
          </cell>
          <cell r="BL24">
            <v>9.8498630136986378</v>
          </cell>
          <cell r="BM24">
            <v>27.4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>
            <v>8.2200000000000006</v>
          </cell>
          <cell r="T25">
            <v>15.5</v>
          </cell>
          <cell r="U25">
            <v>1</v>
          </cell>
          <cell r="V25">
            <v>7.5500000000000007</v>
          </cell>
          <cell r="W25">
            <v>0.66999999999999993</v>
          </cell>
          <cell r="X25">
            <v>12.838709677419352</v>
          </cell>
          <cell r="Y25">
            <v>18.600000000000001</v>
          </cell>
          <cell r="Z25">
            <v>8.8000000000000007</v>
          </cell>
          <cell r="AA25">
            <v>12.95483870967742</v>
          </cell>
          <cell r="AB25">
            <v>-0.11612903225806726</v>
          </cell>
          <cell r="AC25">
            <v>16.746666666666666</v>
          </cell>
          <cell r="AD25">
            <v>22.2</v>
          </cell>
          <cell r="AE25">
            <v>11</v>
          </cell>
          <cell r="AF25">
            <v>15.81</v>
          </cell>
          <cell r="AG25">
            <v>0.93666666666666565</v>
          </cell>
          <cell r="AH25">
            <v>20.916129032258063</v>
          </cell>
          <cell r="AI25">
            <v>27.4</v>
          </cell>
          <cell r="AJ25">
            <v>14.5</v>
          </cell>
          <cell r="AK25">
            <v>17.525806451612908</v>
          </cell>
          <cell r="AL25">
            <v>3.3903225806451545</v>
          </cell>
          <cell r="AM25">
            <v>21.78064516129032</v>
          </cell>
          <cell r="AN25">
            <v>27.4</v>
          </cell>
          <cell r="AO25">
            <v>14.8</v>
          </cell>
          <cell r="AP25">
            <v>17.219354838709684</v>
          </cell>
          <cell r="AQ25">
            <v>4.5612903225806356</v>
          </cell>
          <cell r="AR25">
            <v>13.526666666666667</v>
          </cell>
          <cell r="AS25">
            <v>23.5</v>
          </cell>
          <cell r="AT25">
            <v>7.6</v>
          </cell>
          <cell r="AU25">
            <v>13.010000000000002</v>
          </cell>
          <cell r="AV25">
            <v>0.51666666666666572</v>
          </cell>
          <cell r="AW25">
            <v>8.1580645161290342</v>
          </cell>
          <cell r="AX25">
            <v>13.4</v>
          </cell>
          <cell r="AY25">
            <v>2.1</v>
          </cell>
          <cell r="AZ25">
            <v>7.9935483870967738</v>
          </cell>
          <cell r="BA25">
            <v>0.16451612903226032</v>
          </cell>
          <cell r="BB25">
            <v>5.9433333333333325</v>
          </cell>
          <cell r="BC25">
            <v>14</v>
          </cell>
          <cell r="BD25">
            <v>-1.8</v>
          </cell>
          <cell r="BE25">
            <v>2.6366666666666658</v>
          </cell>
          <cell r="BF25">
            <v>3.3066666666666666</v>
          </cell>
          <cell r="BG25">
            <v>3.5354838709677412</v>
          </cell>
          <cell r="BH25">
            <v>7.4</v>
          </cell>
          <cell r="BI25">
            <v>-3.9</v>
          </cell>
          <cell r="BJ25">
            <v>-0.43548387096774194</v>
          </cell>
          <cell r="BK25">
            <v>3.9709677419354832</v>
          </cell>
          <cell r="BL25">
            <v>9.8498630136986378</v>
          </cell>
          <cell r="BM25">
            <v>27.4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Z 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42626557.004484408</v>
          </cell>
          <cell r="E53">
            <v>453193773.78571427</v>
          </cell>
        </row>
        <row r="54">
          <cell r="A54">
            <v>42041</v>
          </cell>
          <cell r="B54" t="str">
            <v>pátek</v>
          </cell>
          <cell r="D54">
            <v>40997694.837526165</v>
          </cell>
          <cell r="E54">
            <v>435919091.78571427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>
            <v>0</v>
          </cell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30677245.43145762</v>
          </cell>
          <cell r="E109">
            <v>326318512.24000001</v>
          </cell>
        </row>
        <row r="110">
          <cell r="A110">
            <v>42096</v>
          </cell>
          <cell r="B110" t="str">
            <v>čtvrtek</v>
          </cell>
          <cell r="D110">
            <v>32462720.565170936</v>
          </cell>
          <cell r="E110">
            <v>345306822.24000001</v>
          </cell>
        </row>
        <row r="111">
          <cell r="A111">
            <v>42097</v>
          </cell>
          <cell r="B111" t="str">
            <v>pátek</v>
          </cell>
          <cell r="D111">
            <v>30588397.627558079</v>
          </cell>
          <cell r="E111">
            <v>325374304.24000001</v>
          </cell>
        </row>
        <row r="112">
          <cell r="A112">
            <v>42098</v>
          </cell>
          <cell r="B112" t="str">
            <v>sobota</v>
          </cell>
          <cell r="D112">
            <v>26488452.883092407</v>
          </cell>
          <cell r="E112">
            <v>281777163.24000001</v>
          </cell>
        </row>
        <row r="113">
          <cell r="A113">
            <v>42099</v>
          </cell>
          <cell r="B113" t="str">
            <v>neděle</v>
          </cell>
          <cell r="D113">
            <v>26800253.939111631</v>
          </cell>
          <cell r="E113">
            <v>285090067.24000001</v>
          </cell>
        </row>
        <row r="114">
          <cell r="A114">
            <v>42100</v>
          </cell>
          <cell r="B114" t="str">
            <v>pondělí</v>
          </cell>
          <cell r="D114">
            <v>28979467.533714496</v>
          </cell>
          <cell r="E114">
            <v>308263372.24000001</v>
          </cell>
        </row>
        <row r="115">
          <cell r="A115">
            <v>42101</v>
          </cell>
          <cell r="B115" t="str">
            <v>úterý</v>
          </cell>
          <cell r="D115">
            <v>29118400.870849974</v>
          </cell>
          <cell r="E115">
            <v>309746069.24000001</v>
          </cell>
        </row>
        <row r="116">
          <cell r="A116">
            <v>42102</v>
          </cell>
          <cell r="B116" t="str">
            <v>středa</v>
          </cell>
          <cell r="D116">
            <v>29123342.332419891</v>
          </cell>
          <cell r="E116">
            <v>309802438.24000001</v>
          </cell>
        </row>
        <row r="117">
          <cell r="A117">
            <v>42103</v>
          </cell>
          <cell r="B117" t="str">
            <v>čtvrtek</v>
          </cell>
          <cell r="D117">
            <v>24524154.010039348</v>
          </cell>
          <cell r="E117">
            <v>260896660.24000001</v>
          </cell>
        </row>
        <row r="118">
          <cell r="A118">
            <v>42104</v>
          </cell>
          <cell r="B118" t="str">
            <v>pátek</v>
          </cell>
          <cell r="D118">
            <v>20355808.033921316</v>
          </cell>
          <cell r="E118">
            <v>216571570.24000001</v>
          </cell>
        </row>
        <row r="119">
          <cell r="A119">
            <v>42105</v>
          </cell>
          <cell r="B119" t="str">
            <v>sobota</v>
          </cell>
          <cell r="D119">
            <v>15817888.690539146</v>
          </cell>
          <cell r="E119">
            <v>168310142.24000001</v>
          </cell>
        </row>
        <row r="120">
          <cell r="A120">
            <v>42106</v>
          </cell>
          <cell r="B120" t="str">
            <v>neděle</v>
          </cell>
          <cell r="D120">
            <v>16178831.481831636</v>
          </cell>
          <cell r="E120">
            <v>172139557.24000001</v>
          </cell>
        </row>
        <row r="121">
          <cell r="A121">
            <v>42107</v>
          </cell>
          <cell r="B121" t="str">
            <v>pondělí</v>
          </cell>
          <cell r="D121">
            <v>21028907.737844631</v>
          </cell>
          <cell r="E121">
            <v>223728877.24000001</v>
          </cell>
        </row>
        <row r="122">
          <cell r="A122">
            <v>42108</v>
          </cell>
          <cell r="B122" t="str">
            <v>úterý</v>
          </cell>
          <cell r="D122">
            <v>20307713.809890177</v>
          </cell>
          <cell r="E122">
            <v>216057139.24000001</v>
          </cell>
        </row>
        <row r="123">
          <cell r="A123">
            <v>42109</v>
          </cell>
          <cell r="B123" t="str">
            <v>středa</v>
          </cell>
          <cell r="D123">
            <v>16590878.846654931</v>
          </cell>
          <cell r="E123">
            <v>176533732.24000001</v>
          </cell>
        </row>
        <row r="124">
          <cell r="A124">
            <v>42110</v>
          </cell>
          <cell r="B124" t="str">
            <v>čtvrtek</v>
          </cell>
          <cell r="D124">
            <v>15768294.771938911</v>
          </cell>
          <cell r="E124">
            <v>167787093.24000001</v>
          </cell>
        </row>
        <row r="125">
          <cell r="A125">
            <v>42111</v>
          </cell>
          <cell r="B125" t="str">
            <v>pátek</v>
          </cell>
          <cell r="D125">
            <v>18568833.461656313</v>
          </cell>
          <cell r="E125">
            <v>197571759.24000001</v>
          </cell>
        </row>
        <row r="126">
          <cell r="A126">
            <v>42112</v>
          </cell>
          <cell r="B126" t="str">
            <v>sobota</v>
          </cell>
          <cell r="D126">
            <v>19614571.040879648</v>
          </cell>
          <cell r="E126">
            <v>208691011.24000001</v>
          </cell>
        </row>
        <row r="127">
          <cell r="A127">
            <v>42113</v>
          </cell>
          <cell r="B127" t="str">
            <v>neděle</v>
          </cell>
          <cell r="D127">
            <v>18656931.840735111</v>
          </cell>
          <cell r="E127">
            <v>198509147.24000001</v>
          </cell>
        </row>
        <row r="128">
          <cell r="A128">
            <v>42114</v>
          </cell>
          <cell r="B128" t="str">
            <v>pondělí</v>
          </cell>
          <cell r="D128">
            <v>19563471.390013989</v>
          </cell>
          <cell r="E128">
            <v>208148627.24000001</v>
          </cell>
        </row>
        <row r="129">
          <cell r="A129">
            <v>42115</v>
          </cell>
          <cell r="B129" t="str">
            <v>úterý</v>
          </cell>
          <cell r="D129">
            <v>18079239.56225083</v>
          </cell>
          <cell r="E129">
            <v>192363673.24000001</v>
          </cell>
        </row>
        <row r="130">
          <cell r="A130">
            <v>42116</v>
          </cell>
          <cell r="B130" t="str">
            <v>středa</v>
          </cell>
          <cell r="D130">
            <v>18076820.425424013</v>
          </cell>
          <cell r="E130">
            <v>192336172.24000001</v>
          </cell>
        </row>
        <row r="131">
          <cell r="A131">
            <v>42117</v>
          </cell>
          <cell r="B131" t="str">
            <v>čtvrtek</v>
          </cell>
          <cell r="D131">
            <v>17194628.472384941</v>
          </cell>
          <cell r="E131">
            <v>182954285.24000001</v>
          </cell>
        </row>
        <row r="132">
          <cell r="A132">
            <v>42118</v>
          </cell>
          <cell r="B132" t="str">
            <v>pátek</v>
          </cell>
          <cell r="D132">
            <v>15382705.185504733</v>
          </cell>
          <cell r="E132">
            <v>163694189.24000001</v>
          </cell>
        </row>
        <row r="133">
          <cell r="A133">
            <v>42119</v>
          </cell>
          <cell r="B133" t="str">
            <v>sobota</v>
          </cell>
          <cell r="D133">
            <v>12336617.288364371</v>
          </cell>
          <cell r="E133">
            <v>131301577.23999999</v>
          </cell>
        </row>
        <row r="134">
          <cell r="A134">
            <v>42120</v>
          </cell>
          <cell r="B134" t="str">
            <v>neděle</v>
          </cell>
          <cell r="D134">
            <v>12659586.495655699</v>
          </cell>
          <cell r="E134">
            <v>134732350.24000001</v>
          </cell>
        </row>
        <row r="135">
          <cell r="A135">
            <v>42121</v>
          </cell>
          <cell r="B135" t="str">
            <v>pondělí</v>
          </cell>
          <cell r="D135">
            <v>13818581.100658111</v>
          </cell>
          <cell r="E135">
            <v>147053224.24000001</v>
          </cell>
        </row>
        <row r="136">
          <cell r="A136">
            <v>42122</v>
          </cell>
          <cell r="B136" t="str">
            <v>úterý</v>
          </cell>
          <cell r="D136">
            <v>18711239.256020553</v>
          </cell>
          <cell r="E136">
            <v>199082117.24000001</v>
          </cell>
        </row>
        <row r="137">
          <cell r="A137">
            <v>42123</v>
          </cell>
          <cell r="B137" t="str">
            <v>středa</v>
          </cell>
          <cell r="D137">
            <v>18289834.007546064</v>
          </cell>
          <cell r="E137">
            <v>194603921.24000001</v>
          </cell>
        </row>
        <row r="138">
          <cell r="A138">
            <v>42124</v>
          </cell>
          <cell r="B138" t="str">
            <v>čtvrtek</v>
          </cell>
          <cell r="D138">
            <v>17044748.050783794</v>
          </cell>
          <cell r="E138">
            <v>181363124.24000001</v>
          </cell>
        </row>
        <row r="139">
          <cell r="A139">
            <v>42125</v>
          </cell>
          <cell r="B139" t="str">
            <v>pátek</v>
          </cell>
          <cell r="D139">
            <v>16070703.750605009</v>
          </cell>
          <cell r="E139">
            <v>171973154.88387096</v>
          </cell>
        </row>
        <row r="140">
          <cell r="A140">
            <v>42126</v>
          </cell>
          <cell r="B140" t="str">
            <v>sobota</v>
          </cell>
          <cell r="D140">
            <v>14767872.927011197</v>
          </cell>
          <cell r="E140">
            <v>158039297.88387096</v>
          </cell>
        </row>
        <row r="141">
          <cell r="A141">
            <v>42127</v>
          </cell>
          <cell r="B141" t="str">
            <v>neděle</v>
          </cell>
          <cell r="D141">
            <v>15143156.882783456</v>
          </cell>
          <cell r="E141">
            <v>162052314.88387096</v>
          </cell>
        </row>
        <row r="142">
          <cell r="A142">
            <v>42128</v>
          </cell>
          <cell r="B142" t="str">
            <v>pondělí</v>
          </cell>
          <cell r="D142">
            <v>14625166.140856801</v>
          </cell>
          <cell r="E142">
            <v>156512093.88387096</v>
          </cell>
        </row>
        <row r="143">
          <cell r="A143">
            <v>42129</v>
          </cell>
          <cell r="B143" t="str">
            <v>úterý</v>
          </cell>
          <cell r="D143">
            <v>12576014.414092122</v>
          </cell>
          <cell r="E143">
            <v>134596497.88387096</v>
          </cell>
        </row>
        <row r="144">
          <cell r="A144">
            <v>42130</v>
          </cell>
          <cell r="B144" t="str">
            <v>středa</v>
          </cell>
          <cell r="D144">
            <v>13709271.554327715</v>
          </cell>
          <cell r="E144">
            <v>146716539.88387096</v>
          </cell>
        </row>
        <row r="145">
          <cell r="A145">
            <v>42131</v>
          </cell>
          <cell r="B145" t="str">
            <v>čtvrtek</v>
          </cell>
          <cell r="D145">
            <v>13270363.165519886</v>
          </cell>
          <cell r="E145">
            <v>142022163.88387096</v>
          </cell>
        </row>
        <row r="146">
          <cell r="A146">
            <v>42132</v>
          </cell>
          <cell r="B146" t="str">
            <v>pátek</v>
          </cell>
          <cell r="D146">
            <v>11296329.223612154</v>
          </cell>
          <cell r="E146">
            <v>120913119.88387097</v>
          </cell>
        </row>
        <row r="147">
          <cell r="A147">
            <v>42133</v>
          </cell>
          <cell r="B147" t="str">
            <v>sobota</v>
          </cell>
          <cell r="D147">
            <v>10967310.77183276</v>
          </cell>
          <cell r="E147">
            <v>117395262.88387097</v>
          </cell>
        </row>
        <row r="148">
          <cell r="A148">
            <v>42134</v>
          </cell>
          <cell r="B148" t="str">
            <v>neděle</v>
          </cell>
          <cell r="D148">
            <v>11950387.05519555</v>
          </cell>
          <cell r="E148">
            <v>127908784.88387097</v>
          </cell>
        </row>
        <row r="149">
          <cell r="A149">
            <v>42135</v>
          </cell>
          <cell r="B149" t="str">
            <v>pondělí</v>
          </cell>
          <cell r="D149">
            <v>13656535.597894518</v>
          </cell>
          <cell r="E149">
            <v>146158191.88387096</v>
          </cell>
        </row>
        <row r="150">
          <cell r="A150">
            <v>42136</v>
          </cell>
          <cell r="B150" t="str">
            <v>úterý</v>
          </cell>
          <cell r="D150">
            <v>12818165.560704807</v>
          </cell>
          <cell r="E150">
            <v>137187405.88387096</v>
          </cell>
        </row>
        <row r="151">
          <cell r="A151">
            <v>42137</v>
          </cell>
          <cell r="B151" t="str">
            <v>středa</v>
          </cell>
          <cell r="D151">
            <v>12775069.638668245</v>
          </cell>
          <cell r="E151">
            <v>136729092.88387096</v>
          </cell>
        </row>
        <row r="152">
          <cell r="A152">
            <v>42138</v>
          </cell>
          <cell r="B152" t="str">
            <v>čtvrtek</v>
          </cell>
          <cell r="D152">
            <v>13531678.054988189</v>
          </cell>
          <cell r="E152">
            <v>144822539.88387096</v>
          </cell>
        </row>
        <row r="153">
          <cell r="A153">
            <v>42139</v>
          </cell>
          <cell r="B153" t="str">
            <v>pátek</v>
          </cell>
          <cell r="D153">
            <v>13086464.438385906</v>
          </cell>
          <cell r="E153">
            <v>140066792.88387096</v>
          </cell>
        </row>
        <row r="154">
          <cell r="A154">
            <v>42140</v>
          </cell>
          <cell r="B154" t="str">
            <v>sobota</v>
          </cell>
          <cell r="D154">
            <v>10500449.937414033</v>
          </cell>
          <cell r="E154">
            <v>112411717.88387097</v>
          </cell>
        </row>
        <row r="155">
          <cell r="A155">
            <v>42141</v>
          </cell>
          <cell r="B155" t="str">
            <v>neděle</v>
          </cell>
          <cell r="D155">
            <v>11476216.254816854</v>
          </cell>
          <cell r="E155">
            <v>122846841.88387097</v>
          </cell>
        </row>
        <row r="156">
          <cell r="A156">
            <v>42142</v>
          </cell>
          <cell r="B156" t="str">
            <v>pondělí</v>
          </cell>
          <cell r="D156">
            <v>12673747.84235955</v>
          </cell>
          <cell r="E156">
            <v>135652757.88387096</v>
          </cell>
        </row>
        <row r="157">
          <cell r="A157">
            <v>42143</v>
          </cell>
          <cell r="B157" t="str">
            <v>úterý</v>
          </cell>
          <cell r="D157">
            <v>12492318.306386102</v>
          </cell>
          <cell r="E157">
            <v>133711062.88387097</v>
          </cell>
        </row>
        <row r="158">
          <cell r="A158">
            <v>42144</v>
          </cell>
          <cell r="B158" t="str">
            <v>středa</v>
          </cell>
          <cell r="D158">
            <v>14371762.580338836</v>
          </cell>
          <cell r="E158">
            <v>153811576.88387096</v>
          </cell>
        </row>
        <row r="159">
          <cell r="A159">
            <v>42145</v>
          </cell>
          <cell r="B159" t="str">
            <v>čtvrtek</v>
          </cell>
          <cell r="D159">
            <v>14993792.525981231</v>
          </cell>
          <cell r="E159">
            <v>160463480.88387096</v>
          </cell>
        </row>
        <row r="160">
          <cell r="A160">
            <v>42146</v>
          </cell>
          <cell r="B160" t="str">
            <v>pátek</v>
          </cell>
          <cell r="D160">
            <v>13563665.394289348</v>
          </cell>
          <cell r="E160">
            <v>145168639.88387096</v>
          </cell>
        </row>
        <row r="161">
          <cell r="A161">
            <v>42147</v>
          </cell>
          <cell r="B161" t="str">
            <v>sobota</v>
          </cell>
          <cell r="D161">
            <v>11941064.897894571</v>
          </cell>
          <cell r="E161">
            <v>127806430.88387097</v>
          </cell>
        </row>
        <row r="162">
          <cell r="A162">
            <v>42148</v>
          </cell>
          <cell r="B162" t="str">
            <v>neděle</v>
          </cell>
          <cell r="D162">
            <v>12158847.00969363</v>
          </cell>
          <cell r="E162">
            <v>130134522.88387097</v>
          </cell>
        </row>
        <row r="163">
          <cell r="A163">
            <v>42149</v>
          </cell>
          <cell r="B163" t="str">
            <v>pondělí</v>
          </cell>
          <cell r="D163">
            <v>12976170.584964329</v>
          </cell>
          <cell r="E163">
            <v>138878639.88387096</v>
          </cell>
        </row>
        <row r="164">
          <cell r="A164">
            <v>42150</v>
          </cell>
          <cell r="B164" t="str">
            <v>úterý</v>
          </cell>
          <cell r="D164">
            <v>14898406.635112032</v>
          </cell>
          <cell r="E164">
            <v>159435134.88387096</v>
          </cell>
        </row>
        <row r="165">
          <cell r="A165">
            <v>42151</v>
          </cell>
          <cell r="B165" t="str">
            <v>středa</v>
          </cell>
          <cell r="D165">
            <v>15932884.208442606</v>
          </cell>
          <cell r="E165">
            <v>170491383.88387096</v>
          </cell>
        </row>
        <row r="166">
          <cell r="A166">
            <v>42152</v>
          </cell>
          <cell r="B166" t="str">
            <v>čtvrtek</v>
          </cell>
          <cell r="D166">
            <v>14175583.541636694</v>
          </cell>
          <cell r="E166">
            <v>151703782.88387096</v>
          </cell>
        </row>
        <row r="167">
          <cell r="A167">
            <v>42153</v>
          </cell>
          <cell r="B167" t="str">
            <v>pátek</v>
          </cell>
          <cell r="D167">
            <v>12172517.298062198</v>
          </cell>
          <cell r="E167">
            <v>130281549.88387097</v>
          </cell>
        </row>
        <row r="168">
          <cell r="A168">
            <v>42154</v>
          </cell>
          <cell r="B168" t="str">
            <v>sobota</v>
          </cell>
          <cell r="D168">
            <v>10217129.826079108</v>
          </cell>
          <cell r="E168">
            <v>109369533.88387097</v>
          </cell>
        </row>
        <row r="169">
          <cell r="A169">
            <v>42155</v>
          </cell>
          <cell r="B169" t="str">
            <v>neděle</v>
          </cell>
          <cell r="D169">
            <v>9983329.7936764546</v>
          </cell>
          <cell r="E169">
            <v>106870083.88387097</v>
          </cell>
        </row>
        <row r="170">
          <cell r="A170">
            <v>42156</v>
          </cell>
          <cell r="B170" t="str">
            <v>pondělí</v>
          </cell>
          <cell r="D170">
            <v>11138553.848757228</v>
          </cell>
          <cell r="E170">
            <v>119293560.28333333</v>
          </cell>
        </row>
        <row r="171">
          <cell r="A171">
            <v>42157</v>
          </cell>
          <cell r="B171" t="str">
            <v>úterý</v>
          </cell>
          <cell r="D171">
            <v>11003023.012763271</v>
          </cell>
          <cell r="E171">
            <v>117842110.28333333</v>
          </cell>
        </row>
        <row r="172">
          <cell r="A172">
            <v>42158</v>
          </cell>
          <cell r="B172" t="str">
            <v>středa</v>
          </cell>
          <cell r="D172">
            <v>10573388.433417818</v>
          </cell>
          <cell r="E172">
            <v>113242292.28333333</v>
          </cell>
        </row>
        <row r="173">
          <cell r="A173">
            <v>42159</v>
          </cell>
          <cell r="B173" t="str">
            <v>čtvrtek</v>
          </cell>
          <cell r="D173">
            <v>10746849.39979727</v>
          </cell>
          <cell r="E173">
            <v>115100258.28333333</v>
          </cell>
        </row>
        <row r="174">
          <cell r="A174">
            <v>42160</v>
          </cell>
          <cell r="B174" t="str">
            <v>pátek</v>
          </cell>
          <cell r="D174">
            <v>10160940.166784341</v>
          </cell>
          <cell r="E174">
            <v>108835255.28333333</v>
          </cell>
        </row>
        <row r="175">
          <cell r="A175">
            <v>42161</v>
          </cell>
          <cell r="B175" t="str">
            <v>sobota</v>
          </cell>
          <cell r="D175">
            <v>8219274.3342292747</v>
          </cell>
          <cell r="E175">
            <v>88054718.283333331</v>
          </cell>
        </row>
        <row r="176">
          <cell r="A176">
            <v>42162</v>
          </cell>
          <cell r="B176" t="str">
            <v>neděle</v>
          </cell>
          <cell r="D176">
            <v>8781833.4472753126</v>
          </cell>
          <cell r="E176">
            <v>94073827.283333331</v>
          </cell>
        </row>
        <row r="177">
          <cell r="A177">
            <v>42163</v>
          </cell>
          <cell r="B177" t="str">
            <v>pondělí</v>
          </cell>
          <cell r="D177">
            <v>10694449.652365083</v>
          </cell>
          <cell r="E177">
            <v>114540000.28333333</v>
          </cell>
        </row>
        <row r="178">
          <cell r="A178">
            <v>42164</v>
          </cell>
          <cell r="B178" t="str">
            <v>úterý</v>
          </cell>
          <cell r="D178">
            <v>11318170.860413257</v>
          </cell>
          <cell r="E178">
            <v>121214341.28333333</v>
          </cell>
        </row>
        <row r="179">
          <cell r="A179">
            <v>42165</v>
          </cell>
          <cell r="B179" t="str">
            <v>středa</v>
          </cell>
          <cell r="D179">
            <v>10856343.232966216</v>
          </cell>
          <cell r="E179">
            <v>116270645.28333333</v>
          </cell>
        </row>
        <row r="180">
          <cell r="A180">
            <v>42166</v>
          </cell>
          <cell r="B180" t="str">
            <v>čtvrtek</v>
          </cell>
          <cell r="D180">
            <v>10592796.184617916</v>
          </cell>
          <cell r="E180">
            <v>113452075.28333333</v>
          </cell>
        </row>
        <row r="181">
          <cell r="A181">
            <v>42167</v>
          </cell>
          <cell r="B181" t="str">
            <v>pátek</v>
          </cell>
          <cell r="D181">
            <v>9757828.3784183618</v>
          </cell>
          <cell r="E181">
            <v>104518934.28333333</v>
          </cell>
        </row>
        <row r="182">
          <cell r="A182">
            <v>42168</v>
          </cell>
          <cell r="B182" t="str">
            <v>sobota</v>
          </cell>
          <cell r="D182">
            <v>8087451.9176162966</v>
          </cell>
          <cell r="E182">
            <v>86645689.283333331</v>
          </cell>
        </row>
        <row r="183">
          <cell r="A183">
            <v>42169</v>
          </cell>
          <cell r="B183" t="str">
            <v>neděle</v>
          </cell>
          <cell r="D183">
            <v>8352723.2431608122</v>
          </cell>
          <cell r="E183">
            <v>89477940.283333331</v>
          </cell>
        </row>
        <row r="184">
          <cell r="A184">
            <v>42170</v>
          </cell>
          <cell r="B184" t="str">
            <v>pondělí</v>
          </cell>
          <cell r="D184">
            <v>10533784.697160702</v>
          </cell>
          <cell r="E184">
            <v>112819467.28333333</v>
          </cell>
        </row>
        <row r="185">
          <cell r="A185">
            <v>42171</v>
          </cell>
          <cell r="B185" t="str">
            <v>úterý</v>
          </cell>
          <cell r="D185">
            <v>11051272.942360116</v>
          </cell>
          <cell r="E185">
            <v>118356498.28333333</v>
          </cell>
        </row>
        <row r="186">
          <cell r="A186">
            <v>42172</v>
          </cell>
          <cell r="B186" t="str">
            <v>středa</v>
          </cell>
          <cell r="D186">
            <v>11171552.968152532</v>
          </cell>
          <cell r="E186">
            <v>119643465.28333333</v>
          </cell>
        </row>
        <row r="187">
          <cell r="A187">
            <v>42173</v>
          </cell>
          <cell r="B187" t="str">
            <v>čtvrtek</v>
          </cell>
          <cell r="D187">
            <v>11287807.611347085</v>
          </cell>
          <cell r="E187">
            <v>120888853.28333333</v>
          </cell>
        </row>
        <row r="188">
          <cell r="A188">
            <v>42174</v>
          </cell>
          <cell r="B188" t="str">
            <v>pátek</v>
          </cell>
          <cell r="D188">
            <v>11221964.926447567</v>
          </cell>
          <cell r="E188">
            <v>120186494.28333333</v>
          </cell>
        </row>
        <row r="189">
          <cell r="A189">
            <v>42175</v>
          </cell>
          <cell r="B189" t="str">
            <v>sobota</v>
          </cell>
          <cell r="D189">
            <v>9632065.7383782621</v>
          </cell>
          <cell r="E189">
            <v>103173459.28333333</v>
          </cell>
        </row>
        <row r="190">
          <cell r="A190">
            <v>42176</v>
          </cell>
          <cell r="B190" t="str">
            <v>neděle</v>
          </cell>
          <cell r="D190">
            <v>10068684.557840833</v>
          </cell>
          <cell r="E190">
            <v>107844232.28333333</v>
          </cell>
        </row>
        <row r="191">
          <cell r="A191">
            <v>42177</v>
          </cell>
          <cell r="B191" t="str">
            <v>pondělí</v>
          </cell>
          <cell r="D191">
            <v>11900793.448201846</v>
          </cell>
          <cell r="E191">
            <v>127436307.28333333</v>
          </cell>
        </row>
        <row r="192">
          <cell r="A192">
            <v>42178</v>
          </cell>
          <cell r="B192" t="str">
            <v>úterý</v>
          </cell>
          <cell r="D192">
            <v>12514668.333493279</v>
          </cell>
          <cell r="E192">
            <v>134005900.28333333</v>
          </cell>
        </row>
        <row r="193">
          <cell r="A193">
            <v>42179</v>
          </cell>
          <cell r="B193" t="str">
            <v>středa</v>
          </cell>
          <cell r="D193">
            <v>12524604.969460772</v>
          </cell>
          <cell r="E193">
            <v>134115328.28333333</v>
          </cell>
        </row>
        <row r="194">
          <cell r="A194">
            <v>42180</v>
          </cell>
          <cell r="B194" t="str">
            <v>čtvrtek</v>
          </cell>
          <cell r="D194">
            <v>11591579.537906712</v>
          </cell>
          <cell r="E194">
            <v>124121030.28333333</v>
          </cell>
        </row>
        <row r="195">
          <cell r="A195">
            <v>42181</v>
          </cell>
          <cell r="B195" t="str">
            <v>pátek</v>
          </cell>
          <cell r="D195">
            <v>10491096.429598115</v>
          </cell>
          <cell r="E195">
            <v>112351368.28333333</v>
          </cell>
        </row>
        <row r="196">
          <cell r="A196">
            <v>42182</v>
          </cell>
          <cell r="B196" t="str">
            <v>sobota</v>
          </cell>
          <cell r="D196">
            <v>8986059.2689411715</v>
          </cell>
          <cell r="E196">
            <v>96240283.283333331</v>
          </cell>
        </row>
        <row r="197">
          <cell r="A197">
            <v>42183</v>
          </cell>
          <cell r="B197" t="str">
            <v>neděle</v>
          </cell>
          <cell r="D197">
            <v>9238850.4465816338</v>
          </cell>
          <cell r="E197">
            <v>98949341.283333331</v>
          </cell>
        </row>
        <row r="198">
          <cell r="A198">
            <v>42184</v>
          </cell>
          <cell r="B198" t="str">
            <v>pondělí</v>
          </cell>
          <cell r="D198">
            <v>11076462.548321208</v>
          </cell>
          <cell r="E198">
            <v>118615257.28333333</v>
          </cell>
        </row>
        <row r="199">
          <cell r="A199">
            <v>42185</v>
          </cell>
          <cell r="B199" t="str">
            <v>úterý</v>
          </cell>
          <cell r="D199">
            <v>10832951.940338289</v>
          </cell>
          <cell r="E199">
            <v>116004681.28333333</v>
          </cell>
        </row>
        <row r="200">
          <cell r="A200">
            <v>42186</v>
          </cell>
          <cell r="B200" t="str">
            <v>středa</v>
          </cell>
          <cell r="D200">
            <v>10557141.775700301</v>
          </cell>
          <cell r="E200">
            <v>112694610</v>
          </cell>
        </row>
        <row r="201">
          <cell r="A201">
            <v>42187</v>
          </cell>
          <cell r="B201" t="str">
            <v>čtvrtek</v>
          </cell>
          <cell r="D201">
            <v>10240927.558381522</v>
          </cell>
          <cell r="E201">
            <v>109322331</v>
          </cell>
        </row>
        <row r="202">
          <cell r="A202">
            <v>42188</v>
          </cell>
          <cell r="B202" t="str">
            <v>pátek</v>
          </cell>
          <cell r="D202">
            <v>9447085.2928012908</v>
          </cell>
          <cell r="E202">
            <v>100855849</v>
          </cell>
        </row>
        <row r="203">
          <cell r="A203">
            <v>42189</v>
          </cell>
          <cell r="B203" t="str">
            <v>sobota</v>
          </cell>
          <cell r="D203">
            <v>7757503.3216481209</v>
          </cell>
          <cell r="E203">
            <v>82842715</v>
          </cell>
        </row>
        <row r="204">
          <cell r="A204">
            <v>42190</v>
          </cell>
          <cell r="B204" t="str">
            <v>neděle</v>
          </cell>
          <cell r="D204">
            <v>7470439.1791295912</v>
          </cell>
          <cell r="E204">
            <v>79789931</v>
          </cell>
        </row>
        <row r="205">
          <cell r="A205">
            <v>42191</v>
          </cell>
          <cell r="B205" t="str">
            <v>pondělí</v>
          </cell>
          <cell r="D205">
            <v>8384586.828654916</v>
          </cell>
          <cell r="E205">
            <v>89543829</v>
          </cell>
        </row>
        <row r="206">
          <cell r="A206">
            <v>42192</v>
          </cell>
          <cell r="B206" t="str">
            <v>úterý</v>
          </cell>
          <cell r="D206">
            <v>9729926.3949683476</v>
          </cell>
          <cell r="E206">
            <v>103890338</v>
          </cell>
        </row>
        <row r="207">
          <cell r="A207">
            <v>42193</v>
          </cell>
          <cell r="B207" t="str">
            <v>středa</v>
          </cell>
          <cell r="D207">
            <v>10113128.368903115</v>
          </cell>
          <cell r="E207">
            <v>107976799</v>
          </cell>
        </row>
        <row r="208">
          <cell r="A208">
            <v>42194</v>
          </cell>
          <cell r="B208" t="str">
            <v>čtvrtek</v>
          </cell>
          <cell r="D208">
            <v>10292938.757884981</v>
          </cell>
          <cell r="E208">
            <v>109886934</v>
          </cell>
        </row>
        <row r="209">
          <cell r="A209">
            <v>42195</v>
          </cell>
          <cell r="B209" t="str">
            <v>pátek</v>
          </cell>
          <cell r="D209">
            <v>10210777.616189575</v>
          </cell>
          <cell r="E209">
            <v>109017050</v>
          </cell>
        </row>
        <row r="210">
          <cell r="A210">
            <v>42196</v>
          </cell>
          <cell r="B210" t="str">
            <v>sobota</v>
          </cell>
          <cell r="D210">
            <v>8378322.6722887065</v>
          </cell>
          <cell r="E210">
            <v>89475500</v>
          </cell>
        </row>
        <row r="211">
          <cell r="A211">
            <v>42197</v>
          </cell>
          <cell r="B211" t="str">
            <v>neděle</v>
          </cell>
          <cell r="D211">
            <v>8373274.6927532479</v>
          </cell>
          <cell r="E211">
            <v>89422642</v>
          </cell>
        </row>
        <row r="212">
          <cell r="A212">
            <v>42198</v>
          </cell>
          <cell r="B212" t="str">
            <v>pondělí</v>
          </cell>
          <cell r="D212">
            <v>10589929.969256416</v>
          </cell>
          <cell r="E212">
            <v>113073993</v>
          </cell>
        </row>
        <row r="213">
          <cell r="A213">
            <v>42199</v>
          </cell>
          <cell r="B213" t="str">
            <v>úterý</v>
          </cell>
          <cell r="D213">
            <v>10197660.474781714</v>
          </cell>
          <cell r="E213">
            <v>108882740</v>
          </cell>
        </row>
        <row r="214">
          <cell r="A214">
            <v>42200</v>
          </cell>
          <cell r="B214" t="str">
            <v>středa</v>
          </cell>
          <cell r="D214">
            <v>12913062.613618663</v>
          </cell>
          <cell r="E214">
            <v>137882132</v>
          </cell>
        </row>
        <row r="215">
          <cell r="A215">
            <v>42201</v>
          </cell>
          <cell r="B215" t="str">
            <v>čtvrtek</v>
          </cell>
          <cell r="D215">
            <v>12540587.378746873</v>
          </cell>
          <cell r="E215">
            <v>133904031</v>
          </cell>
        </row>
        <row r="216">
          <cell r="A216">
            <v>42202</v>
          </cell>
          <cell r="B216" t="str">
            <v>pátek</v>
          </cell>
          <cell r="D216">
            <v>9287953.3020976577</v>
          </cell>
          <cell r="E216">
            <v>99178832</v>
          </cell>
        </row>
        <row r="217">
          <cell r="A217">
            <v>42203</v>
          </cell>
          <cell r="B217" t="str">
            <v>sobota</v>
          </cell>
          <cell r="D217">
            <v>7684861.0209602034</v>
          </cell>
          <cell r="E217">
            <v>82075200</v>
          </cell>
        </row>
        <row r="218">
          <cell r="A218">
            <v>42204</v>
          </cell>
          <cell r="B218" t="str">
            <v>neděle</v>
          </cell>
          <cell r="D218">
            <v>8138800.5117186885</v>
          </cell>
          <cell r="E218">
            <v>86915137</v>
          </cell>
        </row>
        <row r="219">
          <cell r="A219">
            <v>42205</v>
          </cell>
          <cell r="B219" t="str">
            <v>pondělí</v>
          </cell>
          <cell r="D219">
            <v>9664254.4936960284</v>
          </cell>
          <cell r="E219">
            <v>103190026</v>
          </cell>
        </row>
        <row r="220">
          <cell r="A220">
            <v>42206</v>
          </cell>
          <cell r="B220" t="str">
            <v>úterý</v>
          </cell>
          <cell r="D220">
            <v>9651776.2783433106</v>
          </cell>
          <cell r="E220">
            <v>103049887</v>
          </cell>
        </row>
        <row r="221">
          <cell r="A221">
            <v>42207</v>
          </cell>
          <cell r="B221" t="str">
            <v>středa</v>
          </cell>
          <cell r="D221">
            <v>11955144.712708659</v>
          </cell>
          <cell r="E221">
            <v>127659878</v>
          </cell>
        </row>
        <row r="222">
          <cell r="A222">
            <v>42208</v>
          </cell>
          <cell r="B222" t="str">
            <v>čtvrtek</v>
          </cell>
          <cell r="D222">
            <v>11928885.595090751</v>
          </cell>
          <cell r="E222">
            <v>127378579</v>
          </cell>
        </row>
        <row r="223">
          <cell r="A223">
            <v>42209</v>
          </cell>
          <cell r="B223" t="str">
            <v>pátek</v>
          </cell>
          <cell r="D223">
            <v>9560936.5218145158</v>
          </cell>
          <cell r="E223">
            <v>102074237</v>
          </cell>
        </row>
        <row r="224">
          <cell r="A224">
            <v>42210</v>
          </cell>
          <cell r="B224" t="str">
            <v>sobota</v>
          </cell>
          <cell r="D224">
            <v>8008684.0312193539</v>
          </cell>
          <cell r="E224">
            <v>85518623</v>
          </cell>
        </row>
        <row r="225">
          <cell r="A225">
            <v>42211</v>
          </cell>
          <cell r="B225" t="str">
            <v>neděle</v>
          </cell>
          <cell r="D225">
            <v>8030526.7560581621</v>
          </cell>
          <cell r="E225">
            <v>85761208</v>
          </cell>
        </row>
        <row r="226">
          <cell r="A226">
            <v>42212</v>
          </cell>
          <cell r="B226" t="str">
            <v>pondělí</v>
          </cell>
          <cell r="D226">
            <v>9225753.9374393374</v>
          </cell>
          <cell r="E226">
            <v>98511988</v>
          </cell>
        </row>
        <row r="227">
          <cell r="A227">
            <v>42213</v>
          </cell>
          <cell r="B227" t="str">
            <v>úterý</v>
          </cell>
          <cell r="D227">
            <v>9249403.8240649514</v>
          </cell>
          <cell r="E227">
            <v>98758844</v>
          </cell>
        </row>
        <row r="228">
          <cell r="A228">
            <v>42214</v>
          </cell>
          <cell r="B228" t="str">
            <v>středa</v>
          </cell>
          <cell r="D228">
            <v>9499916.8710702024</v>
          </cell>
          <cell r="E228">
            <v>101432468</v>
          </cell>
        </row>
        <row r="229">
          <cell r="A229">
            <v>42215</v>
          </cell>
          <cell r="B229" t="str">
            <v>čtvrtek</v>
          </cell>
          <cell r="D229">
            <v>9948969.3751854431</v>
          </cell>
          <cell r="E229">
            <v>106233901</v>
          </cell>
        </row>
        <row r="230">
          <cell r="A230">
            <v>42216</v>
          </cell>
          <cell r="B230" t="str">
            <v>pátek</v>
          </cell>
          <cell r="D230">
            <v>9009844.8458822444</v>
          </cell>
          <cell r="E230">
            <v>96214034</v>
          </cell>
        </row>
        <row r="231">
          <cell r="A231">
            <v>42217</v>
          </cell>
          <cell r="B231" t="str">
            <v>sobota</v>
          </cell>
          <cell r="D231">
            <v>7316751.2374606747</v>
          </cell>
          <cell r="E231">
            <v>78402625.23548387</v>
          </cell>
        </row>
        <row r="232">
          <cell r="A232">
            <v>42218</v>
          </cell>
          <cell r="B232" t="str">
            <v>neděle</v>
          </cell>
          <cell r="D232">
            <v>7348387.4998759059</v>
          </cell>
          <cell r="E232">
            <v>78739712.23548387</v>
          </cell>
        </row>
        <row r="233">
          <cell r="A233">
            <v>42219</v>
          </cell>
          <cell r="B233" t="str">
            <v>pondělí</v>
          </cell>
          <cell r="D233">
            <v>8484976.3904525079</v>
          </cell>
          <cell r="E233">
            <v>90899495.23548387</v>
          </cell>
        </row>
        <row r="234">
          <cell r="A234">
            <v>42220</v>
          </cell>
          <cell r="B234" t="str">
            <v>úterý</v>
          </cell>
          <cell r="D234">
            <v>8510873.0928822234</v>
          </cell>
          <cell r="E234">
            <v>91176825.23548387</v>
          </cell>
        </row>
        <row r="235">
          <cell r="A235">
            <v>42221</v>
          </cell>
          <cell r="B235" t="str">
            <v>středa</v>
          </cell>
          <cell r="D235">
            <v>8369721.7908470584</v>
          </cell>
          <cell r="E235">
            <v>89665382.23548387</v>
          </cell>
        </row>
        <row r="236">
          <cell r="A236">
            <v>42222</v>
          </cell>
          <cell r="B236" t="str">
            <v>čtvrtek</v>
          </cell>
          <cell r="D236">
            <v>8769053.0486684497</v>
          </cell>
          <cell r="E236">
            <v>93944705.23548387</v>
          </cell>
        </row>
        <row r="237">
          <cell r="A237">
            <v>42223</v>
          </cell>
          <cell r="B237" t="str">
            <v>pátek</v>
          </cell>
          <cell r="D237">
            <v>7886459.8992661489</v>
          </cell>
          <cell r="E237">
            <v>84495951.23548387</v>
          </cell>
        </row>
        <row r="238">
          <cell r="A238">
            <v>42224</v>
          </cell>
          <cell r="B238" t="str">
            <v>sobota</v>
          </cell>
          <cell r="D238">
            <v>6904908.5533189429</v>
          </cell>
          <cell r="E238">
            <v>73994345.23548387</v>
          </cell>
        </row>
        <row r="239">
          <cell r="A239">
            <v>42225</v>
          </cell>
          <cell r="B239" t="str">
            <v>neděle</v>
          </cell>
          <cell r="D239">
            <v>7069017.5833999766</v>
          </cell>
          <cell r="E239">
            <v>75750235.23548387</v>
          </cell>
        </row>
        <row r="240">
          <cell r="A240">
            <v>42226</v>
          </cell>
          <cell r="B240" t="str">
            <v>pondělí</v>
          </cell>
          <cell r="D240">
            <v>8732249.9933237862</v>
          </cell>
          <cell r="E240">
            <v>93545505.23548387</v>
          </cell>
        </row>
        <row r="241">
          <cell r="A241">
            <v>42227</v>
          </cell>
          <cell r="B241" t="str">
            <v>úterý</v>
          </cell>
          <cell r="D241">
            <v>8876651.3266433831</v>
          </cell>
          <cell r="E241">
            <v>95086938.23548387</v>
          </cell>
        </row>
        <row r="242">
          <cell r="A242">
            <v>42228</v>
          </cell>
          <cell r="B242" t="str">
            <v>středa</v>
          </cell>
          <cell r="D242">
            <v>9331342.2459816523</v>
          </cell>
          <cell r="E242">
            <v>99957533.23548387</v>
          </cell>
        </row>
        <row r="243">
          <cell r="A243">
            <v>42229</v>
          </cell>
          <cell r="B243" t="str">
            <v>čtvrtek</v>
          </cell>
          <cell r="D243">
            <v>9012070.5024069715</v>
          </cell>
          <cell r="E243">
            <v>96543013.23548387</v>
          </cell>
        </row>
        <row r="244">
          <cell r="A244">
            <v>42230</v>
          </cell>
          <cell r="B244" t="str">
            <v>pátek</v>
          </cell>
          <cell r="D244">
            <v>8607197.4147141762</v>
          </cell>
          <cell r="E244">
            <v>92206295.23548387</v>
          </cell>
        </row>
        <row r="245">
          <cell r="A245">
            <v>42231</v>
          </cell>
          <cell r="B245" t="str">
            <v>sobota</v>
          </cell>
          <cell r="D245">
            <v>7626000.6838412583</v>
          </cell>
          <cell r="E245">
            <v>81702319.23548387</v>
          </cell>
        </row>
        <row r="246">
          <cell r="A246">
            <v>42232</v>
          </cell>
          <cell r="B246" t="str">
            <v>neděle</v>
          </cell>
          <cell r="D246">
            <v>7639282.2167303599</v>
          </cell>
          <cell r="E246">
            <v>81844082.23548387</v>
          </cell>
        </row>
        <row r="247">
          <cell r="A247">
            <v>42233</v>
          </cell>
          <cell r="B247" t="str">
            <v>pondělí</v>
          </cell>
          <cell r="D247">
            <v>10759389.308748923</v>
          </cell>
          <cell r="E247">
            <v>115257850.23548387</v>
          </cell>
        </row>
        <row r="248">
          <cell r="A248">
            <v>42234</v>
          </cell>
          <cell r="B248" t="str">
            <v>úterý</v>
          </cell>
          <cell r="D248">
            <v>12265111.410281193</v>
          </cell>
          <cell r="E248">
            <v>131396522.23548387</v>
          </cell>
        </row>
        <row r="249">
          <cell r="A249">
            <v>42235</v>
          </cell>
          <cell r="B249" t="str">
            <v>středa</v>
          </cell>
          <cell r="D249">
            <v>10295259.635249397</v>
          </cell>
          <cell r="E249">
            <v>110279452.23548387</v>
          </cell>
        </row>
        <row r="250">
          <cell r="A250">
            <v>42236</v>
          </cell>
          <cell r="B250" t="str">
            <v>čtvrtek</v>
          </cell>
          <cell r="D250">
            <v>10188182.118682692</v>
          </cell>
          <cell r="E250">
            <v>109128779.23548387</v>
          </cell>
        </row>
        <row r="251">
          <cell r="A251">
            <v>42237</v>
          </cell>
          <cell r="B251" t="str">
            <v>pátek</v>
          </cell>
          <cell r="D251">
            <v>9721828.7971933875</v>
          </cell>
          <cell r="E251">
            <v>104142130.23548387</v>
          </cell>
        </row>
        <row r="252">
          <cell r="A252">
            <v>42238</v>
          </cell>
          <cell r="B252" t="str">
            <v>sobota</v>
          </cell>
          <cell r="D252">
            <v>8179884.4679553425</v>
          </cell>
          <cell r="E252">
            <v>87638157.23548387</v>
          </cell>
        </row>
        <row r="253">
          <cell r="A253">
            <v>42239</v>
          </cell>
          <cell r="B253" t="str">
            <v>neděle</v>
          </cell>
          <cell r="D253">
            <v>8265639.0308338096</v>
          </cell>
          <cell r="E253">
            <v>88556296.23548387</v>
          </cell>
        </row>
        <row r="254">
          <cell r="A254">
            <v>42240</v>
          </cell>
          <cell r="B254" t="str">
            <v>pondělí</v>
          </cell>
          <cell r="D254">
            <v>10105905.471961364</v>
          </cell>
          <cell r="E254">
            <v>108251483.23548387</v>
          </cell>
        </row>
        <row r="255">
          <cell r="A255">
            <v>42241</v>
          </cell>
          <cell r="B255" t="str">
            <v>úterý</v>
          </cell>
          <cell r="D255">
            <v>10623788.405152474</v>
          </cell>
          <cell r="E255">
            <v>113786070.23548387</v>
          </cell>
        </row>
        <row r="256">
          <cell r="A256">
            <v>42242</v>
          </cell>
          <cell r="B256" t="str">
            <v>středa</v>
          </cell>
          <cell r="D256">
            <v>10422093.687655907</v>
          </cell>
          <cell r="E256">
            <v>111632385.23548387</v>
          </cell>
        </row>
        <row r="257">
          <cell r="A257">
            <v>42243</v>
          </cell>
          <cell r="B257" t="str">
            <v>čtvrtek</v>
          </cell>
          <cell r="D257">
            <v>10248175.306427265</v>
          </cell>
          <cell r="E257">
            <v>109771920.23548387</v>
          </cell>
        </row>
        <row r="258">
          <cell r="A258">
            <v>42244</v>
          </cell>
          <cell r="B258" t="str">
            <v>pátek</v>
          </cell>
          <cell r="D258">
            <v>9610979.2011716198</v>
          </cell>
          <cell r="E258">
            <v>102952742.23548387</v>
          </cell>
        </row>
        <row r="259">
          <cell r="A259">
            <v>42245</v>
          </cell>
          <cell r="B259" t="str">
            <v>sobota</v>
          </cell>
          <cell r="D259">
            <v>7892687.809377728</v>
          </cell>
          <cell r="E259">
            <v>84558219.23548387</v>
          </cell>
        </row>
        <row r="260">
          <cell r="A260">
            <v>42246</v>
          </cell>
          <cell r="B260" t="str">
            <v>neděle</v>
          </cell>
          <cell r="D260">
            <v>8041701.7840260696</v>
          </cell>
          <cell r="E260">
            <v>86156690.23548387</v>
          </cell>
        </row>
        <row r="261">
          <cell r="A261">
            <v>42247</v>
          </cell>
          <cell r="B261" t="str">
            <v>pondělí</v>
          </cell>
          <cell r="D261">
            <v>10073138.302374268</v>
          </cell>
          <cell r="E261">
            <v>107893706.23548387</v>
          </cell>
        </row>
        <row r="262">
          <cell r="A262">
            <v>42248</v>
          </cell>
          <cell r="B262" t="str">
            <v>úterý</v>
          </cell>
          <cell r="D262">
            <v>9690117.86010997</v>
          </cell>
          <cell r="E262">
            <v>103662900.92666666</v>
          </cell>
        </row>
        <row r="263">
          <cell r="A263">
            <v>42249</v>
          </cell>
          <cell r="B263" t="str">
            <v>středa</v>
          </cell>
          <cell r="D263">
            <v>10340797.409066636</v>
          </cell>
          <cell r="E263">
            <v>110620993.92666666</v>
          </cell>
        </row>
        <row r="264">
          <cell r="A264">
            <v>42250</v>
          </cell>
          <cell r="B264" t="str">
            <v>čtvrtek</v>
          </cell>
          <cell r="D264">
            <v>10664461.877139319</v>
          </cell>
          <cell r="E264">
            <v>114086286.92666666</v>
          </cell>
        </row>
        <row r="265">
          <cell r="A265">
            <v>42251</v>
          </cell>
          <cell r="B265" t="str">
            <v>pátek</v>
          </cell>
          <cell r="D265">
            <v>11284073.165481154</v>
          </cell>
          <cell r="E265">
            <v>120719418.92666666</v>
          </cell>
        </row>
        <row r="266">
          <cell r="A266">
            <v>42252</v>
          </cell>
          <cell r="B266" t="str">
            <v>sobota</v>
          </cell>
          <cell r="D266">
            <v>8186446.4037528858</v>
          </cell>
          <cell r="E266">
            <v>87585390.926666662</v>
          </cell>
        </row>
        <row r="267">
          <cell r="A267">
            <v>42253</v>
          </cell>
          <cell r="B267" t="str">
            <v>neděle</v>
          </cell>
          <cell r="D267">
            <v>9223069.1836704463</v>
          </cell>
          <cell r="E267">
            <v>98668149.926666662</v>
          </cell>
        </row>
        <row r="268">
          <cell r="A268">
            <v>42254</v>
          </cell>
          <cell r="B268" t="str">
            <v>pondělí</v>
          </cell>
          <cell r="D268">
            <v>11586927.821544325</v>
          </cell>
          <cell r="E268">
            <v>123939859.92666666</v>
          </cell>
        </row>
        <row r="269">
          <cell r="A269">
            <v>42255</v>
          </cell>
          <cell r="B269" t="str">
            <v>úterý</v>
          </cell>
          <cell r="D269">
            <v>11391415.302649755</v>
          </cell>
          <cell r="E269">
            <v>121852158.92666666</v>
          </cell>
        </row>
        <row r="270">
          <cell r="A270">
            <v>42256</v>
          </cell>
          <cell r="B270" t="str">
            <v>středa</v>
          </cell>
          <cell r="D270">
            <v>12211958.078197276</v>
          </cell>
          <cell r="E270">
            <v>130626043.92666666</v>
          </cell>
        </row>
        <row r="271">
          <cell r="A271">
            <v>42257</v>
          </cell>
          <cell r="B271" t="str">
            <v>čtvrtek</v>
          </cell>
          <cell r="D271">
            <v>12187798.5691898</v>
          </cell>
          <cell r="E271">
            <v>130363177.92666666</v>
          </cell>
        </row>
        <row r="272">
          <cell r="A272">
            <v>42258</v>
          </cell>
          <cell r="B272" t="str">
            <v>pátek</v>
          </cell>
          <cell r="D272">
            <v>14657302.261825388</v>
          </cell>
          <cell r="E272">
            <v>156726794.92666668</v>
          </cell>
        </row>
        <row r="273">
          <cell r="A273">
            <v>42259</v>
          </cell>
          <cell r="B273" t="str">
            <v>sobota</v>
          </cell>
          <cell r="D273">
            <v>9424876.9918309562</v>
          </cell>
          <cell r="E273">
            <v>100827721.92666666</v>
          </cell>
        </row>
        <row r="274">
          <cell r="A274">
            <v>42260</v>
          </cell>
          <cell r="B274" t="str">
            <v>neděle</v>
          </cell>
          <cell r="D274">
            <v>9338509.3555256166</v>
          </cell>
          <cell r="E274">
            <v>99905273.926666662</v>
          </cell>
        </row>
        <row r="275">
          <cell r="A275">
            <v>42261</v>
          </cell>
          <cell r="B275" t="str">
            <v>pondělí</v>
          </cell>
          <cell r="D275">
            <v>11056245.355462702</v>
          </cell>
          <cell r="E275">
            <v>118267508.92666666</v>
          </cell>
        </row>
        <row r="276">
          <cell r="A276">
            <v>42262</v>
          </cell>
          <cell r="B276" t="str">
            <v>úterý</v>
          </cell>
          <cell r="D276">
            <v>11128421.014706969</v>
          </cell>
          <cell r="E276">
            <v>119037900.92666666</v>
          </cell>
        </row>
        <row r="277">
          <cell r="A277">
            <v>42263</v>
          </cell>
          <cell r="B277" t="str">
            <v>středa</v>
          </cell>
          <cell r="D277">
            <v>10686121.895180466</v>
          </cell>
          <cell r="E277">
            <v>114308561.92666666</v>
          </cell>
        </row>
        <row r="278">
          <cell r="A278">
            <v>42264</v>
          </cell>
          <cell r="B278" t="str">
            <v>čtvrtek</v>
          </cell>
          <cell r="D278">
            <v>10380004.491879866</v>
          </cell>
          <cell r="E278">
            <v>111042802.92666666</v>
          </cell>
        </row>
        <row r="279">
          <cell r="A279">
            <v>42265</v>
          </cell>
          <cell r="B279" t="str">
            <v>pátek</v>
          </cell>
          <cell r="D279">
            <v>10427229.0548697</v>
          </cell>
          <cell r="E279">
            <v>111548678.92666666</v>
          </cell>
        </row>
        <row r="280">
          <cell r="A280">
            <v>42266</v>
          </cell>
          <cell r="B280" t="str">
            <v>sobota</v>
          </cell>
          <cell r="D280">
            <v>8964462.9617868271</v>
          </cell>
          <cell r="E280">
            <v>95909757.926666662</v>
          </cell>
        </row>
        <row r="281">
          <cell r="A281">
            <v>42267</v>
          </cell>
          <cell r="B281" t="str">
            <v>neděle</v>
          </cell>
          <cell r="D281">
            <v>10129604.987942571</v>
          </cell>
          <cell r="E281">
            <v>108365025.92666666</v>
          </cell>
        </row>
        <row r="282">
          <cell r="A282">
            <v>42268</v>
          </cell>
          <cell r="B282" t="str">
            <v>pondělí</v>
          </cell>
          <cell r="D282">
            <v>14674776.110267054</v>
          </cell>
          <cell r="E282">
            <v>156943404.92666668</v>
          </cell>
        </row>
        <row r="283">
          <cell r="A283">
            <v>42269</v>
          </cell>
          <cell r="B283" t="str">
            <v>úterý</v>
          </cell>
          <cell r="D283">
            <v>12542928.091953829</v>
          </cell>
          <cell r="E283">
            <v>134162463.92666666</v>
          </cell>
        </row>
        <row r="284">
          <cell r="A284">
            <v>42270</v>
          </cell>
          <cell r="B284" t="str">
            <v>středa</v>
          </cell>
          <cell r="D284">
            <v>14349007.022320487</v>
          </cell>
          <cell r="E284">
            <v>153468582.92666668</v>
          </cell>
        </row>
        <row r="285">
          <cell r="A285">
            <v>42271</v>
          </cell>
          <cell r="B285" t="str">
            <v>čtvrtek</v>
          </cell>
          <cell r="D285">
            <v>13177059.236978997</v>
          </cell>
          <cell r="E285">
            <v>140942963.92666668</v>
          </cell>
        </row>
        <row r="286">
          <cell r="A286">
            <v>42272</v>
          </cell>
          <cell r="B286" t="str">
            <v>pátek</v>
          </cell>
          <cell r="D286">
            <v>12942159.035351351</v>
          </cell>
          <cell r="E286">
            <v>138432681.92666668</v>
          </cell>
        </row>
        <row r="287">
          <cell r="A287">
            <v>42273</v>
          </cell>
          <cell r="B287" t="str">
            <v>sobota</v>
          </cell>
          <cell r="D287">
            <v>11703476.235088769</v>
          </cell>
          <cell r="E287">
            <v>125188865.92666666</v>
          </cell>
        </row>
        <row r="288">
          <cell r="A288">
            <v>42274</v>
          </cell>
          <cell r="B288" t="str">
            <v>neděle</v>
          </cell>
          <cell r="D288">
            <v>12046025.103719516</v>
          </cell>
          <cell r="E288">
            <v>128851880.92666666</v>
          </cell>
        </row>
        <row r="289">
          <cell r="A289">
            <v>42275</v>
          </cell>
          <cell r="B289" t="str">
            <v>pondělí</v>
          </cell>
          <cell r="D289">
            <v>13308665.864164803</v>
          </cell>
          <cell r="E289">
            <v>142349616.92666668</v>
          </cell>
        </row>
        <row r="290">
          <cell r="A290">
            <v>42276</v>
          </cell>
          <cell r="B290" t="str">
            <v>úterý</v>
          </cell>
          <cell r="D290">
            <v>16368097.070649704</v>
          </cell>
          <cell r="E290">
            <v>175057911.92666668</v>
          </cell>
        </row>
        <row r="291">
          <cell r="A291">
            <v>42277</v>
          </cell>
          <cell r="B291" t="str">
            <v>středa</v>
          </cell>
          <cell r="D291">
            <v>18569958.301767647</v>
          </cell>
          <cell r="E291">
            <v>198593798.92666668</v>
          </cell>
        </row>
        <row r="292">
          <cell r="A292">
            <v>42278</v>
          </cell>
          <cell r="B292" t="str">
            <v>čtvrtek</v>
          </cell>
          <cell r="D292">
            <v>18911252.733819474</v>
          </cell>
          <cell r="E292">
            <v>202011352.84193549</v>
          </cell>
        </row>
        <row r="293">
          <cell r="A293">
            <v>42279</v>
          </cell>
          <cell r="B293" t="str">
            <v>pátek</v>
          </cell>
          <cell r="D293">
            <v>17848650.045517441</v>
          </cell>
          <cell r="E293">
            <v>190665769.84193549</v>
          </cell>
        </row>
        <row r="294">
          <cell r="A294">
            <v>42280</v>
          </cell>
          <cell r="B294" t="str">
            <v>sobota</v>
          </cell>
          <cell r="D294">
            <v>14148482.1649464</v>
          </cell>
          <cell r="E294">
            <v>151154039.84193549</v>
          </cell>
        </row>
        <row r="295">
          <cell r="A295">
            <v>42281</v>
          </cell>
          <cell r="B295" t="str">
            <v>neděle</v>
          </cell>
          <cell r="D295">
            <v>13880976.753366988</v>
          </cell>
          <cell r="E295">
            <v>148298087.84193549</v>
          </cell>
        </row>
        <row r="296">
          <cell r="A296">
            <v>42282</v>
          </cell>
          <cell r="B296" t="str">
            <v>pondělí</v>
          </cell>
          <cell r="D296">
            <v>15691170.440588579</v>
          </cell>
          <cell r="E296">
            <v>167628492.84193549</v>
          </cell>
        </row>
        <row r="297">
          <cell r="A297">
            <v>42283</v>
          </cell>
          <cell r="B297" t="str">
            <v>úterý</v>
          </cell>
          <cell r="D297">
            <v>16056278.029066652</v>
          </cell>
          <cell r="E297">
            <v>171529661.84193549</v>
          </cell>
        </row>
        <row r="298">
          <cell r="A298">
            <v>42284</v>
          </cell>
          <cell r="B298" t="str">
            <v>středa</v>
          </cell>
          <cell r="D298">
            <v>18357155.55162587</v>
          </cell>
          <cell r="E298">
            <v>196141934.84193549</v>
          </cell>
        </row>
        <row r="299">
          <cell r="A299">
            <v>42285</v>
          </cell>
          <cell r="B299" t="str">
            <v>čtvrtek</v>
          </cell>
          <cell r="D299">
            <v>19563245.849139396</v>
          </cell>
          <cell r="E299">
            <v>209028089.84193549</v>
          </cell>
        </row>
        <row r="300">
          <cell r="A300">
            <v>42286</v>
          </cell>
          <cell r="B300" t="str">
            <v>pátek</v>
          </cell>
          <cell r="D300">
            <v>20098476.152789328</v>
          </cell>
          <cell r="E300">
            <v>214733664.84193549</v>
          </cell>
        </row>
        <row r="301">
          <cell r="A301">
            <v>42287</v>
          </cell>
          <cell r="B301" t="str">
            <v>sobota</v>
          </cell>
          <cell r="D301">
            <v>17874330.77356549</v>
          </cell>
          <cell r="E301">
            <v>190938042.84193549</v>
          </cell>
        </row>
        <row r="302">
          <cell r="A302">
            <v>42288</v>
          </cell>
          <cell r="B302" t="str">
            <v>neděle</v>
          </cell>
          <cell r="D302">
            <v>20736502.410498422</v>
          </cell>
          <cell r="E302">
            <v>221496500.84193549</v>
          </cell>
        </row>
        <row r="303">
          <cell r="A303">
            <v>42289</v>
          </cell>
          <cell r="B303" t="str">
            <v>pondělí</v>
          </cell>
          <cell r="D303">
            <v>27520290.462435648</v>
          </cell>
          <cell r="E303">
            <v>293963624.84193546</v>
          </cell>
        </row>
        <row r="304">
          <cell r="A304">
            <v>42290</v>
          </cell>
          <cell r="B304" t="str">
            <v>úterý</v>
          </cell>
          <cell r="D304">
            <v>30612499.249014553</v>
          </cell>
          <cell r="E304">
            <v>327013252.84193546</v>
          </cell>
        </row>
        <row r="305">
          <cell r="A305">
            <v>42291</v>
          </cell>
          <cell r="B305" t="str">
            <v>středa</v>
          </cell>
          <cell r="D305">
            <v>29173345.574472457</v>
          </cell>
          <cell r="E305">
            <v>311643743.84193546</v>
          </cell>
        </row>
        <row r="306">
          <cell r="A306">
            <v>42292</v>
          </cell>
          <cell r="B306" t="str">
            <v>čtvrtek</v>
          </cell>
          <cell r="D306">
            <v>28191944.427403998</v>
          </cell>
          <cell r="E306">
            <v>301087620.84193546</v>
          </cell>
        </row>
        <row r="307">
          <cell r="A307">
            <v>42293</v>
          </cell>
          <cell r="B307" t="str">
            <v>pátek</v>
          </cell>
          <cell r="D307">
            <v>25068250.682959538</v>
          </cell>
          <cell r="E307">
            <v>267681778.84193549</v>
          </cell>
        </row>
        <row r="308">
          <cell r="A308">
            <v>42294</v>
          </cell>
          <cell r="B308" t="str">
            <v>sobota</v>
          </cell>
          <cell r="D308">
            <v>21127633.589607831</v>
          </cell>
          <cell r="E308">
            <v>225671596.84193549</v>
          </cell>
        </row>
        <row r="309">
          <cell r="A309">
            <v>42295</v>
          </cell>
          <cell r="B309" t="str">
            <v>neděle</v>
          </cell>
          <cell r="D309">
            <v>22273841.11771448</v>
          </cell>
          <cell r="E309">
            <v>237905652.84193549</v>
          </cell>
        </row>
        <row r="310">
          <cell r="A310">
            <v>42296</v>
          </cell>
          <cell r="B310" t="str">
            <v>pondělí</v>
          </cell>
          <cell r="D310">
            <v>27359860.274379168</v>
          </cell>
          <cell r="E310">
            <v>292151531.84193546</v>
          </cell>
        </row>
        <row r="311">
          <cell r="A311">
            <v>42297</v>
          </cell>
          <cell r="B311" t="str">
            <v>úterý</v>
          </cell>
          <cell r="D311">
            <v>28041251.992976118</v>
          </cell>
          <cell r="E311">
            <v>299430944.84193546</v>
          </cell>
        </row>
        <row r="312">
          <cell r="A312">
            <v>42298</v>
          </cell>
          <cell r="B312" t="str">
            <v>středa</v>
          </cell>
          <cell r="D312">
            <v>27054444.559478786</v>
          </cell>
          <cell r="E312">
            <v>288835713.84193546</v>
          </cell>
        </row>
        <row r="313">
          <cell r="A313">
            <v>42299</v>
          </cell>
          <cell r="B313" t="str">
            <v>čtvrtek</v>
          </cell>
          <cell r="D313">
            <v>24083685.173704807</v>
          </cell>
          <cell r="E313">
            <v>257236280.84193549</v>
          </cell>
        </row>
        <row r="314">
          <cell r="A314">
            <v>42300</v>
          </cell>
          <cell r="B314" t="str">
            <v>pátek</v>
          </cell>
          <cell r="D314">
            <v>22968208.656281572</v>
          </cell>
          <cell r="E314">
            <v>245326452.84193549</v>
          </cell>
        </row>
        <row r="315">
          <cell r="A315">
            <v>42301</v>
          </cell>
          <cell r="B315" t="str">
            <v>sobota</v>
          </cell>
          <cell r="D315">
            <v>21869159.965348851</v>
          </cell>
          <cell r="E315">
            <v>233590504.84193549</v>
          </cell>
        </row>
        <row r="316">
          <cell r="A316">
            <v>42302</v>
          </cell>
          <cell r="B316" t="str">
            <v>neděle</v>
          </cell>
          <cell r="D316">
            <v>21534369.687122542</v>
          </cell>
          <cell r="E316">
            <v>230013871.84193549</v>
          </cell>
        </row>
        <row r="317">
          <cell r="A317">
            <v>42303</v>
          </cell>
          <cell r="B317" t="str">
            <v>pondělí</v>
          </cell>
          <cell r="D317">
            <v>23304045.045543879</v>
          </cell>
          <cell r="E317">
            <v>248911561.84193549</v>
          </cell>
        </row>
        <row r="318">
          <cell r="A318">
            <v>42304</v>
          </cell>
          <cell r="B318" t="str">
            <v>úterý</v>
          </cell>
          <cell r="D318">
            <v>23936424.732221387</v>
          </cell>
          <cell r="E318">
            <v>255651091.84193549</v>
          </cell>
        </row>
        <row r="319">
          <cell r="A319">
            <v>42305</v>
          </cell>
          <cell r="B319" t="str">
            <v>středa</v>
          </cell>
          <cell r="D319">
            <v>24427480.104184147</v>
          </cell>
          <cell r="E319">
            <v>260779079.84193549</v>
          </cell>
        </row>
        <row r="320">
          <cell r="A320">
            <v>42306</v>
          </cell>
          <cell r="B320" t="str">
            <v>čtvrtek</v>
          </cell>
          <cell r="D320">
            <v>25773230.834357429</v>
          </cell>
          <cell r="E320">
            <v>275119327.84193546</v>
          </cell>
        </row>
        <row r="321">
          <cell r="A321">
            <v>42307</v>
          </cell>
          <cell r="B321" t="str">
            <v>pátek</v>
          </cell>
          <cell r="D321">
            <v>24600382.224731792</v>
          </cell>
          <cell r="E321">
            <v>262657186.84193549</v>
          </cell>
        </row>
        <row r="322">
          <cell r="A322">
            <v>42308</v>
          </cell>
          <cell r="B322" t="str">
            <v>sobota</v>
          </cell>
          <cell r="D322">
            <v>19967076.996115781</v>
          </cell>
          <cell r="E322">
            <v>213282900.84193549</v>
          </cell>
        </row>
        <row r="323">
          <cell r="A323">
            <v>42309</v>
          </cell>
          <cell r="B323" t="str">
            <v>neděle</v>
          </cell>
          <cell r="D323">
            <v>21964598.411770537</v>
          </cell>
          <cell r="E323">
            <v>234127737.94666666</v>
          </cell>
        </row>
        <row r="324">
          <cell r="A324">
            <v>42310</v>
          </cell>
          <cell r="B324" t="str">
            <v>pondělí</v>
          </cell>
          <cell r="D324">
            <v>28819323.879628371</v>
          </cell>
          <cell r="E324">
            <v>307078279.94666666</v>
          </cell>
        </row>
        <row r="325">
          <cell r="A325">
            <v>42311</v>
          </cell>
          <cell r="B325" t="str">
            <v>úterý</v>
          </cell>
          <cell r="D325">
            <v>30342400.757633023</v>
          </cell>
          <cell r="E325">
            <v>323299264.94666666</v>
          </cell>
        </row>
        <row r="326">
          <cell r="A326">
            <v>42312</v>
          </cell>
          <cell r="B326" t="str">
            <v>středa</v>
          </cell>
          <cell r="D326">
            <v>30402954.918918964</v>
          </cell>
          <cell r="E326">
            <v>323940353.94666666</v>
          </cell>
        </row>
        <row r="327">
          <cell r="A327">
            <v>42313</v>
          </cell>
          <cell r="B327" t="str">
            <v>čtvrtek</v>
          </cell>
          <cell r="D327">
            <v>28887754.705245826</v>
          </cell>
          <cell r="E327">
            <v>307807304.94666666</v>
          </cell>
        </row>
        <row r="328">
          <cell r="A328">
            <v>42314</v>
          </cell>
          <cell r="B328" t="str">
            <v>pátek</v>
          </cell>
          <cell r="D328">
            <v>26136177.469188619</v>
          </cell>
          <cell r="E328">
            <v>278527771.94666666</v>
          </cell>
        </row>
        <row r="329">
          <cell r="A329">
            <v>42315</v>
          </cell>
          <cell r="B329" t="str">
            <v>sobota</v>
          </cell>
          <cell r="D329">
            <v>20124135.070450466</v>
          </cell>
          <cell r="E329">
            <v>214527560.94666666</v>
          </cell>
        </row>
        <row r="330">
          <cell r="A330">
            <v>42316</v>
          </cell>
          <cell r="B330" t="str">
            <v>neděle</v>
          </cell>
          <cell r="D330">
            <v>18641534.19476011</v>
          </cell>
          <cell r="E330">
            <v>198724623.94666666</v>
          </cell>
        </row>
        <row r="331">
          <cell r="A331">
            <v>42317</v>
          </cell>
          <cell r="B331" t="str">
            <v>pondělí</v>
          </cell>
          <cell r="D331">
            <v>22602720.935609389</v>
          </cell>
          <cell r="E331">
            <v>240937292.94666666</v>
          </cell>
        </row>
        <row r="332">
          <cell r="A332">
            <v>42318</v>
          </cell>
          <cell r="B332" t="str">
            <v>úterý</v>
          </cell>
          <cell r="D332">
            <v>20392925.242651537</v>
          </cell>
          <cell r="E332">
            <v>217382785.94666666</v>
          </cell>
        </row>
        <row r="333">
          <cell r="A333">
            <v>42319</v>
          </cell>
          <cell r="B333" t="str">
            <v>středa</v>
          </cell>
          <cell r="D333">
            <v>20098959.986702237</v>
          </cell>
          <cell r="E333">
            <v>214258458.94666666</v>
          </cell>
        </row>
        <row r="334">
          <cell r="A334">
            <v>42320</v>
          </cell>
          <cell r="B334" t="str">
            <v>čtvrtek</v>
          </cell>
          <cell r="D334">
            <v>23844761.501923427</v>
          </cell>
          <cell r="E334">
            <v>254142429.94666666</v>
          </cell>
        </row>
        <row r="335">
          <cell r="A335">
            <v>42321</v>
          </cell>
          <cell r="B335" t="str">
            <v>pátek</v>
          </cell>
          <cell r="D335">
            <v>22987556.511146273</v>
          </cell>
          <cell r="E335">
            <v>245020213.94666666</v>
          </cell>
        </row>
        <row r="336">
          <cell r="A336">
            <v>42322</v>
          </cell>
          <cell r="B336" t="str">
            <v>sobota</v>
          </cell>
          <cell r="D336">
            <v>21649644.592420969</v>
          </cell>
          <cell r="E336">
            <v>230753703.94666666</v>
          </cell>
        </row>
        <row r="337">
          <cell r="A337">
            <v>42323</v>
          </cell>
          <cell r="B337" t="str">
            <v>neděle</v>
          </cell>
          <cell r="D337">
            <v>21767269.859612729</v>
          </cell>
          <cell r="E337">
            <v>232025528.94666666</v>
          </cell>
        </row>
        <row r="338">
          <cell r="A338">
            <v>42324</v>
          </cell>
          <cell r="B338" t="str">
            <v>pondělí</v>
          </cell>
          <cell r="D338">
            <v>21944935.002134878</v>
          </cell>
          <cell r="E338">
            <v>233927641.94666666</v>
          </cell>
        </row>
        <row r="339">
          <cell r="A339">
            <v>42325</v>
          </cell>
          <cell r="B339" t="str">
            <v>úterý</v>
          </cell>
          <cell r="D339">
            <v>22221409.766351663</v>
          </cell>
          <cell r="E339">
            <v>236871213.94666666</v>
          </cell>
        </row>
        <row r="340">
          <cell r="A340">
            <v>42326</v>
          </cell>
          <cell r="B340" t="str">
            <v>středa</v>
          </cell>
          <cell r="D340">
            <v>22216980.784726009</v>
          </cell>
          <cell r="E340">
            <v>236825115.94666666</v>
          </cell>
        </row>
        <row r="341">
          <cell r="A341">
            <v>42327</v>
          </cell>
          <cell r="B341" t="str">
            <v>čtvrtek</v>
          </cell>
          <cell r="D341">
            <v>23154758.587771036</v>
          </cell>
          <cell r="E341">
            <v>246805982.94666666</v>
          </cell>
        </row>
        <row r="342">
          <cell r="A342">
            <v>42328</v>
          </cell>
          <cell r="B342" t="str">
            <v>pátek</v>
          </cell>
          <cell r="D342">
            <v>26726833.995625339</v>
          </cell>
          <cell r="E342">
            <v>284851405.94666666</v>
          </cell>
        </row>
        <row r="343">
          <cell r="A343">
            <v>42329</v>
          </cell>
          <cell r="B343" t="str">
            <v>sobota</v>
          </cell>
          <cell r="D343">
            <v>25244112.306339618</v>
          </cell>
          <cell r="E343">
            <v>269062719.94666666</v>
          </cell>
        </row>
        <row r="344">
          <cell r="A344">
            <v>42330</v>
          </cell>
          <cell r="B344" t="str">
            <v>neděle</v>
          </cell>
          <cell r="D344">
            <v>28783164.121075213</v>
          </cell>
          <cell r="E344">
            <v>306768295.94666666</v>
          </cell>
        </row>
        <row r="345">
          <cell r="A345">
            <v>42331</v>
          </cell>
          <cell r="B345" t="str">
            <v>pondělí</v>
          </cell>
          <cell r="D345">
            <v>36738905.065776661</v>
          </cell>
          <cell r="E345">
            <v>391481150.94666666</v>
          </cell>
        </row>
        <row r="346">
          <cell r="A346">
            <v>42332</v>
          </cell>
          <cell r="B346" t="str">
            <v>úterý</v>
          </cell>
          <cell r="D346">
            <v>36708040.703574024</v>
          </cell>
          <cell r="E346">
            <v>391162348.94666666</v>
          </cell>
        </row>
        <row r="347">
          <cell r="A347">
            <v>42333</v>
          </cell>
          <cell r="B347" t="str">
            <v>středa</v>
          </cell>
          <cell r="D347">
            <v>39421192.111936249</v>
          </cell>
          <cell r="E347">
            <v>419977889.94666666</v>
          </cell>
        </row>
        <row r="348">
          <cell r="A348">
            <v>42334</v>
          </cell>
          <cell r="B348" t="str">
            <v>čtvrtek</v>
          </cell>
          <cell r="D348">
            <v>36870711.219213367</v>
          </cell>
          <cell r="E348">
            <v>392845216.94666666</v>
          </cell>
        </row>
        <row r="349">
          <cell r="A349">
            <v>42335</v>
          </cell>
          <cell r="B349" t="str">
            <v>pátek</v>
          </cell>
          <cell r="D349">
            <v>34665080.004381247</v>
          </cell>
          <cell r="E349">
            <v>369398065.94666666</v>
          </cell>
        </row>
        <row r="350">
          <cell r="A350">
            <v>42336</v>
          </cell>
          <cell r="B350" t="str">
            <v>sobota</v>
          </cell>
          <cell r="D350">
            <v>30951578.847442757</v>
          </cell>
          <cell r="E350">
            <v>329867505.94666666</v>
          </cell>
        </row>
        <row r="351">
          <cell r="A351">
            <v>42337</v>
          </cell>
          <cell r="B351" t="str">
            <v>neděle</v>
          </cell>
          <cell r="D351">
            <v>30531281.439704608</v>
          </cell>
          <cell r="E351">
            <v>325391571.94666666</v>
          </cell>
        </row>
        <row r="352">
          <cell r="A352">
            <v>42338</v>
          </cell>
          <cell r="B352" t="str">
            <v>pondělí</v>
          </cell>
          <cell r="D352">
            <v>31174857.902712077</v>
          </cell>
          <cell r="E352">
            <v>332253531.94666666</v>
          </cell>
        </row>
        <row r="353">
          <cell r="A353">
            <v>42339</v>
          </cell>
          <cell r="B353" t="str">
            <v>úterý</v>
          </cell>
          <cell r="D353">
            <v>30306001.980670717</v>
          </cell>
          <cell r="E353">
            <v>322763357.14516127</v>
          </cell>
        </row>
        <row r="354">
          <cell r="A354">
            <v>42340</v>
          </cell>
          <cell r="B354" t="str">
            <v>středa</v>
          </cell>
          <cell r="D354">
            <v>29021468.193895977</v>
          </cell>
          <cell r="E354">
            <v>309093435.14516127</v>
          </cell>
        </row>
        <row r="355">
          <cell r="A355">
            <v>42341</v>
          </cell>
          <cell r="B355" t="str">
            <v>čtvrtek</v>
          </cell>
          <cell r="D355">
            <v>31395932.32726318</v>
          </cell>
          <cell r="E355">
            <v>334340204.14516127</v>
          </cell>
        </row>
        <row r="356">
          <cell r="A356">
            <v>42342</v>
          </cell>
          <cell r="B356" t="str">
            <v>pátek</v>
          </cell>
          <cell r="D356">
            <v>30625802.027613256</v>
          </cell>
          <cell r="E356">
            <v>326170044.14516127</v>
          </cell>
        </row>
        <row r="357">
          <cell r="A357">
            <v>42343</v>
          </cell>
          <cell r="B357" t="str">
            <v>sobota</v>
          </cell>
          <cell r="D357">
            <v>26801844.107656036</v>
          </cell>
          <cell r="E357">
            <v>285448895.14516127</v>
          </cell>
        </row>
        <row r="358">
          <cell r="A358">
            <v>42344</v>
          </cell>
          <cell r="B358" t="str">
            <v>neděle</v>
          </cell>
          <cell r="D358">
            <v>27797686.702170979</v>
          </cell>
          <cell r="E358">
            <v>296051339.14516127</v>
          </cell>
        </row>
        <row r="359">
          <cell r="A359">
            <v>42345</v>
          </cell>
          <cell r="B359" t="str">
            <v>pondělí</v>
          </cell>
          <cell r="D359">
            <v>32187244.322035842</v>
          </cell>
          <cell r="E359">
            <v>342763853.14516127</v>
          </cell>
        </row>
        <row r="360">
          <cell r="A360">
            <v>42346</v>
          </cell>
          <cell r="B360" t="str">
            <v>úterý</v>
          </cell>
          <cell r="D360">
            <v>31413098.162149783</v>
          </cell>
          <cell r="E360">
            <v>334559427.14516127</v>
          </cell>
        </row>
        <row r="361">
          <cell r="A361">
            <v>42347</v>
          </cell>
          <cell r="B361" t="str">
            <v>středa</v>
          </cell>
          <cell r="D361">
            <v>32219446.115150578</v>
          </cell>
          <cell r="E361">
            <v>343147664.14516127</v>
          </cell>
        </row>
        <row r="362">
          <cell r="A362">
            <v>42348</v>
          </cell>
          <cell r="B362" t="str">
            <v>čtvrtek</v>
          </cell>
          <cell r="D362">
            <v>33307818.532835621</v>
          </cell>
          <cell r="E362">
            <v>354743868.14516127</v>
          </cell>
        </row>
        <row r="363">
          <cell r="A363">
            <v>42349</v>
          </cell>
          <cell r="B363" t="str">
            <v>pátek</v>
          </cell>
          <cell r="D363">
            <v>33052125.485259075</v>
          </cell>
          <cell r="E363">
            <v>352021124.14516127</v>
          </cell>
        </row>
        <row r="364">
          <cell r="A364">
            <v>42350</v>
          </cell>
          <cell r="B364" t="str">
            <v>sobota</v>
          </cell>
          <cell r="D364">
            <v>28854517.786107622</v>
          </cell>
          <cell r="E364">
            <v>307310351.14516127</v>
          </cell>
        </row>
        <row r="365">
          <cell r="A365">
            <v>42351</v>
          </cell>
          <cell r="B365" t="str">
            <v>neděle</v>
          </cell>
          <cell r="D365">
            <v>29408472.849359397</v>
          </cell>
          <cell r="E365">
            <v>313206178.14516127</v>
          </cell>
        </row>
        <row r="366">
          <cell r="A366">
            <v>42352</v>
          </cell>
          <cell r="B366" t="str">
            <v>pondělí</v>
          </cell>
          <cell r="D366">
            <v>34509998.69149451</v>
          </cell>
          <cell r="E366">
            <v>367527315.14516127</v>
          </cell>
        </row>
        <row r="367">
          <cell r="A367">
            <v>42353</v>
          </cell>
          <cell r="B367" t="str">
            <v>úterý</v>
          </cell>
          <cell r="D367">
            <v>34352662.078829467</v>
          </cell>
          <cell r="E367">
            <v>365844609.14516127</v>
          </cell>
        </row>
        <row r="368">
          <cell r="A368">
            <v>42354</v>
          </cell>
          <cell r="B368" t="str">
            <v>středa</v>
          </cell>
          <cell r="D368">
            <v>31973088.325273614</v>
          </cell>
          <cell r="E368">
            <v>340529098.14516127</v>
          </cell>
        </row>
        <row r="369">
          <cell r="A369">
            <v>42355</v>
          </cell>
          <cell r="B369" t="str">
            <v>čtvrtek</v>
          </cell>
          <cell r="D369">
            <v>31206554.504471671</v>
          </cell>
          <cell r="E369">
            <v>332372924.14516127</v>
          </cell>
        </row>
        <row r="370">
          <cell r="A370">
            <v>42356</v>
          </cell>
          <cell r="B370" t="str">
            <v>pátek</v>
          </cell>
          <cell r="D370">
            <v>28853140.547199219</v>
          </cell>
          <cell r="E370">
            <v>307302029.14516127</v>
          </cell>
        </row>
        <row r="371">
          <cell r="A371">
            <v>42357</v>
          </cell>
          <cell r="B371" t="str">
            <v>sobota</v>
          </cell>
          <cell r="D371">
            <v>25530285.415587533</v>
          </cell>
          <cell r="E371">
            <v>271906037.14516127</v>
          </cell>
        </row>
        <row r="372">
          <cell r="A372">
            <v>42358</v>
          </cell>
          <cell r="B372" t="str">
            <v>neděle</v>
          </cell>
          <cell r="D372">
            <v>27657558.506556839</v>
          </cell>
          <cell r="E372">
            <v>294547153.14516127</v>
          </cell>
        </row>
        <row r="373">
          <cell r="A373">
            <v>42359</v>
          </cell>
          <cell r="B373" t="str">
            <v>pondělí</v>
          </cell>
          <cell r="D373">
            <v>30062330.926735252</v>
          </cell>
          <cell r="E373">
            <v>320172063.14516127</v>
          </cell>
        </row>
        <row r="374">
          <cell r="A374">
            <v>42360</v>
          </cell>
          <cell r="B374" t="str">
            <v>úterý</v>
          </cell>
          <cell r="D374">
            <v>26402039.472681921</v>
          </cell>
          <cell r="E374">
            <v>281188210.14516127</v>
          </cell>
        </row>
        <row r="375">
          <cell r="A375">
            <v>42361</v>
          </cell>
          <cell r="B375" t="str">
            <v>středa</v>
          </cell>
          <cell r="D375">
            <v>24814562.479022648</v>
          </cell>
          <cell r="E375">
            <v>264272449.1451613</v>
          </cell>
        </row>
        <row r="376">
          <cell r="A376">
            <v>42362</v>
          </cell>
          <cell r="B376" t="str">
            <v>čtvrtek</v>
          </cell>
          <cell r="D376">
            <v>23656104.953044064</v>
          </cell>
          <cell r="E376">
            <v>251931156.1451613</v>
          </cell>
        </row>
        <row r="377">
          <cell r="A377">
            <v>42363</v>
          </cell>
          <cell r="B377" t="str">
            <v>pátek</v>
          </cell>
          <cell r="D377">
            <v>22716489.605055276</v>
          </cell>
          <cell r="E377">
            <v>241926592.1451613</v>
          </cell>
        </row>
        <row r="378">
          <cell r="A378">
            <v>42364</v>
          </cell>
          <cell r="B378" t="str">
            <v>sobota</v>
          </cell>
          <cell r="D378">
            <v>21847434.865338136</v>
          </cell>
          <cell r="E378">
            <v>232674331.1451613</v>
          </cell>
        </row>
        <row r="379">
          <cell r="A379">
            <v>42365</v>
          </cell>
          <cell r="B379" t="str">
            <v>neděle</v>
          </cell>
          <cell r="D379">
            <v>24429568.14098971</v>
          </cell>
          <cell r="E379">
            <v>260177692.1451613</v>
          </cell>
        </row>
        <row r="380">
          <cell r="A380">
            <v>42366</v>
          </cell>
          <cell r="B380" t="str">
            <v>pondělí</v>
          </cell>
          <cell r="D380">
            <v>26189235.05505291</v>
          </cell>
          <cell r="E380">
            <v>278921665.14516127</v>
          </cell>
        </row>
        <row r="381">
          <cell r="A381">
            <v>42367</v>
          </cell>
          <cell r="B381" t="str">
            <v>úterý</v>
          </cell>
          <cell r="D381">
            <v>27919529.029109724</v>
          </cell>
          <cell r="E381">
            <v>297344490.14516127</v>
          </cell>
        </row>
        <row r="382">
          <cell r="A382">
            <v>42368</v>
          </cell>
          <cell r="B382" t="str">
            <v>středa</v>
          </cell>
          <cell r="D382">
            <v>31400429.941866614</v>
          </cell>
          <cell r="E382">
            <v>334414829.14516127</v>
          </cell>
        </row>
        <row r="383">
          <cell r="A383">
            <v>42369</v>
          </cell>
          <cell r="B383" t="str">
            <v>čtvrtek</v>
          </cell>
          <cell r="D383">
            <v>33060100.06526839</v>
          </cell>
          <cell r="E383">
            <v>352087186.14516127</v>
          </cell>
        </row>
      </sheetData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  <sheetName val="MZ-gradient"/>
      <sheetName val="MZ-spotře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20.760285538130443</v>
          </cell>
          <cell r="H4">
            <v>13.057173413342767</v>
          </cell>
          <cell r="I4">
            <v>10.480260882570418</v>
          </cell>
          <cell r="J4">
            <v>9.6253675587711207</v>
          </cell>
          <cell r="K4">
            <v>8.9519744586098362</v>
          </cell>
          <cell r="L4">
            <v>11.765359870469158</v>
          </cell>
          <cell r="M4">
            <v>22.334749879192866</v>
          </cell>
          <cell r="N4">
            <v>26.877911996547574</v>
          </cell>
          <cell r="O4">
            <v>29.128147457927277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220.87029000666678</v>
          </cell>
          <cell r="H5">
            <v>139.74614178709678</v>
          </cell>
          <cell r="I5">
            <v>112.2437871833333</v>
          </cell>
          <cell r="J5">
            <v>102.78078850322584</v>
          </cell>
          <cell r="K5">
            <v>95.903887767741921</v>
          </cell>
          <cell r="L5">
            <v>125.85194273333333</v>
          </cell>
          <cell r="M5">
            <v>238.55266933548384</v>
          </cell>
          <cell r="N5">
            <v>286.45245657333339</v>
          </cell>
          <cell r="O5">
            <v>310.21805069354838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1.2859358325557315</v>
          </cell>
          <cell r="H6">
            <v>0.27227439236338308</v>
          </cell>
          <cell r="I6">
            <v>0.16364182324992455</v>
          </cell>
          <cell r="J6">
            <v>2.8467161555886154E-2</v>
          </cell>
          <cell r="K6">
            <v>0.19659042148390893</v>
          </cell>
          <cell r="L6">
            <v>0.42902119788235332</v>
          </cell>
          <cell r="M6">
            <v>1.231784387523041</v>
          </cell>
          <cell r="N6">
            <v>1.2376485304345926</v>
          </cell>
          <cell r="O6">
            <v>1.0236167923087243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13.681171183550427</v>
          </cell>
          <cell r="H7">
            <v>2.9140530370323043</v>
          </cell>
          <cell r="I7">
            <v>1.7526069426100241</v>
          </cell>
          <cell r="J7">
            <v>0.30397564490890416</v>
          </cell>
          <cell r="K7">
            <v>2.106103609363259</v>
          </cell>
          <cell r="L7">
            <v>4.5891627473969443</v>
          </cell>
          <cell r="M7">
            <v>13.156424642263085</v>
          </cell>
          <cell r="N7">
            <v>13.190290300931988</v>
          </cell>
          <cell r="O7">
            <v>10.901634112703414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622.80856614391325</v>
          </cell>
          <cell r="H12">
            <v>404.77237581362579</v>
          </cell>
          <cell r="I12">
            <v>314.40782647711256</v>
          </cell>
          <cell r="J12">
            <v>298.38639432190473</v>
          </cell>
          <cell r="K12">
            <v>277.51120821690495</v>
          </cell>
          <cell r="L12">
            <v>352.96079611407475</v>
          </cell>
          <cell r="M12">
            <v>692.3772462549789</v>
          </cell>
          <cell r="N12">
            <v>806.33735989642719</v>
          </cell>
          <cell r="O12">
            <v>902.97257119574556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6626.1087002000022</v>
          </cell>
          <cell r="H13">
            <v>4332.1303954000005</v>
          </cell>
          <cell r="I13">
            <v>3367.3136154999993</v>
          </cell>
          <cell r="J13">
            <v>3186.2044436000006</v>
          </cell>
          <cell r="K13">
            <v>2973.0205207999998</v>
          </cell>
          <cell r="L13">
            <v>3775.558282</v>
          </cell>
          <cell r="M13">
            <v>7395.1327493999997</v>
          </cell>
          <cell r="N13">
            <v>8593.5736972000013</v>
          </cell>
          <cell r="O13">
            <v>9616.7595715000007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0.16633369318363966</v>
          </cell>
          <cell r="H14">
            <v>-6.9326986800837861E-2</v>
          </cell>
          <cell r="I14">
            <v>1.7843565337174013E-2</v>
          </cell>
          <cell r="J14">
            <v>-2.3167564846651268E-2</v>
          </cell>
          <cell r="K14">
            <v>-7.5332464693124324E-2</v>
          </cell>
          <cell r="L14">
            <v>-3.235274755507124E-2</v>
          </cell>
          <cell r="M14">
            <v>0.2219229621913186</v>
          </cell>
          <cell r="N14">
            <v>5.1326645715610367E-2</v>
          </cell>
          <cell r="O14">
            <v>-8.5926291196906132E-2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647.29636373718301</v>
          </cell>
          <cell r="H19">
            <v>399.23311790096943</v>
          </cell>
          <cell r="I19">
            <v>318.95062063632389</v>
          </cell>
          <cell r="J19">
            <v>302.4372465189378</v>
          </cell>
          <cell r="K19">
            <v>299.01838851541652</v>
          </cell>
          <cell r="L19">
            <v>359.74623069021459</v>
          </cell>
          <cell r="M19">
            <v>698.83677162586446</v>
          </cell>
          <cell r="N19">
            <v>918.63175948797254</v>
          </cell>
          <cell r="O19">
            <v>1056.2893320424055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6886.6362804260079</v>
          </cell>
          <cell r="H20">
            <v>4272.8457480148054</v>
          </cell>
          <cell r="I20">
            <v>3415.9670246600913</v>
          </cell>
          <cell r="J20">
            <v>3229.4599120669359</v>
          </cell>
          <cell r="K20">
            <v>3203.4302717533501</v>
          </cell>
          <cell r="L20">
            <v>3848.1408577221891</v>
          </cell>
          <cell r="M20">
            <v>7464.1255533579515</v>
          </cell>
          <cell r="N20">
            <v>9790.3558961504805</v>
          </cell>
          <cell r="O20">
            <v>11249.600340285513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5.8169090312173891E-2</v>
          </cell>
          <cell r="H21">
            <v>-5.0182338264237479E-2</v>
          </cell>
          <cell r="I21">
            <v>2.3625739848265805E-2</v>
          </cell>
          <cell r="J21">
            <v>-4.987196559258119E-2</v>
          </cell>
          <cell r="K21">
            <v>3.23091783270293E-2</v>
          </cell>
          <cell r="L21">
            <v>-7.3844848253246817E-2</v>
          </cell>
          <cell r="M21">
            <v>7.0591374727436595E-2</v>
          </cell>
          <cell r="N21">
            <v>1.2543166561493953E-2</v>
          </cell>
          <cell r="O21">
            <v>-1.4338940920124776E-2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32.46272056517094</v>
          </cell>
          <cell r="H26">
            <v>16.070703750605009</v>
          </cell>
          <cell r="I26">
            <v>12.524604969460771</v>
          </cell>
          <cell r="J26">
            <v>12.924143254571844</v>
          </cell>
          <cell r="K26">
            <v>12.275837216732805</v>
          </cell>
          <cell r="L26">
            <v>18.580584968434316</v>
          </cell>
          <cell r="M26">
            <v>30.622928281272621</v>
          </cell>
          <cell r="N26">
            <v>39.431885445269579</v>
          </cell>
          <cell r="O26">
            <v>34.509998691494509</v>
          </cell>
          <cell r="P26">
            <v>42.621557004484409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345.30682224000003</v>
          </cell>
          <cell r="H27">
            <v>171.97315488387096</v>
          </cell>
          <cell r="I27">
            <v>134.11532828333333</v>
          </cell>
          <cell r="J27">
            <v>138.00439579354838</v>
          </cell>
          <cell r="K27">
            <v>131.51468844516128</v>
          </cell>
          <cell r="L27">
            <v>198.71052223333334</v>
          </cell>
          <cell r="M27">
            <v>327.12787833548384</v>
          </cell>
          <cell r="N27">
            <v>420.09558077333332</v>
          </cell>
          <cell r="O27">
            <v>367.52731514516131</v>
          </cell>
          <cell r="P27">
            <v>453.14177378571429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1.3</v>
          </cell>
          <cell r="H28">
            <v>9.1</v>
          </cell>
          <cell r="I28">
            <v>12.8</v>
          </cell>
          <cell r="J28">
            <v>19.2</v>
          </cell>
          <cell r="K28">
            <v>14.8</v>
          </cell>
          <cell r="L28">
            <v>7.6</v>
          </cell>
          <cell r="M28">
            <v>3</v>
          </cell>
          <cell r="N28">
            <v>-0.6</v>
          </cell>
          <cell r="O28">
            <v>1.4</v>
          </cell>
          <cell r="P28">
            <v>-3.4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12.336617288364373</v>
          </cell>
          <cell r="H29">
            <v>9.9833297936764538</v>
          </cell>
          <cell r="I29">
            <v>8.0874519176162973</v>
          </cell>
          <cell r="J29">
            <v>7.4815198200827711</v>
          </cell>
          <cell r="K29">
            <v>6.9156343597705554</v>
          </cell>
          <cell r="L29">
            <v>8.1970730704195525</v>
          </cell>
          <cell r="M29">
            <v>13.891405785625052</v>
          </cell>
          <cell r="N29">
            <v>18.652227528093444</v>
          </cell>
          <cell r="O29">
            <v>21.847434865338133</v>
          </cell>
          <cell r="P29">
            <v>6.9156343597705554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131.30157723999997</v>
          </cell>
          <cell r="H30">
            <v>106.87008388387098</v>
          </cell>
          <cell r="I30">
            <v>86.645689283333326</v>
          </cell>
          <cell r="J30">
            <v>79.912194793548395</v>
          </cell>
          <cell r="K30">
            <v>74.112511445161289</v>
          </cell>
          <cell r="L30">
            <v>87.702114233333347</v>
          </cell>
          <cell r="M30">
            <v>148.41271333548389</v>
          </cell>
          <cell r="N30">
            <v>198.84231477333336</v>
          </cell>
          <cell r="O30">
            <v>232.67433114516129</v>
          </cell>
          <cell r="P30">
            <v>74.112511445161289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14.6</v>
          </cell>
          <cell r="H31">
            <v>15.5</v>
          </cell>
          <cell r="I31">
            <v>21</v>
          </cell>
          <cell r="J31">
            <v>25.8</v>
          </cell>
          <cell r="K31">
            <v>27.4</v>
          </cell>
          <cell r="L31">
            <v>13.8</v>
          </cell>
          <cell r="M31">
            <v>12.4</v>
          </cell>
          <cell r="N31">
            <v>10.8</v>
          </cell>
          <cell r="O31">
            <v>6.2</v>
          </cell>
          <cell r="P31">
            <v>27.4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1.2859358325557315</v>
          </cell>
          <cell r="H34">
            <v>0.27227439236338308</v>
          </cell>
          <cell r="I34">
            <v>0.16364182324992455</v>
          </cell>
          <cell r="J34">
            <v>2.8467161555886154E-2</v>
          </cell>
          <cell r="K34">
            <v>0.19659042148390893</v>
          </cell>
          <cell r="L34">
            <v>0.42902119788235332</v>
          </cell>
          <cell r="M34">
            <v>1.231784387523041</v>
          </cell>
          <cell r="N34">
            <v>1.2376485304345926</v>
          </cell>
          <cell r="O34">
            <v>1.0236167923087243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13.681171183550427</v>
          </cell>
          <cell r="H35">
            <v>2.9140530370323043</v>
          </cell>
          <cell r="I35">
            <v>1.7526069426100241</v>
          </cell>
          <cell r="J35">
            <v>0.30397564490890416</v>
          </cell>
          <cell r="K35">
            <v>2.106103609363259</v>
          </cell>
          <cell r="L35">
            <v>4.5891627473969443</v>
          </cell>
          <cell r="M35">
            <v>13.156424642263085</v>
          </cell>
          <cell r="N35">
            <v>13.190290300931988</v>
          </cell>
          <cell r="O35">
            <v>10.901634112703414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32.29328305837295</v>
          </cell>
          <cell r="M36">
            <v>33.774109502568841</v>
          </cell>
          <cell r="N36">
            <v>35.600158381700602</v>
          </cell>
          <cell r="O36">
            <v>34.849595825359479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343.5707462341839</v>
          </cell>
          <cell r="M37">
            <v>360.73401402952663</v>
          </cell>
          <cell r="N37">
            <v>379.41015746118103</v>
          </cell>
          <cell r="O37">
            <v>371.15212012766756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47.724513049041732</v>
          </cell>
          <cell r="M38">
            <v>48.555522152845334</v>
          </cell>
          <cell r="N38">
            <v>50.45194074691571</v>
          </cell>
          <cell r="O38">
            <v>47.132997333064168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507.74480043678903</v>
          </cell>
          <cell r="M39">
            <v>518.61110973668372</v>
          </cell>
          <cell r="N39">
            <v>537.69364107236481</v>
          </cell>
          <cell r="O39">
            <v>501.97172948010854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622.80856614391325</v>
          </cell>
          <cell r="H52">
            <v>404.77237581362579</v>
          </cell>
          <cell r="I52">
            <v>314.40782647711256</v>
          </cell>
          <cell r="J52">
            <v>298.38639432190473</v>
          </cell>
          <cell r="K52">
            <v>277.51120821690495</v>
          </cell>
          <cell r="L52">
            <v>352.96079611407475</v>
          </cell>
          <cell r="M52">
            <v>692.3772462549789</v>
          </cell>
          <cell r="N52">
            <v>806.33735989642719</v>
          </cell>
          <cell r="O52">
            <v>902.97257119574556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6626.1087002000022</v>
          </cell>
          <cell r="H53">
            <v>4332.1303954000005</v>
          </cell>
          <cell r="I53">
            <v>3367.3136154999993</v>
          </cell>
          <cell r="J53">
            <v>3186.2044436000006</v>
          </cell>
          <cell r="K53">
            <v>2973.0205207999998</v>
          </cell>
          <cell r="L53">
            <v>3775.558282</v>
          </cell>
          <cell r="M53">
            <v>7395.1327493999997</v>
          </cell>
          <cell r="N53">
            <v>8593.5736972000013</v>
          </cell>
          <cell r="O53">
            <v>9616.7595715000007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12.838709677419352</v>
          </cell>
          <cell r="I54">
            <v>16.746666666666666</v>
          </cell>
          <cell r="J54">
            <v>20.916129032258063</v>
          </cell>
          <cell r="K54">
            <v>21.78064516129032</v>
          </cell>
          <cell r="L54">
            <v>13.526666666666667</v>
          </cell>
          <cell r="M54">
            <v>8.1580645161290342</v>
          </cell>
          <cell r="N54">
            <v>5.9433333333333325</v>
          </cell>
          <cell r="O54">
            <v>3.5354838709677412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647.29636373718301</v>
          </cell>
          <cell r="H57">
            <v>399.23311790096943</v>
          </cell>
          <cell r="I57">
            <v>318.95062063632389</v>
          </cell>
          <cell r="J57">
            <v>302.4372465189378</v>
          </cell>
          <cell r="K57">
            <v>299.01838851541652</v>
          </cell>
          <cell r="L57">
            <v>359.74623069021459</v>
          </cell>
          <cell r="M57">
            <v>698.83677162586446</v>
          </cell>
          <cell r="N57">
            <v>918.63175948797254</v>
          </cell>
          <cell r="O57">
            <v>1056.2893320424055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6886.6362804260079</v>
          </cell>
          <cell r="H58">
            <v>4272.8457480148054</v>
          </cell>
          <cell r="I58">
            <v>3415.9670246600913</v>
          </cell>
          <cell r="J58">
            <v>3229.4599120669359</v>
          </cell>
          <cell r="K58">
            <v>3203.4302717533501</v>
          </cell>
          <cell r="L58">
            <v>3848.1408577221891</v>
          </cell>
          <cell r="M58">
            <v>7464.1255533579515</v>
          </cell>
          <cell r="N58">
            <v>9790.3558961504805</v>
          </cell>
          <cell r="O58">
            <v>11249.600340285513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30.677245431457621</v>
          </cell>
        </row>
        <row r="93">
          <cell r="R93">
            <v>42096</v>
          </cell>
          <cell r="S93">
            <v>32.46272056517094</v>
          </cell>
        </row>
        <row r="94">
          <cell r="R94">
            <v>42097</v>
          </cell>
          <cell r="S94">
            <v>30.588397627558081</v>
          </cell>
        </row>
        <row r="95">
          <cell r="R95">
            <v>42098</v>
          </cell>
          <cell r="S95">
            <v>26.488452883092407</v>
          </cell>
        </row>
        <row r="96">
          <cell r="R96">
            <v>42099</v>
          </cell>
          <cell r="S96">
            <v>26.800253939111631</v>
          </cell>
        </row>
        <row r="97">
          <cell r="R97">
            <v>42100</v>
          </cell>
          <cell r="S97">
            <v>28.979467533714494</v>
          </cell>
        </row>
        <row r="98">
          <cell r="R98">
            <v>42101</v>
          </cell>
          <cell r="S98">
            <v>29.118400870849975</v>
          </cell>
        </row>
        <row r="99">
          <cell r="R99">
            <v>42102</v>
          </cell>
          <cell r="S99">
            <v>29.123342332419892</v>
          </cell>
        </row>
        <row r="100">
          <cell r="R100">
            <v>42103</v>
          </cell>
          <cell r="S100">
            <v>24.524154010039346</v>
          </cell>
        </row>
        <row r="101">
          <cell r="R101">
            <v>42104</v>
          </cell>
          <cell r="S101">
            <v>20.355808033921317</v>
          </cell>
        </row>
        <row r="102">
          <cell r="R102">
            <v>42105</v>
          </cell>
          <cell r="S102">
            <v>15.817888690539146</v>
          </cell>
        </row>
        <row r="103">
          <cell r="R103">
            <v>42106</v>
          </cell>
          <cell r="S103">
            <v>16.178831481831637</v>
          </cell>
        </row>
        <row r="104">
          <cell r="R104">
            <v>42107</v>
          </cell>
          <cell r="S104">
            <v>21.02890773784463</v>
          </cell>
        </row>
        <row r="105">
          <cell r="R105">
            <v>42108</v>
          </cell>
          <cell r="S105">
            <v>20.307713809890178</v>
          </cell>
        </row>
        <row r="106">
          <cell r="R106">
            <v>42109</v>
          </cell>
          <cell r="S106">
            <v>16.590878846654931</v>
          </cell>
        </row>
        <row r="107">
          <cell r="R107">
            <v>42110</v>
          </cell>
          <cell r="S107">
            <v>15.76829477193891</v>
          </cell>
        </row>
        <row r="108">
          <cell r="R108">
            <v>42111</v>
          </cell>
          <cell r="S108">
            <v>18.568833461656315</v>
          </cell>
        </row>
        <row r="109">
          <cell r="R109">
            <v>42112</v>
          </cell>
          <cell r="S109">
            <v>19.614571040879646</v>
          </cell>
        </row>
        <row r="110">
          <cell r="R110">
            <v>42113</v>
          </cell>
          <cell r="S110">
            <v>18.656931840735112</v>
          </cell>
        </row>
        <row r="111">
          <cell r="R111">
            <v>42114</v>
          </cell>
          <cell r="S111">
            <v>19.563471390013991</v>
          </cell>
        </row>
        <row r="112">
          <cell r="R112">
            <v>42115</v>
          </cell>
          <cell r="S112">
            <v>18.07923956225083</v>
          </cell>
        </row>
        <row r="113">
          <cell r="R113">
            <v>42116</v>
          </cell>
          <cell r="S113">
            <v>18.07682042542401</v>
          </cell>
        </row>
        <row r="114">
          <cell r="R114">
            <v>42117</v>
          </cell>
          <cell r="S114">
            <v>17.194628472384942</v>
          </cell>
        </row>
        <row r="115">
          <cell r="R115">
            <v>42118</v>
          </cell>
          <cell r="S115">
            <v>15.382705185504731</v>
          </cell>
        </row>
        <row r="116">
          <cell r="R116">
            <v>42119</v>
          </cell>
          <cell r="S116">
            <v>12.336617288364373</v>
          </cell>
        </row>
        <row r="117">
          <cell r="R117">
            <v>42120</v>
          </cell>
          <cell r="S117">
            <v>12.659586495655699</v>
          </cell>
        </row>
        <row r="118">
          <cell r="R118">
            <v>42121</v>
          </cell>
          <cell r="S118">
            <v>13.818581100658111</v>
          </cell>
        </row>
        <row r="119">
          <cell r="R119">
            <v>42122</v>
          </cell>
          <cell r="S119">
            <v>18.711239256020551</v>
          </cell>
        </row>
        <row r="120">
          <cell r="R120">
            <v>42123</v>
          </cell>
          <cell r="S120">
            <v>18.289834007546062</v>
          </cell>
        </row>
        <row r="121">
          <cell r="R121">
            <v>42124</v>
          </cell>
          <cell r="S121">
            <v>17.044748050783795</v>
          </cell>
        </row>
        <row r="122">
          <cell r="R122">
            <v>42125</v>
          </cell>
          <cell r="S122">
            <v>16.070703750605009</v>
          </cell>
        </row>
        <row r="123">
          <cell r="R123">
            <v>42126</v>
          </cell>
          <cell r="S123">
            <v>14.767872927011197</v>
          </cell>
        </row>
        <row r="124">
          <cell r="R124">
            <v>42127</v>
          </cell>
          <cell r="S124">
            <v>15.143156882783456</v>
          </cell>
        </row>
        <row r="125">
          <cell r="R125">
            <v>42128</v>
          </cell>
          <cell r="S125">
            <v>14.6251661408568</v>
          </cell>
        </row>
        <row r="126">
          <cell r="R126">
            <v>42129</v>
          </cell>
          <cell r="S126">
            <v>12.576014414092121</v>
          </cell>
        </row>
        <row r="127">
          <cell r="R127">
            <v>42130</v>
          </cell>
          <cell r="S127">
            <v>13.709271554327715</v>
          </cell>
        </row>
        <row r="128">
          <cell r="R128">
            <v>42131</v>
          </cell>
          <cell r="S128">
            <v>13.270363165519885</v>
          </cell>
        </row>
        <row r="129">
          <cell r="R129">
            <v>42132</v>
          </cell>
          <cell r="S129">
            <v>11.296329223612155</v>
          </cell>
        </row>
        <row r="130">
          <cell r="R130">
            <v>42133</v>
          </cell>
          <cell r="S130">
            <v>10.967310771832761</v>
          </cell>
        </row>
        <row r="131">
          <cell r="R131">
            <v>42134</v>
          </cell>
          <cell r="S131">
            <v>11.95038705519555</v>
          </cell>
        </row>
        <row r="132">
          <cell r="R132">
            <v>42135</v>
          </cell>
          <cell r="S132">
            <v>13.656535597894518</v>
          </cell>
        </row>
        <row r="133">
          <cell r="R133">
            <v>42136</v>
          </cell>
          <cell r="S133">
            <v>12.818165560704808</v>
          </cell>
        </row>
        <row r="134">
          <cell r="R134">
            <v>42137</v>
          </cell>
          <cell r="S134">
            <v>12.775069638668246</v>
          </cell>
        </row>
        <row r="135">
          <cell r="R135">
            <v>42138</v>
          </cell>
          <cell r="S135">
            <v>13.531678054988188</v>
          </cell>
        </row>
        <row r="136">
          <cell r="R136">
            <v>42139</v>
          </cell>
          <cell r="S136">
            <v>13.086464438385905</v>
          </cell>
        </row>
        <row r="137">
          <cell r="R137">
            <v>42140</v>
          </cell>
          <cell r="S137">
            <v>10.500449937414034</v>
          </cell>
        </row>
        <row r="138">
          <cell r="R138">
            <v>42141</v>
          </cell>
          <cell r="S138">
            <v>11.476216254816855</v>
          </cell>
        </row>
        <row r="139">
          <cell r="R139">
            <v>42142</v>
          </cell>
          <cell r="S139">
            <v>12.67374784235955</v>
          </cell>
        </row>
        <row r="140">
          <cell r="R140">
            <v>42143</v>
          </cell>
          <cell r="S140">
            <v>12.492318306386101</v>
          </cell>
        </row>
        <row r="141">
          <cell r="R141">
            <v>42144</v>
          </cell>
          <cell r="S141">
            <v>14.371762580338837</v>
          </cell>
        </row>
        <row r="142">
          <cell r="R142">
            <v>42145</v>
          </cell>
          <cell r="S142">
            <v>14.993792525981231</v>
          </cell>
        </row>
        <row r="143">
          <cell r="R143">
            <v>42146</v>
          </cell>
          <cell r="S143">
            <v>13.563665394289348</v>
          </cell>
        </row>
        <row r="144">
          <cell r="R144">
            <v>42147</v>
          </cell>
          <cell r="S144">
            <v>11.94106489789457</v>
          </cell>
        </row>
        <row r="145">
          <cell r="R145">
            <v>42148</v>
          </cell>
          <cell r="S145">
            <v>12.158847009693631</v>
          </cell>
        </row>
        <row r="146">
          <cell r="R146">
            <v>42149</v>
          </cell>
          <cell r="S146">
            <v>12.976170584964329</v>
          </cell>
        </row>
        <row r="147">
          <cell r="R147">
            <v>42150</v>
          </cell>
          <cell r="S147">
            <v>14.898406635112032</v>
          </cell>
        </row>
        <row r="148">
          <cell r="R148">
            <v>42151</v>
          </cell>
          <cell r="S148">
            <v>15.932884208442607</v>
          </cell>
        </row>
        <row r="149">
          <cell r="R149">
            <v>42152</v>
          </cell>
          <cell r="S149">
            <v>14.175583541636694</v>
          </cell>
        </row>
        <row r="150">
          <cell r="R150">
            <v>42153</v>
          </cell>
          <cell r="S150">
            <v>12.172517298062198</v>
          </cell>
        </row>
        <row r="151">
          <cell r="R151">
            <v>42154</v>
          </cell>
          <cell r="S151">
            <v>10.217129826079109</v>
          </cell>
        </row>
        <row r="152">
          <cell r="R152">
            <v>42155</v>
          </cell>
          <cell r="S152">
            <v>9.9833297936764538</v>
          </cell>
        </row>
        <row r="153">
          <cell r="R153">
            <v>42156</v>
          </cell>
          <cell r="S153">
            <v>11.138553848757228</v>
          </cell>
        </row>
        <row r="154">
          <cell r="R154">
            <v>42157</v>
          </cell>
          <cell r="S154">
            <v>11.003023012763272</v>
          </cell>
        </row>
        <row r="155">
          <cell r="R155">
            <v>42158</v>
          </cell>
          <cell r="S155">
            <v>10.573388433417819</v>
          </cell>
        </row>
        <row r="156">
          <cell r="R156">
            <v>42159</v>
          </cell>
          <cell r="S156">
            <v>10.746849399797272</v>
          </cell>
        </row>
        <row r="157">
          <cell r="R157">
            <v>42160</v>
          </cell>
          <cell r="S157">
            <v>10.160940166784341</v>
          </cell>
        </row>
        <row r="158">
          <cell r="R158">
            <v>42161</v>
          </cell>
          <cell r="S158">
            <v>8.219274334229274</v>
          </cell>
        </row>
        <row r="159">
          <cell r="R159">
            <v>42162</v>
          </cell>
          <cell r="S159">
            <v>8.7818334472753126</v>
          </cell>
        </row>
        <row r="160">
          <cell r="R160">
            <v>42163</v>
          </cell>
          <cell r="S160">
            <v>10.694449652365083</v>
          </cell>
        </row>
        <row r="161">
          <cell r="R161">
            <v>42164</v>
          </cell>
          <cell r="S161">
            <v>11.318170860413256</v>
          </cell>
        </row>
        <row r="162">
          <cell r="R162">
            <v>42165</v>
          </cell>
          <cell r="S162">
            <v>10.856343232966216</v>
          </cell>
        </row>
        <row r="163">
          <cell r="R163">
            <v>42166</v>
          </cell>
          <cell r="S163">
            <v>10.592796184617917</v>
          </cell>
        </row>
        <row r="164">
          <cell r="R164">
            <v>42167</v>
          </cell>
          <cell r="S164">
            <v>9.7578283784183615</v>
          </cell>
        </row>
        <row r="165">
          <cell r="R165">
            <v>42168</v>
          </cell>
          <cell r="S165">
            <v>8.0874519176162973</v>
          </cell>
        </row>
        <row r="166">
          <cell r="R166">
            <v>42169</v>
          </cell>
          <cell r="S166">
            <v>8.3527232431608116</v>
          </cell>
        </row>
        <row r="167">
          <cell r="R167">
            <v>42170</v>
          </cell>
          <cell r="S167">
            <v>10.533784697160701</v>
          </cell>
        </row>
        <row r="168">
          <cell r="R168">
            <v>42171</v>
          </cell>
          <cell r="S168">
            <v>11.051272942360116</v>
          </cell>
        </row>
        <row r="169">
          <cell r="R169">
            <v>42172</v>
          </cell>
          <cell r="S169">
            <v>11.171552968152533</v>
          </cell>
        </row>
        <row r="170">
          <cell r="R170">
            <v>42173</v>
          </cell>
          <cell r="S170">
            <v>11.287807611347086</v>
          </cell>
        </row>
        <row r="171">
          <cell r="R171">
            <v>42174</v>
          </cell>
          <cell r="S171">
            <v>11.221964926447567</v>
          </cell>
        </row>
        <row r="172">
          <cell r="R172">
            <v>42175</v>
          </cell>
          <cell r="S172">
            <v>9.6320657383782624</v>
          </cell>
        </row>
        <row r="173">
          <cell r="R173">
            <v>42176</v>
          </cell>
          <cell r="S173">
            <v>10.068684557840834</v>
          </cell>
        </row>
        <row r="174">
          <cell r="R174">
            <v>42177</v>
          </cell>
          <cell r="S174">
            <v>11.900793448201846</v>
          </cell>
        </row>
        <row r="175">
          <cell r="R175">
            <v>42178</v>
          </cell>
          <cell r="S175">
            <v>12.514668333493278</v>
          </cell>
        </row>
        <row r="176">
          <cell r="R176">
            <v>42179</v>
          </cell>
          <cell r="S176">
            <v>12.524604969460771</v>
          </cell>
        </row>
        <row r="177">
          <cell r="R177">
            <v>42180</v>
          </cell>
          <cell r="S177">
            <v>11.591579537906711</v>
          </cell>
        </row>
        <row r="178">
          <cell r="R178">
            <v>42181</v>
          </cell>
          <cell r="S178">
            <v>10.491096429598116</v>
          </cell>
        </row>
        <row r="179">
          <cell r="R179">
            <v>42182</v>
          </cell>
          <cell r="S179">
            <v>8.9860592689411707</v>
          </cell>
        </row>
        <row r="180">
          <cell r="R180">
            <v>42183</v>
          </cell>
          <cell r="S180">
            <v>9.2388504465816332</v>
          </cell>
        </row>
        <row r="181">
          <cell r="R181">
            <v>42184</v>
          </cell>
          <cell r="S181">
            <v>11.076462548321208</v>
          </cell>
        </row>
        <row r="182">
          <cell r="R182">
            <v>42185</v>
          </cell>
          <cell r="S182">
            <v>10.832951940338289</v>
          </cell>
        </row>
        <row r="183">
          <cell r="R183">
            <v>42186</v>
          </cell>
          <cell r="S183">
            <v>10.568222416653482</v>
          </cell>
        </row>
        <row r="184">
          <cell r="R184">
            <v>42187</v>
          </cell>
          <cell r="S184">
            <v>10.252008199334703</v>
          </cell>
        </row>
        <row r="185">
          <cell r="R185">
            <v>42188</v>
          </cell>
          <cell r="S185">
            <v>9.4581659337544721</v>
          </cell>
        </row>
        <row r="186">
          <cell r="R186">
            <v>42189</v>
          </cell>
          <cell r="S186">
            <v>7.7685839626013005</v>
          </cell>
        </row>
        <row r="187">
          <cell r="R187">
            <v>42190</v>
          </cell>
          <cell r="S187">
            <v>7.4815198200827711</v>
          </cell>
        </row>
        <row r="188">
          <cell r="R188">
            <v>42191</v>
          </cell>
          <cell r="S188">
            <v>8.3956674696080977</v>
          </cell>
        </row>
        <row r="189">
          <cell r="R189">
            <v>42192</v>
          </cell>
          <cell r="S189">
            <v>9.7410070359215304</v>
          </cell>
        </row>
        <row r="190">
          <cell r="R190">
            <v>42193</v>
          </cell>
          <cell r="S190">
            <v>10.124209009856298</v>
          </cell>
        </row>
        <row r="191">
          <cell r="R191">
            <v>42194</v>
          </cell>
          <cell r="S191">
            <v>10.304019398838161</v>
          </cell>
        </row>
        <row r="192">
          <cell r="R192">
            <v>42195</v>
          </cell>
          <cell r="S192">
            <v>10.221858257142756</v>
          </cell>
        </row>
        <row r="193">
          <cell r="R193">
            <v>42196</v>
          </cell>
          <cell r="S193">
            <v>8.3894033132418855</v>
          </cell>
        </row>
        <row r="194">
          <cell r="R194">
            <v>42197</v>
          </cell>
          <cell r="S194">
            <v>8.3843553337064272</v>
          </cell>
        </row>
        <row r="195">
          <cell r="R195">
            <v>42198</v>
          </cell>
          <cell r="S195">
            <v>10.601010610209597</v>
          </cell>
        </row>
        <row r="196">
          <cell r="R196">
            <v>42199</v>
          </cell>
          <cell r="S196">
            <v>10.208741115734895</v>
          </cell>
        </row>
        <row r="197">
          <cell r="R197">
            <v>42200</v>
          </cell>
          <cell r="S197">
            <v>12.924143254571844</v>
          </cell>
        </row>
        <row r="198">
          <cell r="R198">
            <v>42201</v>
          </cell>
          <cell r="S198">
            <v>12.551668019700053</v>
          </cell>
        </row>
        <row r="199">
          <cell r="R199">
            <v>42202</v>
          </cell>
          <cell r="S199">
            <v>9.2990339430508389</v>
          </cell>
        </row>
        <row r="200">
          <cell r="R200">
            <v>42203</v>
          </cell>
          <cell r="S200">
            <v>7.6959416619133822</v>
          </cell>
        </row>
        <row r="201">
          <cell r="R201">
            <v>42204</v>
          </cell>
          <cell r="S201">
            <v>8.1498811526718686</v>
          </cell>
        </row>
        <row r="202">
          <cell r="R202">
            <v>42205</v>
          </cell>
          <cell r="S202">
            <v>9.6753351346492096</v>
          </cell>
        </row>
        <row r="203">
          <cell r="R203">
            <v>42206</v>
          </cell>
          <cell r="S203">
            <v>9.662856919296491</v>
          </cell>
        </row>
        <row r="204">
          <cell r="R204">
            <v>42207</v>
          </cell>
          <cell r="S204">
            <v>11.966225353661841</v>
          </cell>
        </row>
        <row r="205">
          <cell r="R205">
            <v>42208</v>
          </cell>
          <cell r="S205">
            <v>11.939966236043933</v>
          </cell>
        </row>
        <row r="206">
          <cell r="R206">
            <v>42209</v>
          </cell>
          <cell r="S206">
            <v>9.5720171627676969</v>
          </cell>
        </row>
        <row r="207">
          <cell r="R207">
            <v>42210</v>
          </cell>
          <cell r="S207">
            <v>8.0197646721725331</v>
          </cell>
        </row>
        <row r="208">
          <cell r="R208">
            <v>42211</v>
          </cell>
          <cell r="S208">
            <v>8.041607397011342</v>
          </cell>
        </row>
        <row r="209">
          <cell r="R209">
            <v>42212</v>
          </cell>
          <cell r="S209">
            <v>9.2368345783925179</v>
          </cell>
        </row>
        <row r="210">
          <cell r="R210">
            <v>42213</v>
          </cell>
          <cell r="S210">
            <v>9.2604844650181324</v>
          </cell>
        </row>
        <row r="211">
          <cell r="R211">
            <v>42214</v>
          </cell>
          <cell r="S211">
            <v>9.5109604735889803</v>
          </cell>
        </row>
        <row r="212">
          <cell r="R212">
            <v>42215</v>
          </cell>
          <cell r="S212">
            <v>9.960010804085428</v>
          </cell>
        </row>
        <row r="213">
          <cell r="R213">
            <v>42216</v>
          </cell>
          <cell r="S213">
            <v>9.0208912166222479</v>
          </cell>
        </row>
        <row r="214">
          <cell r="R214">
            <v>42217</v>
          </cell>
          <cell r="S214">
            <v>7.3274770439122872</v>
          </cell>
        </row>
        <row r="215">
          <cell r="R215">
            <v>42218</v>
          </cell>
          <cell r="S215">
            <v>7.3591133063275187</v>
          </cell>
        </row>
        <row r="216">
          <cell r="R216">
            <v>42219</v>
          </cell>
          <cell r="S216">
            <v>8.4957021969041211</v>
          </cell>
        </row>
        <row r="217">
          <cell r="R217">
            <v>42220</v>
          </cell>
          <cell r="S217">
            <v>8.5215988993338367</v>
          </cell>
        </row>
        <row r="218">
          <cell r="R218">
            <v>42221</v>
          </cell>
          <cell r="S218">
            <v>8.3804475972986712</v>
          </cell>
        </row>
        <row r="219">
          <cell r="R219">
            <v>42222</v>
          </cell>
          <cell r="S219">
            <v>8.7797788551200622</v>
          </cell>
        </row>
        <row r="220">
          <cell r="R220">
            <v>42223</v>
          </cell>
          <cell r="S220">
            <v>7.897185705717761</v>
          </cell>
        </row>
        <row r="221">
          <cell r="R221">
            <v>42224</v>
          </cell>
          <cell r="S221">
            <v>6.9156343597705554</v>
          </cell>
        </row>
        <row r="222">
          <cell r="R222">
            <v>42225</v>
          </cell>
          <cell r="S222">
            <v>7.0797433898515889</v>
          </cell>
        </row>
        <row r="223">
          <cell r="R223">
            <v>42226</v>
          </cell>
          <cell r="S223">
            <v>8.7429757997753992</v>
          </cell>
        </row>
        <row r="224">
          <cell r="R224">
            <v>42227</v>
          </cell>
          <cell r="S224">
            <v>8.8873771330949971</v>
          </cell>
        </row>
        <row r="225">
          <cell r="R225">
            <v>42228</v>
          </cell>
          <cell r="S225">
            <v>9.342068052433266</v>
          </cell>
        </row>
        <row r="226">
          <cell r="R226">
            <v>42229</v>
          </cell>
          <cell r="S226">
            <v>9.0227963088585845</v>
          </cell>
        </row>
        <row r="227">
          <cell r="R227">
            <v>42230</v>
          </cell>
          <cell r="S227">
            <v>8.617923221165789</v>
          </cell>
        </row>
        <row r="228">
          <cell r="R228">
            <v>42231</v>
          </cell>
          <cell r="S228">
            <v>7.6367264902928698</v>
          </cell>
        </row>
        <row r="229">
          <cell r="R229">
            <v>42232</v>
          </cell>
          <cell r="S229">
            <v>7.6500080231819716</v>
          </cell>
        </row>
        <row r="230">
          <cell r="R230">
            <v>42233</v>
          </cell>
          <cell r="S230">
            <v>10.770115115200538</v>
          </cell>
        </row>
        <row r="231">
          <cell r="R231">
            <v>42234</v>
          </cell>
          <cell r="S231">
            <v>12.275837216732805</v>
          </cell>
        </row>
        <row r="232">
          <cell r="R232">
            <v>42235</v>
          </cell>
          <cell r="S232">
            <v>10.30598544170101</v>
          </cell>
        </row>
        <row r="233">
          <cell r="R233">
            <v>42236</v>
          </cell>
          <cell r="S233">
            <v>10.198907925134305</v>
          </cell>
        </row>
        <row r="234">
          <cell r="R234">
            <v>42237</v>
          </cell>
          <cell r="S234">
            <v>9.732554603645001</v>
          </cell>
        </row>
        <row r="235">
          <cell r="R235">
            <v>42238</v>
          </cell>
          <cell r="S235">
            <v>8.1906102744069553</v>
          </cell>
        </row>
        <row r="236">
          <cell r="R236">
            <v>42239</v>
          </cell>
          <cell r="S236">
            <v>8.2763648372854224</v>
          </cell>
        </row>
        <row r="237">
          <cell r="R237">
            <v>42240</v>
          </cell>
          <cell r="S237">
            <v>10.116631278412976</v>
          </cell>
        </row>
        <row r="238">
          <cell r="R238">
            <v>42241</v>
          </cell>
          <cell r="S238">
            <v>10.634514211604086</v>
          </cell>
        </row>
        <row r="239">
          <cell r="R239">
            <v>42242</v>
          </cell>
          <cell r="S239">
            <v>10.43281949410752</v>
          </cell>
        </row>
        <row r="240">
          <cell r="R240">
            <v>42243</v>
          </cell>
          <cell r="S240">
            <v>10.258901112878878</v>
          </cell>
        </row>
        <row r="241">
          <cell r="R241">
            <v>42244</v>
          </cell>
          <cell r="S241">
            <v>9.621705007623234</v>
          </cell>
        </row>
        <row r="242">
          <cell r="R242">
            <v>42245</v>
          </cell>
          <cell r="S242">
            <v>7.90341361582934</v>
          </cell>
        </row>
        <row r="243">
          <cell r="R243">
            <v>42246</v>
          </cell>
          <cell r="S243">
            <v>8.0524275904776808</v>
          </cell>
        </row>
        <row r="244">
          <cell r="R244">
            <v>42247</v>
          </cell>
          <cell r="S244">
            <v>10.083864108825882</v>
          </cell>
        </row>
        <row r="245">
          <cell r="R245">
            <v>42248</v>
          </cell>
          <cell r="S245">
            <v>9.7007445267766368</v>
          </cell>
        </row>
        <row r="246">
          <cell r="R246">
            <v>42249</v>
          </cell>
          <cell r="S246">
            <v>10.351424075733302</v>
          </cell>
        </row>
        <row r="247">
          <cell r="R247">
            <v>42250</v>
          </cell>
          <cell r="S247">
            <v>10.675088543805986</v>
          </cell>
        </row>
        <row r="248">
          <cell r="R248">
            <v>42251</v>
          </cell>
          <cell r="S248">
            <v>11.29469983214782</v>
          </cell>
        </row>
        <row r="249">
          <cell r="R249">
            <v>42252</v>
          </cell>
          <cell r="S249">
            <v>8.1970730704195525</v>
          </cell>
        </row>
        <row r="250">
          <cell r="R250">
            <v>42253</v>
          </cell>
          <cell r="S250">
            <v>9.2336958503371118</v>
          </cell>
        </row>
        <row r="251">
          <cell r="R251">
            <v>42254</v>
          </cell>
          <cell r="S251">
            <v>11.597554488210992</v>
          </cell>
        </row>
        <row r="252">
          <cell r="R252">
            <v>42255</v>
          </cell>
          <cell r="S252">
            <v>11.40204196931642</v>
          </cell>
        </row>
        <row r="253">
          <cell r="R253">
            <v>42256</v>
          </cell>
          <cell r="S253">
            <v>12.222584744863941</v>
          </cell>
        </row>
        <row r="254">
          <cell r="R254">
            <v>42257</v>
          </cell>
          <cell r="S254">
            <v>12.198425235856467</v>
          </cell>
        </row>
        <row r="255">
          <cell r="R255">
            <v>42258</v>
          </cell>
          <cell r="S255">
            <v>14.667928928492055</v>
          </cell>
        </row>
        <row r="256">
          <cell r="R256">
            <v>42259</v>
          </cell>
          <cell r="S256">
            <v>9.4355036584976215</v>
          </cell>
        </row>
        <row r="257">
          <cell r="R257">
            <v>42260</v>
          </cell>
          <cell r="S257">
            <v>9.3491360221922815</v>
          </cell>
        </row>
        <row r="258">
          <cell r="R258">
            <v>42261</v>
          </cell>
          <cell r="S258">
            <v>11.066872022129369</v>
          </cell>
        </row>
        <row r="259">
          <cell r="R259">
            <v>42262</v>
          </cell>
          <cell r="S259">
            <v>11.139047681373635</v>
          </cell>
        </row>
        <row r="260">
          <cell r="R260">
            <v>42263</v>
          </cell>
          <cell r="S260">
            <v>10.696748561847132</v>
          </cell>
        </row>
        <row r="261">
          <cell r="R261">
            <v>42264</v>
          </cell>
          <cell r="S261">
            <v>10.390631158546531</v>
          </cell>
        </row>
        <row r="262">
          <cell r="R262">
            <v>42265</v>
          </cell>
          <cell r="S262">
            <v>10.437855721536367</v>
          </cell>
        </row>
        <row r="263">
          <cell r="R263">
            <v>42266</v>
          </cell>
          <cell r="S263">
            <v>8.9750896284534942</v>
          </cell>
        </row>
        <row r="264">
          <cell r="R264">
            <v>42267</v>
          </cell>
          <cell r="S264">
            <v>10.140231654609236</v>
          </cell>
        </row>
        <row r="265">
          <cell r="R265">
            <v>42268</v>
          </cell>
          <cell r="S265">
            <v>14.685402776933721</v>
          </cell>
        </row>
        <row r="266">
          <cell r="R266">
            <v>42269</v>
          </cell>
          <cell r="S266">
            <v>12.553554758620496</v>
          </cell>
        </row>
        <row r="267">
          <cell r="R267">
            <v>42270</v>
          </cell>
          <cell r="S267">
            <v>14.359633688987152</v>
          </cell>
        </row>
        <row r="268">
          <cell r="R268">
            <v>42271</v>
          </cell>
          <cell r="S268">
            <v>13.187685903645663</v>
          </cell>
        </row>
        <row r="269">
          <cell r="R269">
            <v>42272</v>
          </cell>
          <cell r="S269">
            <v>12.952785702018016</v>
          </cell>
        </row>
        <row r="270">
          <cell r="R270">
            <v>42273</v>
          </cell>
          <cell r="S270">
            <v>11.714102901755435</v>
          </cell>
        </row>
        <row r="271">
          <cell r="R271">
            <v>42274</v>
          </cell>
          <cell r="S271">
            <v>12.05665177038618</v>
          </cell>
        </row>
        <row r="272">
          <cell r="R272">
            <v>42275</v>
          </cell>
          <cell r="S272">
            <v>13.31929253083147</v>
          </cell>
        </row>
        <row r="273">
          <cell r="R273">
            <v>42276</v>
          </cell>
          <cell r="S273">
            <v>16.378723737316371</v>
          </cell>
        </row>
        <row r="274">
          <cell r="R274">
            <v>42277</v>
          </cell>
          <cell r="S274">
            <v>18.580584968434316</v>
          </cell>
        </row>
        <row r="275">
          <cell r="R275">
            <v>42278</v>
          </cell>
          <cell r="S275">
            <v>18.92168176607754</v>
          </cell>
        </row>
        <row r="276">
          <cell r="R276">
            <v>42279</v>
          </cell>
          <cell r="S276">
            <v>17.859079077775508</v>
          </cell>
        </row>
        <row r="277">
          <cell r="R277">
            <v>42280</v>
          </cell>
          <cell r="S277">
            <v>14.158911197204462</v>
          </cell>
        </row>
        <row r="278">
          <cell r="R278">
            <v>42281</v>
          </cell>
          <cell r="S278">
            <v>13.891405785625052</v>
          </cell>
        </row>
        <row r="279">
          <cell r="R279">
            <v>42282</v>
          </cell>
          <cell r="S279">
            <v>15.701599472846643</v>
          </cell>
        </row>
        <row r="280">
          <cell r="R280">
            <v>42283</v>
          </cell>
          <cell r="S280">
            <v>16.066707061324717</v>
          </cell>
        </row>
        <row r="281">
          <cell r="R281">
            <v>42284</v>
          </cell>
          <cell r="S281">
            <v>18.367584583883939</v>
          </cell>
        </row>
        <row r="282">
          <cell r="R282">
            <v>42285</v>
          </cell>
          <cell r="S282">
            <v>19.573674881397462</v>
          </cell>
        </row>
        <row r="283">
          <cell r="R283">
            <v>42286</v>
          </cell>
          <cell r="S283">
            <v>20.108905185047394</v>
          </cell>
        </row>
        <row r="284">
          <cell r="R284">
            <v>42287</v>
          </cell>
          <cell r="S284">
            <v>17.884759805823556</v>
          </cell>
        </row>
        <row r="285">
          <cell r="R285">
            <v>42288</v>
          </cell>
          <cell r="S285">
            <v>20.746931442756491</v>
          </cell>
        </row>
        <row r="286">
          <cell r="R286">
            <v>42289</v>
          </cell>
          <cell r="S286">
            <v>27.530719494693717</v>
          </cell>
        </row>
        <row r="287">
          <cell r="R287">
            <v>42290</v>
          </cell>
          <cell r="S287">
            <v>30.622928281272621</v>
          </cell>
        </row>
        <row r="288">
          <cell r="R288">
            <v>42291</v>
          </cell>
          <cell r="S288">
            <v>29.183774606730523</v>
          </cell>
        </row>
        <row r="289">
          <cell r="R289">
            <v>42292</v>
          </cell>
          <cell r="S289">
            <v>28.202373459662063</v>
          </cell>
        </row>
        <row r="290">
          <cell r="R290">
            <v>42293</v>
          </cell>
          <cell r="S290">
            <v>25.078679715217604</v>
          </cell>
        </row>
        <row r="291">
          <cell r="R291">
            <v>42294</v>
          </cell>
          <cell r="S291">
            <v>21.138062621865899</v>
          </cell>
        </row>
        <row r="292">
          <cell r="R292">
            <v>42295</v>
          </cell>
          <cell r="S292">
            <v>22.284270149972549</v>
          </cell>
        </row>
        <row r="293">
          <cell r="R293">
            <v>42296</v>
          </cell>
          <cell r="S293">
            <v>27.370289306637236</v>
          </cell>
        </row>
        <row r="294">
          <cell r="R294">
            <v>42297</v>
          </cell>
          <cell r="S294">
            <v>28.051681025234185</v>
          </cell>
        </row>
        <row r="295">
          <cell r="R295">
            <v>42298</v>
          </cell>
          <cell r="S295">
            <v>27.064873591736855</v>
          </cell>
        </row>
        <row r="296">
          <cell r="R296">
            <v>42299</v>
          </cell>
          <cell r="S296">
            <v>24.094114205962875</v>
          </cell>
        </row>
        <row r="297">
          <cell r="R297">
            <v>42300</v>
          </cell>
          <cell r="S297">
            <v>22.978637688539639</v>
          </cell>
        </row>
        <row r="298">
          <cell r="R298">
            <v>42301</v>
          </cell>
          <cell r="S298">
            <v>21.87958899760692</v>
          </cell>
        </row>
        <row r="299">
          <cell r="R299">
            <v>42302</v>
          </cell>
          <cell r="S299">
            <v>21.544798719380612</v>
          </cell>
        </row>
        <row r="300">
          <cell r="R300">
            <v>42303</v>
          </cell>
          <cell r="S300">
            <v>23.314474077801947</v>
          </cell>
        </row>
        <row r="301">
          <cell r="R301">
            <v>42304</v>
          </cell>
          <cell r="S301">
            <v>23.946853764479457</v>
          </cell>
        </row>
        <row r="302">
          <cell r="R302">
            <v>42305</v>
          </cell>
          <cell r="S302">
            <v>24.437909136442212</v>
          </cell>
        </row>
        <row r="303">
          <cell r="R303">
            <v>42306</v>
          </cell>
          <cell r="S303">
            <v>25.783659866615498</v>
          </cell>
        </row>
        <row r="304">
          <cell r="R304">
            <v>42307</v>
          </cell>
          <cell r="S304">
            <v>24.610811256989859</v>
          </cell>
        </row>
        <row r="305">
          <cell r="R305">
            <v>42308</v>
          </cell>
          <cell r="S305">
            <v>19.977506028373849</v>
          </cell>
        </row>
        <row r="306">
          <cell r="R306">
            <v>42309</v>
          </cell>
          <cell r="S306">
            <v>21.975291745103874</v>
          </cell>
        </row>
        <row r="307">
          <cell r="R307">
            <v>42310</v>
          </cell>
          <cell r="S307">
            <v>28.830017212961707</v>
          </cell>
        </row>
        <row r="308">
          <cell r="R308">
            <v>42311</v>
          </cell>
          <cell r="S308">
            <v>30.353094090966358</v>
          </cell>
        </row>
        <row r="309">
          <cell r="R309">
            <v>42312</v>
          </cell>
          <cell r="S309">
            <v>30.413648252252301</v>
          </cell>
        </row>
        <row r="310">
          <cell r="R310">
            <v>42313</v>
          </cell>
          <cell r="S310">
            <v>28.898448038579161</v>
          </cell>
        </row>
        <row r="311">
          <cell r="R311">
            <v>42314</v>
          </cell>
          <cell r="S311">
            <v>26.146870802521956</v>
          </cell>
        </row>
        <row r="312">
          <cell r="R312">
            <v>42315</v>
          </cell>
          <cell r="S312">
            <v>20.134828403783803</v>
          </cell>
        </row>
        <row r="313">
          <cell r="R313">
            <v>42316</v>
          </cell>
          <cell r="S313">
            <v>18.652227528093444</v>
          </cell>
        </row>
        <row r="314">
          <cell r="R314">
            <v>42317</v>
          </cell>
          <cell r="S314">
            <v>22.613414268942723</v>
          </cell>
        </row>
        <row r="315">
          <cell r="R315">
            <v>42318</v>
          </cell>
          <cell r="S315">
            <v>20.403618575984876</v>
          </cell>
        </row>
        <row r="316">
          <cell r="R316">
            <v>42319</v>
          </cell>
          <cell r="S316">
            <v>20.109653320035573</v>
          </cell>
        </row>
        <row r="317">
          <cell r="R317">
            <v>42320</v>
          </cell>
          <cell r="S317">
            <v>23.855454835256761</v>
          </cell>
        </row>
        <row r="318">
          <cell r="R318">
            <v>42321</v>
          </cell>
          <cell r="S318">
            <v>22.998249844479609</v>
          </cell>
        </row>
        <row r="319">
          <cell r="R319">
            <v>42322</v>
          </cell>
          <cell r="S319">
            <v>21.660337925754305</v>
          </cell>
        </row>
        <row r="320">
          <cell r="R320">
            <v>42323</v>
          </cell>
          <cell r="S320">
            <v>21.777963192946068</v>
          </cell>
        </row>
        <row r="321">
          <cell r="R321">
            <v>42324</v>
          </cell>
          <cell r="S321">
            <v>21.955628335468212</v>
          </cell>
        </row>
        <row r="322">
          <cell r="R322">
            <v>42325</v>
          </cell>
          <cell r="S322">
            <v>22.232103099684998</v>
          </cell>
        </row>
        <row r="323">
          <cell r="R323">
            <v>42326</v>
          </cell>
          <cell r="S323">
            <v>22.227674118059344</v>
          </cell>
        </row>
        <row r="324">
          <cell r="R324">
            <v>42327</v>
          </cell>
          <cell r="S324">
            <v>23.165451921104371</v>
          </cell>
        </row>
        <row r="325">
          <cell r="R325">
            <v>42328</v>
          </cell>
          <cell r="S325">
            <v>26.737527328958677</v>
          </cell>
        </row>
        <row r="326">
          <cell r="R326">
            <v>42329</v>
          </cell>
          <cell r="S326">
            <v>25.254805639672956</v>
          </cell>
        </row>
        <row r="327">
          <cell r="R327">
            <v>42330</v>
          </cell>
          <cell r="S327">
            <v>28.793857454408549</v>
          </cell>
        </row>
        <row r="328">
          <cell r="R328">
            <v>42331</v>
          </cell>
          <cell r="S328">
            <v>36.749598399109999</v>
          </cell>
        </row>
        <row r="329">
          <cell r="R329">
            <v>42332</v>
          </cell>
          <cell r="S329">
            <v>36.718734036907357</v>
          </cell>
        </row>
        <row r="330">
          <cell r="R330">
            <v>42333</v>
          </cell>
          <cell r="S330">
            <v>39.431885445269579</v>
          </cell>
        </row>
        <row r="331">
          <cell r="R331">
            <v>42334</v>
          </cell>
          <cell r="S331">
            <v>36.881404552546698</v>
          </cell>
        </row>
        <row r="332">
          <cell r="R332">
            <v>42335</v>
          </cell>
          <cell r="S332">
            <v>34.675773337714588</v>
          </cell>
        </row>
        <row r="333">
          <cell r="R333">
            <v>42336</v>
          </cell>
          <cell r="S333">
            <v>30.962272180776093</v>
          </cell>
        </row>
        <row r="334">
          <cell r="R334">
            <v>42337</v>
          </cell>
          <cell r="S334">
            <v>30.541974773037943</v>
          </cell>
        </row>
        <row r="335">
          <cell r="R335">
            <v>42338</v>
          </cell>
          <cell r="S335">
            <v>31.185551236045413</v>
          </cell>
        </row>
        <row r="336">
          <cell r="R336">
            <v>42339</v>
          </cell>
          <cell r="S336">
            <v>30.306001980670718</v>
          </cell>
        </row>
        <row r="337">
          <cell r="R337">
            <v>42340</v>
          </cell>
          <cell r="S337">
            <v>29.021468193895977</v>
          </cell>
        </row>
        <row r="338">
          <cell r="R338">
            <v>42341</v>
          </cell>
          <cell r="S338">
            <v>31.395932327263182</v>
          </cell>
        </row>
        <row r="339">
          <cell r="R339">
            <v>42342</v>
          </cell>
          <cell r="S339">
            <v>30.625802027613254</v>
          </cell>
        </row>
        <row r="340">
          <cell r="R340">
            <v>42343</v>
          </cell>
          <cell r="S340">
            <v>26.801844107656034</v>
          </cell>
        </row>
        <row r="341">
          <cell r="R341">
            <v>42344</v>
          </cell>
          <cell r="S341">
            <v>27.797686702170981</v>
          </cell>
        </row>
        <row r="342">
          <cell r="R342">
            <v>42345</v>
          </cell>
          <cell r="S342">
            <v>32.187244322035838</v>
          </cell>
        </row>
        <row r="343">
          <cell r="R343">
            <v>42346</v>
          </cell>
          <cell r="S343">
            <v>31.413098162149787</v>
          </cell>
        </row>
        <row r="344">
          <cell r="R344">
            <v>42347</v>
          </cell>
          <cell r="S344">
            <v>32.219446115150575</v>
          </cell>
        </row>
        <row r="345">
          <cell r="R345">
            <v>42348</v>
          </cell>
          <cell r="S345">
            <v>33.307818532835618</v>
          </cell>
        </row>
        <row r="346">
          <cell r="R346">
            <v>42349</v>
          </cell>
          <cell r="S346">
            <v>33.052125485259069</v>
          </cell>
        </row>
        <row r="347">
          <cell r="R347">
            <v>42350</v>
          </cell>
          <cell r="S347">
            <v>28.854517786107621</v>
          </cell>
        </row>
        <row r="348">
          <cell r="R348">
            <v>42351</v>
          </cell>
          <cell r="S348">
            <v>29.408472849359399</v>
          </cell>
        </row>
        <row r="349">
          <cell r="R349">
            <v>42352</v>
          </cell>
          <cell r="S349">
            <v>34.509998691494509</v>
          </cell>
        </row>
        <row r="350">
          <cell r="R350">
            <v>42353</v>
          </cell>
          <cell r="S350">
            <v>34.352662078829468</v>
          </cell>
        </row>
        <row r="351">
          <cell r="R351">
            <v>42354</v>
          </cell>
          <cell r="S351">
            <v>31.973088325273611</v>
          </cell>
        </row>
        <row r="352">
          <cell r="R352">
            <v>42355</v>
          </cell>
          <cell r="S352">
            <v>31.206554504471672</v>
          </cell>
        </row>
        <row r="353">
          <cell r="R353">
            <v>42356</v>
          </cell>
          <cell r="S353">
            <v>28.853140547199217</v>
          </cell>
        </row>
        <row r="354">
          <cell r="R354">
            <v>42357</v>
          </cell>
          <cell r="S354">
            <v>25.530285415587532</v>
          </cell>
        </row>
        <row r="355">
          <cell r="R355">
            <v>42358</v>
          </cell>
          <cell r="S355">
            <v>27.657558506556839</v>
          </cell>
        </row>
        <row r="356">
          <cell r="R356">
            <v>42359</v>
          </cell>
          <cell r="S356">
            <v>30.062330926735253</v>
          </cell>
        </row>
        <row r="357">
          <cell r="R357">
            <v>42360</v>
          </cell>
          <cell r="S357">
            <v>26.402039472681921</v>
          </cell>
        </row>
        <row r="358">
          <cell r="R358">
            <v>42361</v>
          </cell>
          <cell r="S358">
            <v>24.814562479022648</v>
          </cell>
        </row>
        <row r="359">
          <cell r="R359">
            <v>42362</v>
          </cell>
          <cell r="S359">
            <v>23.656104953044064</v>
          </cell>
        </row>
        <row r="360">
          <cell r="R360">
            <v>42363</v>
          </cell>
          <cell r="S360">
            <v>22.716489605055276</v>
          </cell>
        </row>
        <row r="361">
          <cell r="R361">
            <v>42364</v>
          </cell>
          <cell r="S361">
            <v>21.847434865338133</v>
          </cell>
        </row>
        <row r="362">
          <cell r="R362">
            <v>42365</v>
          </cell>
          <cell r="S362">
            <v>24.429568140989709</v>
          </cell>
        </row>
        <row r="363">
          <cell r="R363">
            <v>42366</v>
          </cell>
          <cell r="S363">
            <v>26.189235055052912</v>
          </cell>
        </row>
        <row r="364">
          <cell r="R364">
            <v>42367</v>
          </cell>
          <cell r="S364">
            <v>27.919529029109722</v>
          </cell>
        </row>
        <row r="365">
          <cell r="R365">
            <v>42368</v>
          </cell>
          <cell r="S365">
            <v>31.400429941866612</v>
          </cell>
        </row>
        <row r="366">
          <cell r="R366">
            <v>42369</v>
          </cell>
          <cell r="S366">
            <v>33.060100065268387</v>
          </cell>
        </row>
        <row r="367">
          <cell r="R367">
            <v>42370</v>
          </cell>
          <cell r="S367">
            <v>34.064890044007484</v>
          </cell>
        </row>
      </sheetData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>
            <v>15537.59697685305</v>
          </cell>
          <cell r="O6">
            <v>165305.67000000007</v>
          </cell>
          <cell r="P6">
            <v>595100.41200000024</v>
          </cell>
          <cell r="Q6">
            <v>10.63907567214301</v>
          </cell>
          <cell r="R6">
            <v>11702.739657456808</v>
          </cell>
          <cell r="S6">
            <v>125250.32000000008</v>
          </cell>
          <cell r="T6">
            <v>450901.15200000029</v>
          </cell>
          <cell r="U6">
            <v>10.702649436466997</v>
          </cell>
          <cell r="V6">
            <v>9625.201576009209</v>
          </cell>
          <cell r="W6">
            <v>103086.05000000003</v>
          </cell>
          <cell r="X6">
            <v>371109.78000000014</v>
          </cell>
          <cell r="Y6">
            <v>10.710014661608932</v>
          </cell>
          <cell r="Z6">
            <v>20304.203663778913</v>
          </cell>
          <cell r="AA6">
            <v>216802.52999999968</v>
          </cell>
          <cell r="AB6">
            <v>780489.10799999884</v>
          </cell>
          <cell r="AC6">
            <v>10.677716476355002</v>
          </cell>
          <cell r="AD6">
            <v>15329.106080412903</v>
          </cell>
          <cell r="AE6">
            <v>164217.67999999988</v>
          </cell>
          <cell r="AF6">
            <v>591183.64799999958</v>
          </cell>
          <cell r="AG6">
            <v>10.712802112435805</v>
          </cell>
          <cell r="AH6">
            <v>18940.810364605612</v>
          </cell>
          <cell r="AI6">
            <v>202601.46999999997</v>
          </cell>
          <cell r="AJ6">
            <v>729365.2919999999</v>
          </cell>
          <cell r="AK6">
            <v>10.696557649856317</v>
          </cell>
          <cell r="AL6">
            <v>46780.123820423069</v>
          </cell>
          <cell r="AM6">
            <v>499641.67999999976</v>
          </cell>
          <cell r="AN6">
            <v>1798710.0479999993</v>
          </cell>
          <cell r="AO6">
            <v>10.680640391590163</v>
          </cell>
          <cell r="AP6">
            <v>42183.80587090426</v>
          </cell>
          <cell r="AQ6">
            <v>449569.89000000007</v>
          </cell>
          <cell r="AR6">
            <v>1618451.6040000003</v>
          </cell>
          <cell r="AS6">
            <v>10.657404677421132</v>
          </cell>
          <cell r="AT6">
            <v>28243.295270781789</v>
          </cell>
          <cell r="AU6">
            <v>300794.23</v>
          </cell>
          <cell r="AV6">
            <v>1082859.2279999999</v>
          </cell>
          <cell r="AW6">
            <v>10.65011101276051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2">
        <v>1</v>
      </c>
      <c r="B1" s="202"/>
      <c r="C1" s="190"/>
      <c r="D1" s="191"/>
      <c r="E1" s="191"/>
      <c r="F1" s="214"/>
      <c r="G1" s="190"/>
      <c r="H1" s="191"/>
      <c r="I1" s="191"/>
      <c r="J1" s="220"/>
    </row>
    <row r="2" spans="1:10" ht="36" customHeight="1" x14ac:dyDescent="0.2">
      <c r="A2" s="202"/>
      <c r="B2" s="190"/>
      <c r="C2" s="194"/>
      <c r="D2" s="197"/>
      <c r="E2" s="197"/>
      <c r="F2" s="218"/>
      <c r="G2" s="194"/>
      <c r="H2" s="215"/>
      <c r="I2" s="197"/>
      <c r="J2" s="192"/>
    </row>
    <row r="3" spans="1:10" ht="36" customHeight="1" x14ac:dyDescent="0.2">
      <c r="A3" s="190"/>
      <c r="B3" s="194"/>
      <c r="C3" s="195"/>
      <c r="D3" s="202"/>
      <c r="E3" s="205"/>
      <c r="F3" s="202"/>
      <c r="G3" s="193"/>
      <c r="H3" s="195"/>
      <c r="I3" s="202"/>
      <c r="J3" s="203"/>
    </row>
    <row r="4" spans="1:10" ht="36" customHeight="1" x14ac:dyDescent="0.2">
      <c r="A4" s="216">
        <v>12</v>
      </c>
      <c r="B4" s="197"/>
      <c r="C4" s="198"/>
      <c r="D4" s="202"/>
      <c r="E4" s="202"/>
      <c r="F4" s="202"/>
      <c r="G4" s="196"/>
      <c r="H4" s="198"/>
      <c r="I4" s="202"/>
      <c r="J4" s="204"/>
    </row>
    <row r="5" spans="1:10" ht="36" customHeight="1" x14ac:dyDescent="0.2">
      <c r="A5" s="205"/>
      <c r="B5" s="202"/>
      <c r="C5" s="202"/>
      <c r="D5" s="202"/>
      <c r="E5" s="202"/>
      <c r="F5" s="202"/>
      <c r="G5" s="202"/>
      <c r="H5" s="202"/>
      <c r="I5" s="202"/>
      <c r="J5" s="202"/>
    </row>
    <row r="6" spans="1:10" ht="36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</row>
    <row r="7" spans="1:10" ht="36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</row>
    <row r="8" spans="1:10" ht="36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</row>
    <row r="9" spans="1:10" ht="36" customHeight="1" x14ac:dyDescent="0.2">
      <c r="A9" s="202"/>
      <c r="B9" s="202"/>
      <c r="C9" s="202"/>
      <c r="D9" s="202"/>
      <c r="E9" s="202"/>
      <c r="F9" s="202"/>
      <c r="G9" s="202"/>
      <c r="H9" s="202"/>
      <c r="I9" s="202"/>
      <c r="J9" s="202"/>
    </row>
    <row r="10" spans="1:10" ht="36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0" ht="36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</row>
    <row r="12" spans="1:10" ht="36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36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</row>
    <row r="14" spans="1:10" ht="36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0" ht="36" customHeight="1" x14ac:dyDescent="0.2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36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12"/>
    </row>
    <row r="17" spans="1:10" ht="36" customHeight="1" x14ac:dyDescent="0.2">
      <c r="A17" s="202"/>
      <c r="B17" s="202"/>
      <c r="C17" s="190"/>
      <c r="D17" s="191"/>
      <c r="E17" s="206"/>
      <c r="F17" s="202"/>
      <c r="G17" s="202"/>
      <c r="H17" s="190"/>
      <c r="I17" s="191"/>
      <c r="J17" s="212"/>
    </row>
    <row r="18" spans="1:10" ht="36" customHeight="1" x14ac:dyDescent="0.2">
      <c r="A18" s="202"/>
      <c r="B18" s="202"/>
      <c r="C18" s="202"/>
      <c r="D18" s="197"/>
      <c r="E18" s="210"/>
      <c r="F18" s="211"/>
      <c r="G18" s="191"/>
      <c r="H18" s="194"/>
      <c r="I18" s="194"/>
      <c r="J18" s="220"/>
    </row>
    <row r="19" spans="1:10" ht="36" customHeight="1" x14ac:dyDescent="0.2">
      <c r="A19" s="202"/>
      <c r="B19" s="202"/>
      <c r="C19" s="202"/>
      <c r="D19" s="202"/>
      <c r="E19" s="202"/>
      <c r="F19" s="193"/>
      <c r="G19" s="791" t="s">
        <v>68</v>
      </c>
      <c r="H19" s="791"/>
      <c r="I19" s="207"/>
      <c r="J19" s="192"/>
    </row>
    <row r="20" spans="1:10" ht="36" customHeight="1" x14ac:dyDescent="0.2">
      <c r="A20" s="202"/>
      <c r="B20" s="202"/>
      <c r="C20" s="202"/>
      <c r="D20" s="202"/>
      <c r="E20" s="202"/>
      <c r="F20" s="209"/>
      <c r="G20" s="194"/>
      <c r="H20" s="194"/>
      <c r="I20" s="207"/>
      <c r="J20" s="208"/>
    </row>
    <row r="21" spans="1:10" ht="36" customHeight="1" x14ac:dyDescent="0.2">
      <c r="A21" s="190"/>
      <c r="B21" s="191"/>
      <c r="C21" s="192"/>
      <c r="D21" s="202"/>
      <c r="E21" s="190"/>
      <c r="F21" s="194"/>
      <c r="G21" s="213"/>
      <c r="H21" s="207"/>
      <c r="I21" s="791">
        <v>2015</v>
      </c>
      <c r="J21" s="791"/>
    </row>
    <row r="22" spans="1:10" ht="36" customHeight="1" x14ac:dyDescent="0.2">
      <c r="A22" s="196"/>
      <c r="B22" s="214"/>
      <c r="C22" s="194"/>
      <c r="D22" s="191"/>
      <c r="E22" s="197"/>
      <c r="F22" s="194"/>
      <c r="G22" s="210"/>
      <c r="H22" s="210"/>
      <c r="I22" s="207"/>
      <c r="J22" s="217"/>
    </row>
    <row r="23" spans="1:10" ht="36" customHeight="1" x14ac:dyDescent="0.2">
      <c r="A23" s="792" t="s">
        <v>43</v>
      </c>
      <c r="B23" s="793"/>
      <c r="C23" s="197"/>
      <c r="D23" s="197"/>
      <c r="E23" s="219"/>
      <c r="F23" s="204"/>
      <c r="G23" s="202"/>
      <c r="H23" s="202"/>
      <c r="I23" s="196"/>
      <c r="J23" s="219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829" t="s">
        <v>247</v>
      </c>
      <c r="J1" s="829"/>
    </row>
    <row r="2" spans="1:16" ht="6.75" customHeight="1" x14ac:dyDescent="0.2"/>
    <row r="3" spans="1:16" ht="30" customHeight="1" x14ac:dyDescent="0.2">
      <c r="A3" s="837" t="s">
        <v>283</v>
      </c>
      <c r="B3" s="837"/>
      <c r="C3" s="837"/>
      <c r="D3" s="837"/>
      <c r="E3" s="837"/>
      <c r="F3" s="837"/>
      <c r="G3" s="837"/>
      <c r="H3" s="837"/>
      <c r="I3" s="837"/>
      <c r="J3" s="837"/>
    </row>
    <row r="4" spans="1:16" ht="16.5" customHeight="1" x14ac:dyDescent="0.2">
      <c r="B4" s="241"/>
      <c r="C4" s="836" t="str">
        <f>T!G19</f>
        <v>Prosinec</v>
      </c>
      <c r="D4" s="836"/>
      <c r="E4" s="223">
        <f>T!I21</f>
        <v>2015</v>
      </c>
      <c r="F4" s="241"/>
      <c r="G4" s="241"/>
      <c r="H4" s="241"/>
    </row>
    <row r="5" spans="1:16" ht="6.75" customHeight="1" x14ac:dyDescent="0.2">
      <c r="A5" s="270"/>
      <c r="B5" s="271"/>
      <c r="C5" s="271"/>
      <c r="D5" s="269"/>
      <c r="E5" s="241"/>
      <c r="F5" s="241"/>
      <c r="G5" s="241"/>
      <c r="H5" s="272"/>
      <c r="I5" s="91"/>
    </row>
    <row r="6" spans="1:16" ht="14.1" customHeight="1" x14ac:dyDescent="0.25">
      <c r="A6" s="270"/>
      <c r="B6" s="126"/>
      <c r="C6" s="273"/>
      <c r="D6" s="274"/>
      <c r="E6" s="275"/>
      <c r="F6" s="275"/>
      <c r="G6" s="839" t="s">
        <v>207</v>
      </c>
      <c r="H6" s="276"/>
      <c r="I6" s="275"/>
      <c r="J6" s="273"/>
    </row>
    <row r="7" spans="1:16" ht="14.1" customHeight="1" x14ac:dyDescent="0.25">
      <c r="A7" s="277"/>
      <c r="B7" s="278"/>
      <c r="C7" s="262"/>
      <c r="D7" s="263" t="str">
        <f>T!$G$19</f>
        <v>Prosinec</v>
      </c>
      <c r="E7" s="264">
        <f>E4</f>
        <v>2015</v>
      </c>
      <c r="F7" s="264"/>
      <c r="G7" s="840"/>
      <c r="H7" s="279" t="str">
        <f>T!$G$19</f>
        <v>Prosinec</v>
      </c>
      <c r="I7" s="259">
        <f>E4-1</f>
        <v>2014</v>
      </c>
      <c r="J7" s="273"/>
    </row>
    <row r="8" spans="1:16" ht="14.1" customHeight="1" x14ac:dyDescent="0.2">
      <c r="A8" s="277"/>
      <c r="B8" s="371"/>
      <c r="D8" s="827" t="s">
        <v>71</v>
      </c>
      <c r="E8" s="796"/>
      <c r="F8" s="330" t="s">
        <v>205</v>
      </c>
      <c r="G8" s="840"/>
      <c r="H8" s="828" t="s">
        <v>71</v>
      </c>
      <c r="I8" s="796"/>
      <c r="J8" s="348" t="s">
        <v>205</v>
      </c>
    </row>
    <row r="9" spans="1:16" ht="12" customHeight="1" x14ac:dyDescent="0.2">
      <c r="A9" s="249"/>
      <c r="B9" s="372"/>
      <c r="C9" s="372"/>
      <c r="D9" s="434" t="s">
        <v>15</v>
      </c>
      <c r="E9" s="374" t="s">
        <v>1</v>
      </c>
      <c r="F9" s="331" t="s">
        <v>118</v>
      </c>
      <c r="G9" s="841"/>
      <c r="H9" s="280" t="s">
        <v>15</v>
      </c>
      <c r="I9" s="265" t="s">
        <v>1</v>
      </c>
      <c r="J9" s="349" t="s">
        <v>118</v>
      </c>
    </row>
    <row r="10" spans="1:16" ht="12" customHeight="1" x14ac:dyDescent="0.2">
      <c r="A10" s="842" t="s">
        <v>4</v>
      </c>
      <c r="B10" s="842"/>
      <c r="C10" s="368"/>
      <c r="D10" s="486">
        <f>E7</f>
        <v>2015</v>
      </c>
      <c r="E10" s="367"/>
      <c r="F10" s="332"/>
      <c r="G10" s="314"/>
      <c r="H10" s="484">
        <f>I7</f>
        <v>2014</v>
      </c>
      <c r="I10" s="364"/>
      <c r="J10" s="350"/>
    </row>
    <row r="11" spans="1:16" ht="12" customHeight="1" x14ac:dyDescent="0.2">
      <c r="A11" s="95"/>
      <c r="B11" s="95"/>
      <c r="C11" s="369" t="s">
        <v>17</v>
      </c>
      <c r="D11" s="89">
        <f>'7'!E15</f>
        <v>30146.053999999996</v>
      </c>
      <c r="E11" s="96">
        <f>'7'!F15</f>
        <v>320830.95747000002</v>
      </c>
      <c r="F11" s="333">
        <f>D11/$D$25</f>
        <v>3.2662860236353779E-2</v>
      </c>
      <c r="G11" s="687">
        <f>(D11-H11)/H11</f>
        <v>-9.8327041633850379E-2</v>
      </c>
      <c r="H11" s="96">
        <f>'7'!I15</f>
        <v>33433.468000000001</v>
      </c>
      <c r="I11" s="96">
        <f>'7'!J15</f>
        <v>354493.36898400006</v>
      </c>
      <c r="J11" s="351">
        <f>H11/$H$25</f>
        <v>3.4950099319944236E-2</v>
      </c>
    </row>
    <row r="12" spans="1:16" ht="12" customHeight="1" x14ac:dyDescent="0.2">
      <c r="A12" s="95"/>
      <c r="B12" s="95"/>
      <c r="C12" s="369" t="s">
        <v>18</v>
      </c>
      <c r="D12" s="89">
        <f>'7'!E22</f>
        <v>146472.20000000001</v>
      </c>
      <c r="E12" s="96">
        <f>'7'!F22</f>
        <v>1560583.7347200001</v>
      </c>
      <c r="F12" s="333">
        <f>D12/$D$25</f>
        <v>0.15870073732075379</v>
      </c>
      <c r="G12" s="687">
        <f t="shared" ref="G12" si="0">(D12-H12)/H12</f>
        <v>2.4907530896506016E-2</v>
      </c>
      <c r="H12" s="96">
        <f>'7'!I22</f>
        <v>142912.6</v>
      </c>
      <c r="I12" s="96">
        <f>'7'!J22</f>
        <v>1517408.2106050001</v>
      </c>
      <c r="J12" s="351">
        <f t="shared" ref="J12:J24" si="1">H12/$H$25</f>
        <v>0.14939549687371537</v>
      </c>
      <c r="K12" s="283"/>
      <c r="L12" s="283"/>
      <c r="N12" s="283"/>
      <c r="O12" s="283"/>
      <c r="P12" s="283"/>
    </row>
    <row r="13" spans="1:16" ht="12" customHeight="1" x14ac:dyDescent="0.2">
      <c r="A13" s="291"/>
      <c r="B13" s="267"/>
      <c r="C13" s="369" t="s">
        <v>19</v>
      </c>
      <c r="D13" s="89">
        <f>'7'!E29</f>
        <v>24426</v>
      </c>
      <c r="E13" s="96">
        <f>'7'!F29</f>
        <v>260245.39478000003</v>
      </c>
      <c r="F13" s="333">
        <f>D13/$D$25</f>
        <v>2.6465255589775614E-2</v>
      </c>
      <c r="G13" s="687">
        <f>(D13-H13)/H13</f>
        <v>-4.3520483682755545E-2</v>
      </c>
      <c r="H13" s="96">
        <f>'7'!I29</f>
        <v>25537.4</v>
      </c>
      <c r="I13" s="96">
        <f>'7'!J29</f>
        <v>271149.90941399999</v>
      </c>
      <c r="J13" s="351">
        <f t="shared" si="1"/>
        <v>2.6695844606163619E-2</v>
      </c>
      <c r="K13" s="283"/>
      <c r="L13" s="283"/>
      <c r="N13" s="283"/>
      <c r="O13" s="283"/>
      <c r="P13" s="283"/>
    </row>
    <row r="14" spans="1:16" ht="12" customHeight="1" x14ac:dyDescent="0.2">
      <c r="A14" s="291"/>
      <c r="B14" s="267"/>
      <c r="C14" s="369" t="s">
        <v>20</v>
      </c>
      <c r="D14" s="89">
        <f>'7'!E36</f>
        <v>38105.200000000004</v>
      </c>
      <c r="E14" s="96">
        <f>'7'!F36</f>
        <v>405990.65440000012</v>
      </c>
      <c r="F14" s="333">
        <f>D14/$D$25</f>
        <v>4.128649215178571E-2</v>
      </c>
      <c r="G14" s="687">
        <f>(D14-H14)/H14</f>
        <v>-6.6399119937866402E-2</v>
      </c>
      <c r="H14" s="96">
        <f>'7'!I36</f>
        <v>40815.300000000003</v>
      </c>
      <c r="I14" s="96">
        <f>'7'!J36</f>
        <v>433367.26979399996</v>
      </c>
      <c r="J14" s="351">
        <f t="shared" si="1"/>
        <v>4.2666790916614454E-2</v>
      </c>
      <c r="K14" s="283"/>
      <c r="L14" s="283"/>
      <c r="N14" s="283"/>
      <c r="O14" s="283"/>
      <c r="P14" s="283"/>
    </row>
    <row r="15" spans="1:16" ht="12" customHeight="1" x14ac:dyDescent="0.2">
      <c r="A15" s="291"/>
      <c r="B15" s="267"/>
      <c r="C15" s="369" t="s">
        <v>21</v>
      </c>
      <c r="D15" s="89">
        <f>'7'!E43</f>
        <v>40155.699999999997</v>
      </c>
      <c r="E15" s="96">
        <f>'7'!F43</f>
        <v>427837.71465999994</v>
      </c>
      <c r="F15" s="333">
        <f t="shared" ref="F15:F23" si="2">D15/$D$25</f>
        <v>4.3508182423907006E-2</v>
      </c>
      <c r="G15" s="688">
        <f>(D15-H15)/H15</f>
        <v>-4.1627784314521139E-2</v>
      </c>
      <c r="H15" s="96">
        <f>'7'!I43</f>
        <v>41899.9</v>
      </c>
      <c r="I15" s="96">
        <f>'7'!J43</f>
        <v>444881.61775199999</v>
      </c>
      <c r="J15" s="351">
        <f t="shared" si="1"/>
        <v>4.3800591266683175E-2</v>
      </c>
      <c r="K15" s="283"/>
      <c r="L15" s="283"/>
      <c r="N15" s="283"/>
      <c r="O15" s="283"/>
      <c r="P15" s="283"/>
    </row>
    <row r="16" spans="1:16" ht="12" customHeight="1" x14ac:dyDescent="0.2">
      <c r="A16" s="273"/>
      <c r="B16" s="273"/>
      <c r="C16" s="369" t="s">
        <v>22</v>
      </c>
      <c r="D16" s="89">
        <f>'7'!E50</f>
        <v>97934.781999999992</v>
      </c>
      <c r="E16" s="96">
        <f>'7'!F50</f>
        <v>1043229.7511199999</v>
      </c>
      <c r="F16" s="333">
        <f t="shared" si="2"/>
        <v>0.10611107167604011</v>
      </c>
      <c r="G16" s="688">
        <f t="shared" ref="G16:G27" si="3">(D16-H16)/H16</f>
        <v>-4.72865052198524E-2</v>
      </c>
      <c r="H16" s="96">
        <f>'7'!I50</f>
        <v>102795.628</v>
      </c>
      <c r="I16" s="96">
        <f>'7'!J50</f>
        <v>1091280.926406</v>
      </c>
      <c r="J16" s="351">
        <f t="shared" si="1"/>
        <v>0.10745871197854917</v>
      </c>
      <c r="K16" s="283"/>
      <c r="L16" s="283"/>
      <c r="N16" s="283"/>
      <c r="O16" s="283"/>
      <c r="P16" s="283"/>
    </row>
    <row r="17" spans="1:15" ht="12" customHeight="1" x14ac:dyDescent="0.2">
      <c r="A17" s="273"/>
      <c r="B17" s="273"/>
      <c r="C17" s="369" t="s">
        <v>23</v>
      </c>
      <c r="D17" s="89">
        <f>'7'!E57</f>
        <v>55918.9</v>
      </c>
      <c r="E17" s="96">
        <f>'7'!F57</f>
        <v>595785.34801000007</v>
      </c>
      <c r="F17" s="333">
        <f t="shared" si="2"/>
        <v>6.058740607545663E-2</v>
      </c>
      <c r="G17" s="688">
        <f t="shared" si="3"/>
        <v>-1.7380684613762538E-2</v>
      </c>
      <c r="H17" s="96">
        <f>'7'!I57</f>
        <v>56908</v>
      </c>
      <c r="I17" s="96">
        <f>'7'!J57</f>
        <v>604234.86479300016</v>
      </c>
      <c r="J17" s="351">
        <f t="shared" si="1"/>
        <v>5.9489498729219069E-2</v>
      </c>
      <c r="K17" s="283"/>
      <c r="L17" s="283"/>
    </row>
    <row r="18" spans="1:15" ht="12" customHeight="1" x14ac:dyDescent="0.2">
      <c r="A18" s="273"/>
      <c r="B18" s="273"/>
      <c r="C18" s="369" t="s">
        <v>24</v>
      </c>
      <c r="D18" s="89">
        <f>'8'!E15</f>
        <v>44412.7</v>
      </c>
      <c r="E18" s="96">
        <f>'8'!F15</f>
        <v>473193.51275000011</v>
      </c>
      <c r="F18" s="333">
        <f t="shared" si="2"/>
        <v>4.8120586953738942E-2</v>
      </c>
      <c r="G18" s="688">
        <f t="shared" si="3"/>
        <v>5.6248156850807147E-2</v>
      </c>
      <c r="H18" s="96">
        <f>'8'!I15</f>
        <v>42047.6</v>
      </c>
      <c r="I18" s="96">
        <f>'8'!J15</f>
        <v>446451.57133300003</v>
      </c>
      <c r="J18" s="351">
        <f t="shared" si="1"/>
        <v>4.3954991332795242E-2</v>
      </c>
      <c r="K18" s="283"/>
      <c r="L18" s="283"/>
      <c r="M18" s="283"/>
    </row>
    <row r="19" spans="1:15" ht="12" customHeight="1" x14ac:dyDescent="0.2">
      <c r="A19" s="273"/>
      <c r="B19" s="273"/>
      <c r="C19" s="369" t="s">
        <v>25</v>
      </c>
      <c r="D19" s="89">
        <f>'8'!E22</f>
        <v>44364.100000000006</v>
      </c>
      <c r="E19" s="96">
        <f>'8'!F22</f>
        <v>472675.11952000001</v>
      </c>
      <c r="F19" s="333">
        <f t="shared" si="2"/>
        <v>4.8067929481305352E-2</v>
      </c>
      <c r="G19" s="688">
        <f t="shared" si="3"/>
        <v>1.3469028772458985E-2</v>
      </c>
      <c r="H19" s="96">
        <f>'8'!I22</f>
        <v>43774.5</v>
      </c>
      <c r="I19" s="96">
        <f>'8'!J22</f>
        <v>464785.91764900007</v>
      </c>
      <c r="J19" s="351">
        <f t="shared" si="1"/>
        <v>4.5760228124731149E-2</v>
      </c>
      <c r="K19" s="286"/>
      <c r="L19" s="286"/>
      <c r="M19" s="283"/>
    </row>
    <row r="20" spans="1:15" ht="12" customHeight="1" x14ac:dyDescent="0.2">
      <c r="A20" s="273"/>
      <c r="B20" s="273"/>
      <c r="C20" s="369" t="s">
        <v>3</v>
      </c>
      <c r="D20" s="89">
        <f>'8'!E29</f>
        <v>106324.49353188</v>
      </c>
      <c r="E20" s="96">
        <f>'8'!F29</f>
        <v>1129838.1696431169</v>
      </c>
      <c r="F20" s="333">
        <f t="shared" si="2"/>
        <v>0.11520121578541916</v>
      </c>
      <c r="G20" s="688">
        <f t="shared" si="3"/>
        <v>-0.16710898927085066</v>
      </c>
      <c r="H20" s="96">
        <f>'8'!I29</f>
        <v>127657.15101042917</v>
      </c>
      <c r="I20" s="96">
        <f>'8'!J29</f>
        <v>1350628.2823640779</v>
      </c>
      <c r="J20" s="351">
        <f t="shared" si="1"/>
        <v>0.13344802001143341</v>
      </c>
      <c r="K20" s="283"/>
      <c r="L20" s="283"/>
      <c r="M20" s="283"/>
      <c r="N20" s="283"/>
      <c r="O20" s="283"/>
    </row>
    <row r="21" spans="1:15" ht="12" customHeight="1" x14ac:dyDescent="0.2">
      <c r="A21" s="273"/>
      <c r="B21" s="273"/>
      <c r="C21" s="369" t="s">
        <v>26</v>
      </c>
      <c r="D21" s="89">
        <f>'8'!E36</f>
        <v>113996.622</v>
      </c>
      <c r="E21" s="96">
        <f>'8'!F36</f>
        <v>1214563.5863899998</v>
      </c>
      <c r="F21" s="333">
        <f t="shared" si="2"/>
        <v>0.1235138679112846</v>
      </c>
      <c r="G21" s="688">
        <f t="shared" si="3"/>
        <v>-5.4621978152661545E-2</v>
      </c>
      <c r="H21" s="96">
        <f>'8'!I36</f>
        <v>120583.10999999999</v>
      </c>
      <c r="I21" s="96">
        <f>'8'!J36</f>
        <v>1280228.161023</v>
      </c>
      <c r="J21" s="351">
        <f t="shared" si="1"/>
        <v>0.12605308162490833</v>
      </c>
      <c r="K21" s="283"/>
      <c r="L21" s="283"/>
      <c r="M21" s="283"/>
      <c r="N21" s="283"/>
      <c r="O21" s="283"/>
    </row>
    <row r="22" spans="1:15" ht="12" customHeight="1" x14ac:dyDescent="0.2">
      <c r="A22" s="273"/>
      <c r="B22" s="273"/>
      <c r="C22" s="369" t="s">
        <v>27</v>
      </c>
      <c r="D22" s="89">
        <f>'8'!E43</f>
        <v>87224.856999999989</v>
      </c>
      <c r="E22" s="96">
        <f>'8'!F43</f>
        <v>929119.58407999983</v>
      </c>
      <c r="F22" s="333">
        <f t="shared" si="2"/>
        <v>9.4507006234611821E-2</v>
      </c>
      <c r="G22" s="688">
        <f t="shared" si="3"/>
        <v>6.16562519508611E-2</v>
      </c>
      <c r="H22" s="96">
        <f>'8'!I43</f>
        <v>82159.226999999999</v>
      </c>
      <c r="I22" s="96">
        <f>'8'!J43</f>
        <v>872345.6412630002</v>
      </c>
      <c r="J22" s="351">
        <f t="shared" si="1"/>
        <v>8.5886188764499216E-2</v>
      </c>
      <c r="K22" s="283"/>
      <c r="L22" s="283"/>
      <c r="M22" s="283"/>
      <c r="N22" s="283"/>
      <c r="O22" s="283"/>
    </row>
    <row r="23" spans="1:15" ht="12" customHeight="1" x14ac:dyDescent="0.2">
      <c r="A23" s="273"/>
      <c r="B23" s="273"/>
      <c r="C23" s="369" t="s">
        <v>28</v>
      </c>
      <c r="D23" s="89">
        <f>'8'!E50</f>
        <v>41880.123999999996</v>
      </c>
      <c r="E23" s="96">
        <f>'8'!F50</f>
        <v>446154.87063000002</v>
      </c>
      <c r="F23" s="333">
        <f t="shared" si="2"/>
        <v>4.537657356061147E-2</v>
      </c>
      <c r="G23" s="688">
        <f t="shared" si="3"/>
        <v>-9.7113265043027863E-3</v>
      </c>
      <c r="H23" s="96">
        <f>'8'!I50</f>
        <v>42290.824000000001</v>
      </c>
      <c r="I23" s="96">
        <f>'8'!J50</f>
        <v>448955.42210699996</v>
      </c>
      <c r="J23" s="351">
        <f t="shared" si="1"/>
        <v>4.4209248622436692E-2</v>
      </c>
      <c r="K23" s="283"/>
      <c r="L23" s="283"/>
      <c r="M23" s="283"/>
      <c r="N23" s="283"/>
      <c r="O23" s="283"/>
    </row>
    <row r="24" spans="1:15" ht="12" customHeight="1" x14ac:dyDescent="0.2">
      <c r="A24" s="273"/>
      <c r="B24" s="273"/>
      <c r="C24" s="369" t="s">
        <v>29</v>
      </c>
      <c r="D24" s="89">
        <f>'8'!E57</f>
        <v>51584.2</v>
      </c>
      <c r="E24" s="96">
        <f>'8'!F57</f>
        <v>549601.21453</v>
      </c>
      <c r="F24" s="333">
        <f>D24/$D$25</f>
        <v>5.5890814598956159E-2</v>
      </c>
      <c r="G24" s="688">
        <f t="shared" si="3"/>
        <v>-4.1027233129644153E-2</v>
      </c>
      <c r="H24" s="96">
        <f>'8'!I57</f>
        <v>53791.1</v>
      </c>
      <c r="I24" s="96">
        <f>'8'!J57</f>
        <v>571140.80375600001</v>
      </c>
      <c r="J24" s="351">
        <f t="shared" si="1"/>
        <v>5.6231207828307019E-2</v>
      </c>
      <c r="K24" s="283"/>
      <c r="L24" s="283"/>
      <c r="M24" s="283"/>
      <c r="N24" s="283"/>
      <c r="O24" s="283"/>
    </row>
    <row r="25" spans="1:15" ht="12" customHeight="1" x14ac:dyDescent="0.2">
      <c r="A25" s="432"/>
      <c r="B25" s="432"/>
      <c r="C25" s="427" t="s">
        <v>2</v>
      </c>
      <c r="D25" s="428">
        <f>SUM(D11:D24)</f>
        <v>922945.93253187987</v>
      </c>
      <c r="E25" s="429">
        <f>SUM(E11:E24)</f>
        <v>9829649.6127031166</v>
      </c>
      <c r="F25" s="430">
        <f>SUM(F11:F24)</f>
        <v>1.0000000000000002</v>
      </c>
      <c r="G25" s="689">
        <f>(D25-H25)/H25</f>
        <v>-3.5186777245849836E-2</v>
      </c>
      <c r="H25" s="429">
        <f>SUM(H11:H24)</f>
        <v>956605.80801042903</v>
      </c>
      <c r="I25" s="429">
        <f>SUM(I11:I24)</f>
        <v>10151351.967243079</v>
      </c>
      <c r="J25" s="431">
        <f>SUM(J11:J24)</f>
        <v>1.0000000000000002</v>
      </c>
      <c r="K25" s="286"/>
      <c r="M25" s="283"/>
      <c r="N25" s="283"/>
      <c r="O25" s="283"/>
    </row>
    <row r="26" spans="1:15" ht="12" customHeight="1" x14ac:dyDescent="0.2">
      <c r="A26" s="432"/>
      <c r="B26" s="432"/>
      <c r="C26" s="369" t="s">
        <v>162</v>
      </c>
      <c r="D26" s="247">
        <f>'5'!E16</f>
        <v>-19973.2168126988</v>
      </c>
      <c r="E26" s="173">
        <f>'5'!F16</f>
        <v>-212889.94879999998</v>
      </c>
      <c r="F26" s="346"/>
      <c r="G26" s="688">
        <f t="shared" si="3"/>
        <v>-1.6391530292655951</v>
      </c>
      <c r="H26" s="173">
        <f>'5'!I16</f>
        <v>31249.506609784188</v>
      </c>
      <c r="I26" s="173">
        <f>'5'!J16</f>
        <v>331932.27472999995</v>
      </c>
      <c r="J26" s="361"/>
      <c r="K26" s="286"/>
      <c r="M26" s="283"/>
      <c r="N26" s="283"/>
      <c r="O26" s="283"/>
    </row>
    <row r="27" spans="1:15" ht="12" customHeight="1" x14ac:dyDescent="0.2">
      <c r="A27" s="432"/>
      <c r="B27" s="432"/>
      <c r="C27" s="370" t="s">
        <v>5</v>
      </c>
      <c r="D27" s="250">
        <f>SUM(D25:D26)</f>
        <v>902972.71571918111</v>
      </c>
      <c r="E27" s="251">
        <f>SUM(E25:E26)</f>
        <v>9616759.6639031172</v>
      </c>
      <c r="F27" s="335"/>
      <c r="G27" s="317">
        <f t="shared" si="3"/>
        <v>-8.5926144896700515E-2</v>
      </c>
      <c r="H27" s="285">
        <f>SUM(H25:H26)</f>
        <v>987855.31462021323</v>
      </c>
      <c r="I27" s="251">
        <f>SUM(I25:I26)</f>
        <v>10483284.24197308</v>
      </c>
      <c r="J27" s="353"/>
    </row>
    <row r="28" spans="1:15" ht="12" customHeight="1" x14ac:dyDescent="0.2">
      <c r="A28" s="291"/>
      <c r="B28" s="267"/>
      <c r="C28" s="256"/>
      <c r="D28" s="487"/>
      <c r="E28" s="376"/>
      <c r="F28" s="377"/>
      <c r="G28" s="378"/>
      <c r="H28" s="379"/>
      <c r="I28" s="376"/>
      <c r="J28" s="380"/>
    </row>
    <row r="29" spans="1:15" ht="12" customHeight="1" x14ac:dyDescent="0.2">
      <c r="A29" s="838"/>
      <c r="B29" s="838"/>
      <c r="C29" s="838"/>
      <c r="D29" s="488"/>
      <c r="E29" s="174"/>
      <c r="F29" s="337"/>
      <c r="G29" s="319"/>
      <c r="H29" s="297"/>
      <c r="I29" s="298"/>
      <c r="J29" s="355"/>
    </row>
    <row r="30" spans="1:15" ht="4.5" customHeight="1" x14ac:dyDescent="0.2"/>
    <row r="31" spans="1:15" ht="12" customHeight="1" x14ac:dyDescent="0.2">
      <c r="A31" s="856" t="s">
        <v>227</v>
      </c>
      <c r="B31" s="856"/>
      <c r="C31" s="856"/>
      <c r="D31" s="856"/>
      <c r="E31" s="856"/>
      <c r="F31" s="856"/>
      <c r="G31" s="856"/>
      <c r="H31" s="856"/>
      <c r="I31" s="856"/>
      <c r="J31" s="856"/>
    </row>
    <row r="32" spans="1:15" ht="12" customHeight="1" x14ac:dyDescent="0.2">
      <c r="A32" s="273"/>
      <c r="B32" s="273"/>
      <c r="C32" s="273"/>
      <c r="D32" s="857" t="str">
        <f>D7</f>
        <v>Prosinec</v>
      </c>
      <c r="E32" s="857"/>
      <c r="F32" s="273"/>
      <c r="G32" s="273"/>
      <c r="H32" s="273"/>
      <c r="I32" s="273"/>
      <c r="J32" s="273"/>
    </row>
    <row r="33" spans="1:10" ht="12" customHeight="1" x14ac:dyDescent="0.2">
      <c r="A33" s="273"/>
      <c r="B33" s="273"/>
      <c r="C33" s="273"/>
      <c r="D33" s="273"/>
      <c r="E33" s="273"/>
      <c r="F33" s="273"/>
      <c r="G33" s="273"/>
      <c r="H33" s="273"/>
      <c r="I33" s="273"/>
      <c r="J33" s="273"/>
    </row>
    <row r="34" spans="1:10" ht="12" customHeight="1" x14ac:dyDescent="0.2">
      <c r="A34" s="273"/>
      <c r="B34" s="273"/>
      <c r="C34" s="273"/>
      <c r="D34" s="273"/>
      <c r="E34" s="273"/>
      <c r="F34" s="273"/>
      <c r="G34" s="273"/>
      <c r="H34" s="273"/>
      <c r="I34" s="273"/>
      <c r="J34" s="273"/>
    </row>
    <row r="35" spans="1:10" ht="12" customHeight="1" x14ac:dyDescent="0.2">
      <c r="A35" s="273"/>
      <c r="B35" s="273"/>
      <c r="C35" s="273"/>
      <c r="D35" s="273"/>
      <c r="E35" s="273"/>
      <c r="F35" s="273"/>
      <c r="G35" s="273"/>
      <c r="H35" s="273"/>
      <c r="I35" s="273"/>
      <c r="J35" s="273"/>
    </row>
    <row r="36" spans="1:10" ht="12" customHeight="1" x14ac:dyDescent="0.2">
      <c r="A36" s="273"/>
      <c r="B36" s="273"/>
      <c r="C36" s="273"/>
      <c r="D36" s="273"/>
      <c r="E36" s="273"/>
      <c r="F36" s="273"/>
      <c r="G36" s="273"/>
      <c r="H36" s="273"/>
      <c r="I36" s="273"/>
      <c r="J36" s="273"/>
    </row>
    <row r="37" spans="1:10" ht="12" customHeight="1" x14ac:dyDescent="0.2">
      <c r="A37" s="273"/>
      <c r="B37" s="273"/>
      <c r="C37" s="273"/>
      <c r="D37" s="273"/>
      <c r="E37" s="273"/>
      <c r="F37" s="273"/>
      <c r="G37" s="273"/>
      <c r="H37" s="273"/>
      <c r="I37" s="273"/>
      <c r="J37" s="273"/>
    </row>
    <row r="38" spans="1:10" ht="12" customHeight="1" x14ac:dyDescent="0.2">
      <c r="A38" s="273"/>
      <c r="B38" s="273"/>
      <c r="C38" s="273"/>
      <c r="D38" s="273"/>
      <c r="E38" s="273"/>
      <c r="F38" s="273"/>
      <c r="G38" s="273"/>
      <c r="H38" s="273"/>
      <c r="I38" s="273"/>
      <c r="J38" s="273"/>
    </row>
    <row r="39" spans="1:10" ht="12" customHeight="1" x14ac:dyDescent="0.2">
      <c r="A39" s="273"/>
      <c r="B39" s="273"/>
      <c r="C39" s="273"/>
      <c r="D39" s="273"/>
      <c r="E39" s="273"/>
      <c r="F39" s="273"/>
      <c r="G39" s="273"/>
      <c r="H39" s="273"/>
      <c r="I39" s="273"/>
      <c r="J39" s="273"/>
    </row>
    <row r="40" spans="1:10" ht="12" customHeight="1" x14ac:dyDescent="0.2">
      <c r="A40" s="273"/>
      <c r="B40" s="273"/>
      <c r="C40" s="273"/>
      <c r="D40" s="273"/>
      <c r="E40" s="273"/>
      <c r="F40" s="273"/>
      <c r="G40" s="273"/>
      <c r="H40" s="273"/>
      <c r="I40" s="273"/>
      <c r="J40" s="273"/>
    </row>
    <row r="41" spans="1:10" ht="12" customHeight="1" x14ac:dyDescent="0.2">
      <c r="A41" s="273"/>
      <c r="B41" s="273"/>
      <c r="C41" s="273"/>
      <c r="D41" s="273"/>
      <c r="E41" s="273"/>
      <c r="F41" s="273"/>
      <c r="G41" s="273"/>
      <c r="H41" s="273"/>
      <c r="I41" s="273"/>
      <c r="J41" s="273"/>
    </row>
    <row r="42" spans="1:10" ht="12" customHeight="1" x14ac:dyDescent="0.2">
      <c r="A42" s="273"/>
      <c r="B42" s="273"/>
      <c r="C42" s="273"/>
      <c r="D42" s="273"/>
      <c r="E42" s="273"/>
      <c r="F42" s="273"/>
      <c r="G42" s="273"/>
      <c r="H42" s="273"/>
      <c r="I42" s="273"/>
      <c r="J42" s="273"/>
    </row>
    <row r="43" spans="1:10" ht="12" customHeight="1" x14ac:dyDescent="0.2">
      <c r="A43" s="273"/>
      <c r="B43" s="273"/>
      <c r="C43" s="273"/>
      <c r="D43" s="273"/>
      <c r="E43" s="273"/>
      <c r="F43" s="273"/>
      <c r="G43" s="273"/>
      <c r="H43" s="273"/>
      <c r="I43" s="273"/>
      <c r="J43" s="273"/>
    </row>
    <row r="44" spans="1:10" ht="12" customHeight="1" x14ac:dyDescent="0.2">
      <c r="A44" s="273"/>
      <c r="B44" s="273"/>
      <c r="C44" s="273"/>
      <c r="D44" s="273"/>
      <c r="E44" s="273"/>
      <c r="F44" s="273"/>
      <c r="G44" s="273"/>
      <c r="H44" s="273"/>
      <c r="I44" s="273"/>
      <c r="J44" s="273"/>
    </row>
    <row r="45" spans="1:10" ht="12" customHeight="1" x14ac:dyDescent="0.2">
      <c r="A45" s="273"/>
      <c r="B45" s="273"/>
      <c r="C45" s="273"/>
      <c r="D45" s="274"/>
      <c r="E45" s="273"/>
      <c r="F45" s="275"/>
      <c r="G45" s="854" t="s">
        <v>225</v>
      </c>
      <c r="H45" s="275"/>
      <c r="I45" s="275"/>
      <c r="J45" s="275"/>
    </row>
    <row r="46" spans="1:10" ht="12" customHeight="1" x14ac:dyDescent="0.25">
      <c r="A46" s="270"/>
      <c r="B46" s="126"/>
      <c r="C46" s="273"/>
      <c r="D46" s="263" t="str">
        <f>D7</f>
        <v>Prosinec</v>
      </c>
      <c r="E46" s="264">
        <f>E7</f>
        <v>2015</v>
      </c>
      <c r="F46" s="264"/>
      <c r="G46" s="855"/>
      <c r="H46" s="397" t="str">
        <f>H7</f>
        <v>Prosinec</v>
      </c>
      <c r="I46" s="259">
        <f>I7</f>
        <v>2014</v>
      </c>
      <c r="J46" s="275"/>
    </row>
    <row r="47" spans="1:10" ht="12" customHeight="1" x14ac:dyDescent="0.25">
      <c r="A47" s="277"/>
      <c r="B47" s="278"/>
      <c r="C47" s="262"/>
      <c r="D47" s="827" t="s">
        <v>224</v>
      </c>
      <c r="E47" s="796"/>
      <c r="F47" s="425"/>
      <c r="G47" s="855"/>
      <c r="H47" s="828" t="s">
        <v>224</v>
      </c>
      <c r="I47" s="796"/>
      <c r="J47" s="87"/>
    </row>
    <row r="48" spans="1:10" ht="12" customHeight="1" x14ac:dyDescent="0.2">
      <c r="A48" s="277"/>
      <c r="B48" s="371"/>
      <c r="D48" s="433" t="s">
        <v>69</v>
      </c>
      <c r="E48" s="348" t="s">
        <v>126</v>
      </c>
      <c r="F48" s="393" t="s">
        <v>127</v>
      </c>
      <c r="G48" s="840"/>
      <c r="H48" s="418" t="s">
        <v>69</v>
      </c>
      <c r="I48" s="373" t="s">
        <v>126</v>
      </c>
      <c r="J48" s="373" t="s">
        <v>127</v>
      </c>
    </row>
    <row r="49" spans="1:10" ht="12" customHeight="1" x14ac:dyDescent="0.2">
      <c r="A49" s="249"/>
      <c r="B49" s="372"/>
      <c r="C49" s="372"/>
      <c r="D49" s="434" t="s">
        <v>14</v>
      </c>
      <c r="E49" s="349" t="s">
        <v>14</v>
      </c>
      <c r="F49" s="265" t="s">
        <v>14</v>
      </c>
      <c r="G49" s="434" t="s">
        <v>14</v>
      </c>
      <c r="H49" s="419" t="s">
        <v>14</v>
      </c>
      <c r="I49" s="265" t="s">
        <v>14</v>
      </c>
      <c r="J49" s="265" t="s">
        <v>14</v>
      </c>
    </row>
    <row r="50" spans="1:10" ht="12" customHeight="1" x14ac:dyDescent="0.2">
      <c r="A50" s="842" t="s">
        <v>4</v>
      </c>
      <c r="B50" s="842"/>
      <c r="C50" s="364"/>
      <c r="D50" s="485"/>
      <c r="E50" s="350"/>
      <c r="F50" s="394"/>
      <c r="G50" s="314"/>
      <c r="H50" s="420"/>
      <c r="I50" s="360"/>
      <c r="J50" s="364"/>
    </row>
    <row r="51" spans="1:10" ht="12" customHeight="1" x14ac:dyDescent="0.2">
      <c r="A51" s="95"/>
      <c r="B51" s="95"/>
      <c r="C51" s="369" t="s">
        <v>17</v>
      </c>
      <c r="D51" s="414">
        <f>INDEX([5]MZ!D3:BK3,1,5*T!$A$4-4)</f>
        <v>3.8645161290322569</v>
      </c>
      <c r="E51" s="439">
        <f>INDEX([5]MZ!E3:BL3,1,5*T!$A$4-4)</f>
        <v>7.5</v>
      </c>
      <c r="F51" s="401">
        <f>INDEX([5]MZ!F3:BM3,1,5*T!$A$4-4)</f>
        <v>-3.4</v>
      </c>
      <c r="G51" s="437">
        <f>D51-H51</f>
        <v>1.8870967741935467</v>
      </c>
      <c r="H51" s="421">
        <f>INDEX([6]MZ!D3:BK3,1,5*T!$A$4-4)</f>
        <v>1.9774193548387102</v>
      </c>
      <c r="I51" s="439">
        <f>INDEX([6]MZ!E3:BL3,1,5*T!$A$4-4)</f>
        <v>9.6</v>
      </c>
      <c r="J51" s="403">
        <f>INDEX([6]MZ!F3:BM3,1,5*T!$A$4-4)</f>
        <v>-7.4</v>
      </c>
    </row>
    <row r="52" spans="1:10" ht="12" customHeight="1" x14ac:dyDescent="0.2">
      <c r="A52" s="95"/>
      <c r="B52" s="95"/>
      <c r="C52" s="369" t="s">
        <v>18</v>
      </c>
      <c r="D52" s="414">
        <f>INDEX([5]MZ!D4:BK4,1,5*T!$A$4-4)</f>
        <v>2.8096774193548391</v>
      </c>
      <c r="E52" s="439">
        <f>INDEX([5]MZ!E4:BL4,1,5*T!$A$4-4)</f>
        <v>8.1999999999999993</v>
      </c>
      <c r="F52" s="401">
        <f>INDEX([5]MZ!F4:BM4,1,5*T!$A$4-4)</f>
        <v>-3.7</v>
      </c>
      <c r="G52" s="437">
        <f t="shared" ref="G52:G65" si="4">D52-H52</f>
        <v>0.38064516129032278</v>
      </c>
      <c r="H52" s="421">
        <f>INDEX([6]MZ!D4:BK4,1,5*T!$A$4-4)</f>
        <v>2.4290322580645163</v>
      </c>
      <c r="I52" s="439">
        <f>INDEX([6]MZ!E4:BL4,1,5*T!$A$4-4)</f>
        <v>11.2</v>
      </c>
      <c r="J52" s="403">
        <f>INDEX([6]MZ!F4:BM4,1,5*T!$A$4-4)</f>
        <v>-7.6</v>
      </c>
    </row>
    <row r="53" spans="1:10" ht="12" customHeight="1" x14ac:dyDescent="0.2">
      <c r="A53" s="291"/>
      <c r="B53" s="267"/>
      <c r="C53" s="369" t="s">
        <v>19</v>
      </c>
      <c r="D53" s="414">
        <f>INDEX([5]MZ!D5:BK5,1,5*T!$A$4-4)</f>
        <v>3.8419354838709681</v>
      </c>
      <c r="E53" s="439">
        <f>INDEX([5]MZ!E5:BL5,1,5*T!$A$4-4)</f>
        <v>8.4</v>
      </c>
      <c r="F53" s="401">
        <f>INDEX([5]MZ!F5:BM5,1,5*T!$A$4-4)</f>
        <v>-4.0999999999999996</v>
      </c>
      <c r="G53" s="437">
        <f t="shared" si="4"/>
        <v>2.9580645161290331</v>
      </c>
      <c r="H53" s="421">
        <f>INDEX([6]MZ!D5:BK5,1,5*T!$A$4-4)</f>
        <v>0.88387096774193508</v>
      </c>
      <c r="I53" s="439">
        <f>INDEX([6]MZ!E5:BL5,1,5*T!$A$4-4)</f>
        <v>7.1</v>
      </c>
      <c r="J53" s="403">
        <f>INDEX([6]MZ!F5:BM5,1,5*T!$A$4-4)</f>
        <v>-8.1999999999999993</v>
      </c>
    </row>
    <row r="54" spans="1:10" ht="12" customHeight="1" x14ac:dyDescent="0.2">
      <c r="A54" s="291"/>
      <c r="B54" s="267"/>
      <c r="C54" s="369" t="s">
        <v>20</v>
      </c>
      <c r="D54" s="414">
        <f>INDEX([5]MZ!D6:BK6,1,5*T!$A$4-4)</f>
        <v>3.5193548387096776</v>
      </c>
      <c r="E54" s="439">
        <f>INDEX([5]MZ!E6:BL6,1,5*T!$A$4-4)</f>
        <v>7.9</v>
      </c>
      <c r="F54" s="401">
        <f>INDEX([5]MZ!F6:BM6,1,5*T!$A$4-4)</f>
        <v>-4</v>
      </c>
      <c r="G54" s="437">
        <f t="shared" si="4"/>
        <v>2.0064516129032257</v>
      </c>
      <c r="H54" s="421">
        <f>INDEX([6]MZ!D6:BK6,1,5*T!$A$4-4)</f>
        <v>1.5129032258064519</v>
      </c>
      <c r="I54" s="439">
        <f>INDEX([6]MZ!E6:BL6,1,5*T!$A$4-4)</f>
        <v>8.4</v>
      </c>
      <c r="J54" s="403">
        <f>INDEX([6]MZ!F6:BM6,1,5*T!$A$4-4)</f>
        <v>-7.5</v>
      </c>
    </row>
    <row r="55" spans="1:10" ht="12" customHeight="1" x14ac:dyDescent="0.2">
      <c r="A55" s="291"/>
      <c r="B55" s="267"/>
      <c r="C55" s="369" t="s">
        <v>21</v>
      </c>
      <c r="D55" s="414">
        <f>INDEX([5]MZ!D7:BK7,1,5*T!$A$4-4)</f>
        <v>4.2290322580645157</v>
      </c>
      <c r="E55" s="439">
        <f>INDEX([5]MZ!E7:BL7,1,5*T!$A$4-4)</f>
        <v>7.9</v>
      </c>
      <c r="F55" s="401">
        <f>INDEX([5]MZ!F7:BM7,1,5*T!$A$4-4)</f>
        <v>-2.2999999999999998</v>
      </c>
      <c r="G55" s="437">
        <f t="shared" si="4"/>
        <v>2.4483870967741934</v>
      </c>
      <c r="H55" s="442">
        <f>INDEX([6]MZ!D7:BK7,1,5*T!$A$4-4)</f>
        <v>1.7806451612903222</v>
      </c>
      <c r="I55" s="440">
        <f>INDEX([6]MZ!E7:BL7,1,5*T!$A$4-4)</f>
        <v>8.5</v>
      </c>
      <c r="J55" s="403">
        <f>INDEX([6]MZ!F7:BM7,1,5*T!$A$4-4)</f>
        <v>-7.7</v>
      </c>
    </row>
    <row r="56" spans="1:10" ht="12" customHeight="1" x14ac:dyDescent="0.2">
      <c r="A56" s="273"/>
      <c r="B56" s="273"/>
      <c r="C56" s="369" t="s">
        <v>22</v>
      </c>
      <c r="D56" s="414">
        <f>INDEX([5]MZ!D8:BK8,1,5*T!$A$4-4)</f>
        <v>3.725806451612903</v>
      </c>
      <c r="E56" s="439">
        <f>INDEX([5]MZ!E8:BL8,1,5*T!$A$4-4)</f>
        <v>8.6</v>
      </c>
      <c r="F56" s="401">
        <f>INDEX([5]MZ!F8:BM8,1,5*T!$A$4-4)</f>
        <v>-5.8</v>
      </c>
      <c r="G56" s="437">
        <f t="shared" si="4"/>
        <v>2.2677419354838708</v>
      </c>
      <c r="H56" s="442">
        <f>INDEX([6]MZ!D8:BK8,1,5*T!$A$4-4)</f>
        <v>1.458064516129032</v>
      </c>
      <c r="I56" s="440">
        <f>INDEX([6]MZ!E8:BL8,1,5*T!$A$4-4)</f>
        <v>10.3</v>
      </c>
      <c r="J56" s="403">
        <f>INDEX([6]MZ!F8:BM8,1,5*T!$A$4-4)</f>
        <v>-10.9</v>
      </c>
    </row>
    <row r="57" spans="1:10" ht="12" customHeight="1" x14ac:dyDescent="0.2">
      <c r="A57" s="273"/>
      <c r="B57" s="273"/>
      <c r="C57" s="369" t="s">
        <v>23</v>
      </c>
      <c r="D57" s="414">
        <f>INDEX([5]MZ!D9:BK9,1,5*T!$A$4-4)</f>
        <v>2.7903225806451615</v>
      </c>
      <c r="E57" s="439">
        <f>INDEX([5]MZ!E9:BL9,1,5*T!$A$4-4)</f>
        <v>7.5</v>
      </c>
      <c r="F57" s="401">
        <f>INDEX([5]MZ!F9:BM9,1,5*T!$A$4-4)</f>
        <v>-4.5999999999999996</v>
      </c>
      <c r="G57" s="437">
        <f t="shared" si="4"/>
        <v>1.4741935483870972</v>
      </c>
      <c r="H57" s="442">
        <f>INDEX([6]MZ!D9:BK9,1,5*T!$A$4-4)</f>
        <v>1.3161290322580643</v>
      </c>
      <c r="I57" s="440">
        <f>INDEX([6]MZ!E9:BL9,1,5*T!$A$4-4)</f>
        <v>9.6</v>
      </c>
      <c r="J57" s="403">
        <f>INDEX([6]MZ!F9:BM9,1,5*T!$A$4-4)</f>
        <v>-8.1</v>
      </c>
    </row>
    <row r="58" spans="1:10" ht="12" customHeight="1" x14ac:dyDescent="0.2">
      <c r="A58" s="273"/>
      <c r="B58" s="273"/>
      <c r="C58" s="369" t="s">
        <v>24</v>
      </c>
      <c r="D58" s="414">
        <f>INDEX([5]MZ!D10:BK10,1,5*T!$A$4-4)</f>
        <v>3.5870967741935491</v>
      </c>
      <c r="E58" s="439">
        <f>INDEX([5]MZ!E10:BL10,1,5*T!$A$4-4)</f>
        <v>8.6</v>
      </c>
      <c r="F58" s="401">
        <f>INDEX([5]MZ!F10:BM10,1,5*T!$A$4-4)</f>
        <v>-4</v>
      </c>
      <c r="G58" s="437">
        <f t="shared" si="4"/>
        <v>1.9064516129032265</v>
      </c>
      <c r="H58" s="442">
        <f>INDEX([6]MZ!D10:BK10,1,5*T!$A$4-4)</f>
        <v>1.6806451612903226</v>
      </c>
      <c r="I58" s="440">
        <f>INDEX([6]MZ!E10:BL10,1,5*T!$A$4-4)</f>
        <v>9.6999999999999993</v>
      </c>
      <c r="J58" s="403">
        <f>INDEX([6]MZ!F10:BM10,1,5*T!$A$4-4)</f>
        <v>-7.6</v>
      </c>
    </row>
    <row r="59" spans="1:10" ht="12" customHeight="1" x14ac:dyDescent="0.2">
      <c r="A59" s="273"/>
      <c r="B59" s="273"/>
      <c r="C59" s="369" t="s">
        <v>25</v>
      </c>
      <c r="D59" s="414">
        <f>INDEX([5]MZ!D11:BK11,1,5*T!$A$4-4)</f>
        <v>4.661290322580645</v>
      </c>
      <c r="E59" s="439">
        <f>INDEX([5]MZ!E11:BL11,1,5*T!$A$4-4)</f>
        <v>9.1999999999999993</v>
      </c>
      <c r="F59" s="401">
        <f>INDEX([5]MZ!F11:BM11,1,5*T!$A$4-4)</f>
        <v>-3.2</v>
      </c>
      <c r="G59" s="437">
        <f t="shared" si="4"/>
        <v>2.3709677419354831</v>
      </c>
      <c r="H59" s="442">
        <f>INDEX([6]MZ!D11:BK11,1,5*T!$A$4-4)</f>
        <v>2.2903225806451619</v>
      </c>
      <c r="I59" s="440">
        <f>INDEX([6]MZ!E11:BL11,1,5*T!$A$4-4)</f>
        <v>9.4</v>
      </c>
      <c r="J59" s="403">
        <f>INDEX([6]MZ!F11:BM11,1,5*T!$A$4-4)</f>
        <v>-7.2</v>
      </c>
    </row>
    <row r="60" spans="1:10" ht="12" customHeight="1" x14ac:dyDescent="0.2">
      <c r="A60" s="273"/>
      <c r="B60" s="273"/>
      <c r="C60" s="369" t="s">
        <v>3</v>
      </c>
      <c r="D60" s="414">
        <f>INDEX([5]MZ!D12:BK12,1,5*T!$A$4-4)</f>
        <v>6.2677419354838699</v>
      </c>
      <c r="E60" s="439">
        <f>INDEX([5]MZ!E12:BL12,1,5*T!$A$4-4)</f>
        <v>11</v>
      </c>
      <c r="F60" s="401">
        <f>INDEX([5]MZ!F12:BM12,1,5*T!$A$4-4)</f>
        <v>-0.9</v>
      </c>
      <c r="G60" s="437">
        <f t="shared" si="4"/>
        <v>2.8258064516129022</v>
      </c>
      <c r="H60" s="442">
        <f>INDEX([6]MZ!D12:BK12,1,5*T!$A$4-4)</f>
        <v>3.4419354838709677</v>
      </c>
      <c r="I60" s="440">
        <f>INDEX([6]MZ!E12:BL12,1,5*T!$A$4-4)</f>
        <v>9.4</v>
      </c>
      <c r="J60" s="403">
        <f>INDEX([6]MZ!F12:BM12,1,5*T!$A$4-4)</f>
        <v>-5.2</v>
      </c>
    </row>
    <row r="61" spans="1:10" ht="12" customHeight="1" x14ac:dyDescent="0.2">
      <c r="A61" s="273"/>
      <c r="B61" s="273"/>
      <c r="C61" s="369" t="s">
        <v>26</v>
      </c>
      <c r="D61" s="414">
        <f>INDEX([5]MZ!D13:BK13,1,5*T!$A$4-4)</f>
        <v>5.1096774193548375</v>
      </c>
      <c r="E61" s="439">
        <f>INDEX([5]MZ!E13:BL13,1,5*T!$A$4-4)</f>
        <v>9.8000000000000007</v>
      </c>
      <c r="F61" s="401">
        <f>INDEX([5]MZ!F13:BM13,1,5*T!$A$4-4)</f>
        <v>-2.2999999999999998</v>
      </c>
      <c r="G61" s="437">
        <f t="shared" si="4"/>
        <v>2.399999999999999</v>
      </c>
      <c r="H61" s="442">
        <f>INDEX([6]MZ!D13:BK13,1,5*T!$A$4-4)</f>
        <v>2.7096774193548385</v>
      </c>
      <c r="I61" s="440">
        <f>INDEX([6]MZ!E13:BL13,1,5*T!$A$4-4)</f>
        <v>9.5</v>
      </c>
      <c r="J61" s="403">
        <f>INDEX([6]MZ!F13:BM13,1,5*T!$A$4-4)</f>
        <v>-6.3</v>
      </c>
    </row>
    <row r="62" spans="1:10" ht="12" customHeight="1" x14ac:dyDescent="0.2">
      <c r="A62" s="273"/>
      <c r="B62" s="273"/>
      <c r="C62" s="369" t="s">
        <v>27</v>
      </c>
      <c r="D62" s="414">
        <f>INDEX([5]MZ!D14:BK14,1,5*T!$A$4-4)</f>
        <v>4.8193548387096774</v>
      </c>
      <c r="E62" s="439">
        <f>INDEX([5]MZ!E14:BL14,1,5*T!$A$4-4)</f>
        <v>9.6999999999999993</v>
      </c>
      <c r="F62" s="401">
        <f>INDEX([5]MZ!F14:BM14,1,5*T!$A$4-4)</f>
        <v>-2.2999999999999998</v>
      </c>
      <c r="G62" s="437">
        <f t="shared" si="4"/>
        <v>2.2225806451612904</v>
      </c>
      <c r="H62" s="442">
        <f>INDEX([6]MZ!D14:BK14,1,5*T!$A$4-4)</f>
        <v>2.596774193548387</v>
      </c>
      <c r="I62" s="440">
        <f>INDEX([6]MZ!E14:BL14,1,5*T!$A$4-4)</f>
        <v>9.8000000000000007</v>
      </c>
      <c r="J62" s="403">
        <f>INDEX([6]MZ!F14:BM14,1,5*T!$A$4-4)</f>
        <v>-6.7</v>
      </c>
    </row>
    <row r="63" spans="1:10" ht="12" customHeight="1" x14ac:dyDescent="0.2">
      <c r="A63" s="273"/>
      <c r="B63" s="273"/>
      <c r="C63" s="369" t="s">
        <v>28</v>
      </c>
      <c r="D63" s="414">
        <f>INDEX([5]MZ!D15:BK15,1,5*T!$A$4-4)</f>
        <v>3.1193548387096772</v>
      </c>
      <c r="E63" s="439">
        <f>INDEX([5]MZ!E15:BL15,1,5*T!$A$4-4)</f>
        <v>6.9</v>
      </c>
      <c r="F63" s="401">
        <f>INDEX([5]MZ!F15:BM15,1,5*T!$A$4-4)</f>
        <v>-4.7</v>
      </c>
      <c r="G63" s="437">
        <f t="shared" si="4"/>
        <v>1.9258064516129032</v>
      </c>
      <c r="H63" s="442">
        <f>INDEX([6]MZ!D15:BK15,1,5*T!$A$4-4)</f>
        <v>1.193548387096774</v>
      </c>
      <c r="I63" s="440">
        <f>INDEX([6]MZ!E15:BL15,1,5*T!$A$4-4)</f>
        <v>8.9</v>
      </c>
      <c r="J63" s="403">
        <f>INDEX([6]MZ!F15:BM15,1,5*T!$A$4-4)</f>
        <v>-7.3</v>
      </c>
    </row>
    <row r="64" spans="1:10" ht="12" customHeight="1" x14ac:dyDescent="0.2">
      <c r="A64" s="273"/>
      <c r="B64" s="273"/>
      <c r="C64" s="369" t="s">
        <v>29</v>
      </c>
      <c r="D64" s="414">
        <f>INDEX([5]MZ!D16:BK16,1,5*T!$A$4-4)</f>
        <v>2.564516129032258</v>
      </c>
      <c r="E64" s="439">
        <f>INDEX([5]MZ!E16:BL16,1,5*T!$A$4-4)</f>
        <v>6.8</v>
      </c>
      <c r="F64" s="401">
        <f>INDEX([5]MZ!F16:BM16,1,5*T!$A$4-4)</f>
        <v>-5</v>
      </c>
      <c r="G64" s="437">
        <f t="shared" si="4"/>
        <v>1.0483870967741935</v>
      </c>
      <c r="H64" s="442">
        <f>INDEX([6]MZ!D16:BK16,1,5*T!$A$4-4)</f>
        <v>1.5161290322580645</v>
      </c>
      <c r="I64" s="440">
        <f>INDEX([6]MZ!E16:BL16,1,5*T!$A$4-4)</f>
        <v>9.8000000000000007</v>
      </c>
      <c r="J64" s="403">
        <f>INDEX([6]MZ!F16:BM16,1,5*T!$A$4-4)</f>
        <v>-11.4</v>
      </c>
    </row>
    <row r="65" spans="1:10" ht="12" customHeight="1" x14ac:dyDescent="0.2">
      <c r="A65" s="432"/>
      <c r="B65" s="432"/>
      <c r="C65" s="370" t="s">
        <v>2</v>
      </c>
      <c r="D65" s="415">
        <f>INDEX([5]MZ!D17:BK17,1,5*T!$A$4-4)</f>
        <v>3.5354838709677412</v>
      </c>
      <c r="E65" s="441">
        <f>INDEX([5]MZ!E17:BL17,1,5*T!$A$4-4)</f>
        <v>7.4</v>
      </c>
      <c r="F65" s="405">
        <f>INDEX([5]MZ!F17:BM17,1,5*T!$A$4-4)</f>
        <v>-3.9</v>
      </c>
      <c r="G65" s="438">
        <f t="shared" si="4"/>
        <v>1.6161290322580637</v>
      </c>
      <c r="H65" s="422">
        <f>INDEX([6]MZ!D17:BK17,1,5*T!$A$4-4)</f>
        <v>1.9193548387096775</v>
      </c>
      <c r="I65" s="441">
        <f>INDEX([6]MZ!E17:BL17,1,5*T!$A$4-4)</f>
        <v>9.6999999999999993</v>
      </c>
      <c r="J65" s="407">
        <f>INDEX([6]MZ!F17:BM17,1,5*T!$A$4-4)</f>
        <v>-7</v>
      </c>
    </row>
    <row r="66" spans="1:10" ht="12" customHeight="1" x14ac:dyDescent="0.2">
      <c r="A66" s="291"/>
      <c r="B66" s="267"/>
      <c r="C66" s="256"/>
      <c r="D66" s="416"/>
      <c r="E66" s="435"/>
      <c r="F66" s="395"/>
      <c r="G66" s="378"/>
      <c r="H66" s="423"/>
      <c r="I66" s="435"/>
      <c r="J66" s="392"/>
    </row>
    <row r="67" spans="1:10" ht="12" customHeight="1" x14ac:dyDescent="0.2">
      <c r="A67" s="838"/>
      <c r="B67" s="838"/>
      <c r="C67" s="838"/>
      <c r="D67" s="417"/>
      <c r="E67" s="355"/>
      <c r="F67" s="396"/>
      <c r="G67" s="319"/>
      <c r="H67" s="424"/>
      <c r="I67" s="436"/>
      <c r="J67" s="174"/>
    </row>
    <row r="68" spans="1:10" ht="12" customHeight="1" x14ac:dyDescent="0.2"/>
    <row r="69" spans="1:10" ht="12" customHeight="1" x14ac:dyDescent="0.2"/>
    <row r="70" spans="1:10" ht="12" customHeight="1" x14ac:dyDescent="0.2">
      <c r="A70" s="273"/>
      <c r="B70" s="273"/>
      <c r="C70" s="273"/>
      <c r="D70" s="273"/>
      <c r="E70" s="273"/>
      <c r="F70" s="273"/>
      <c r="G70" s="273"/>
      <c r="H70" s="273"/>
      <c r="I70" s="273"/>
      <c r="J70" s="273"/>
    </row>
    <row r="71" spans="1:10" ht="12" customHeight="1" x14ac:dyDescent="0.2">
      <c r="A71" s="273"/>
      <c r="B71" s="273"/>
      <c r="C71" s="273"/>
      <c r="D71" s="273"/>
      <c r="E71" s="273"/>
      <c r="F71" s="273"/>
      <c r="G71" s="273"/>
      <c r="H71" s="273"/>
      <c r="I71" s="273"/>
      <c r="J71" s="273"/>
    </row>
    <row r="72" spans="1:10" ht="12" customHeight="1" x14ac:dyDescent="0.2">
      <c r="A72" s="273"/>
      <c r="B72" s="273"/>
      <c r="C72" s="273"/>
      <c r="D72" s="273"/>
      <c r="E72" s="273"/>
      <c r="F72" s="273"/>
      <c r="G72" s="273"/>
      <c r="H72" s="273"/>
      <c r="I72" s="273"/>
      <c r="J72" s="273"/>
    </row>
    <row r="73" spans="1:10" ht="12" customHeight="1" x14ac:dyDescent="0.2">
      <c r="A73" s="273"/>
      <c r="B73" s="273"/>
      <c r="C73" s="273"/>
      <c r="D73" s="273"/>
      <c r="E73" s="273"/>
      <c r="F73" s="273"/>
      <c r="G73" s="273"/>
      <c r="H73" s="273"/>
      <c r="I73" s="273"/>
      <c r="J73" s="273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67:C67"/>
    <mergeCell ref="G45:G48"/>
    <mergeCell ref="D47:E47"/>
    <mergeCell ref="H47:I47"/>
    <mergeCell ref="A31:J31"/>
    <mergeCell ref="A50:B50"/>
    <mergeCell ref="D32:E32"/>
    <mergeCell ref="A10:B10"/>
    <mergeCell ref="A29:C29"/>
    <mergeCell ref="I1:J1"/>
    <mergeCell ref="A3:J3"/>
    <mergeCell ref="G6:G9"/>
    <mergeCell ref="D8:E8"/>
    <mergeCell ref="H8:I8"/>
    <mergeCell ref="C4:D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58" t="s">
        <v>53</v>
      </c>
      <c r="P1" s="858"/>
      <c r="R1" s="779"/>
      <c r="S1" s="176"/>
    </row>
    <row r="2" spans="1:19" s="3" customFormat="1" ht="15.75" x14ac:dyDescent="0.25">
      <c r="A2" s="859" t="s">
        <v>168</v>
      </c>
      <c r="B2" s="859"/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  <c r="P2" s="859"/>
      <c r="R2" s="779"/>
      <c r="S2" s="176"/>
    </row>
    <row r="3" spans="1:19" ht="15.75" customHeight="1" x14ac:dyDescent="0.25">
      <c r="A3" s="875" t="str">
        <f>T!$G$19</f>
        <v>Prosinec</v>
      </c>
      <c r="B3" s="876"/>
      <c r="C3" s="876"/>
      <c r="D3" s="876"/>
      <c r="E3" s="876"/>
      <c r="F3" s="876"/>
      <c r="G3" s="876"/>
      <c r="H3" s="876"/>
      <c r="I3" s="873">
        <f>T!$I$21</f>
        <v>2015</v>
      </c>
      <c r="J3" s="874"/>
      <c r="K3" s="874"/>
      <c r="L3" s="874"/>
      <c r="M3" s="874"/>
      <c r="N3" s="874"/>
      <c r="O3" s="874"/>
      <c r="P3" s="874"/>
      <c r="R3" s="779"/>
      <c r="S3" s="176"/>
    </row>
    <row r="4" spans="1:19" ht="13.5" customHeight="1" x14ac:dyDescent="0.25">
      <c r="A4" s="178"/>
      <c r="B4" s="178"/>
      <c r="C4" s="179"/>
      <c r="D4" s="180"/>
      <c r="E4" s="178"/>
      <c r="F4" s="135"/>
      <c r="G4" s="135"/>
      <c r="H4" s="135"/>
      <c r="I4" s="136"/>
      <c r="J4" s="136"/>
      <c r="K4" s="136"/>
      <c r="L4" s="136"/>
      <c r="M4" s="136"/>
      <c r="N4" s="136"/>
      <c r="O4" s="136"/>
      <c r="P4" s="136"/>
      <c r="R4" s="779"/>
      <c r="S4" s="176"/>
    </row>
    <row r="5" spans="1:19" ht="12" customHeight="1" x14ac:dyDescent="0.2">
      <c r="A5" s="867"/>
      <c r="B5" s="867"/>
      <c r="C5" s="868" t="s">
        <v>93</v>
      </c>
      <c r="D5" s="869"/>
      <c r="E5" s="871" t="s">
        <v>94</v>
      </c>
      <c r="F5" s="7"/>
      <c r="G5" s="7"/>
      <c r="H5" s="91"/>
      <c r="I5" s="91"/>
      <c r="J5" s="91"/>
      <c r="K5" s="91"/>
      <c r="L5" s="91"/>
      <c r="M5" s="91"/>
      <c r="N5" s="91"/>
      <c r="O5" s="91"/>
      <c r="P5" s="91"/>
      <c r="R5" s="779"/>
      <c r="S5" s="176"/>
    </row>
    <row r="6" spans="1:19" ht="12" customHeight="1" x14ac:dyDescent="0.2">
      <c r="A6" s="7"/>
      <c r="B6" s="7"/>
      <c r="C6" s="870"/>
      <c r="D6" s="869"/>
      <c r="E6" s="871"/>
      <c r="F6" s="7"/>
      <c r="G6" s="644"/>
      <c r="H6" s="644"/>
      <c r="I6" s="644"/>
      <c r="J6" s="644"/>
      <c r="K6" s="646">
        <v>0</v>
      </c>
      <c r="L6" s="645" t="s">
        <v>181</v>
      </c>
      <c r="M6" s="645"/>
      <c r="N6" s="782" t="e">
        <f>IF(ISNA(K37),NA(),IF(K37+1&lt;=CEILING($C$40/1000,1),K37+1,NA()))</f>
        <v>#N/A</v>
      </c>
      <c r="O6" s="645" t="s">
        <v>181</v>
      </c>
      <c r="P6" s="645"/>
      <c r="R6" s="779"/>
      <c r="S6" s="176"/>
    </row>
    <row r="7" spans="1:19" ht="13.5" customHeight="1" thickBot="1" x14ac:dyDescent="0.25">
      <c r="A7" s="872" t="s">
        <v>81</v>
      </c>
      <c r="B7" s="872"/>
      <c r="C7" s="107" t="s">
        <v>15</v>
      </c>
      <c r="D7" s="108" t="s">
        <v>1</v>
      </c>
      <c r="E7" s="109" t="s">
        <v>14</v>
      </c>
      <c r="F7" s="7"/>
      <c r="G7" s="644"/>
      <c r="H7" s="646"/>
      <c r="I7" s="645" t="s">
        <v>182</v>
      </c>
      <c r="J7" s="645" t="s">
        <v>52</v>
      </c>
      <c r="K7" s="780">
        <f>CEILING(C41/1000,1)</f>
        <v>22</v>
      </c>
      <c r="L7" s="647">
        <f t="shared" ref="L7:L21" si="0">COUNTIFS($I$8:$I$38,"&gt;"&amp;K6,$I$8:$I$38,"&lt;="&amp;K7,$I$8:$I$38,"&gt;=0")</f>
        <v>1</v>
      </c>
      <c r="M7" s="783"/>
      <c r="N7" s="782" t="e">
        <f>IF(ISNA(N6),NA(),IF(N6+1&lt;=CEILING($C$40/1000,1),N6+1,NA()))</f>
        <v>#N/A</v>
      </c>
      <c r="O7" s="647">
        <f t="shared" ref="O7:O38" si="1">COUNTIFS($I$8:$I$38,"&gt;"&amp;N6,$I$8:$I$38,"&lt;="&amp;N7,$I$8:$I$38,"&gt;=0")</f>
        <v>0</v>
      </c>
      <c r="P7" s="783"/>
      <c r="R7" s="779"/>
      <c r="S7" s="176"/>
    </row>
    <row r="8" spans="1:19" ht="12" customHeight="1" x14ac:dyDescent="0.2">
      <c r="A8" s="104">
        <f>IF(ROW(A8)-7&lt;=DAY(DATE($I$3,T!$A$4+1,1)-1),INDEX([7]ČR!A18:A383,DATE(2016,T!$A$4,1)-DATE(2016,1,1)+1,1),"")</f>
        <v>42339</v>
      </c>
      <c r="B8" s="643" t="str">
        <f>IF(ROW(A8)-7&lt;=DAY(DATE($I$3,T!$A$4+1,1)-1),INDEX([7]ČR!B18:B383,DATE(2016,T!$A$4,1)-DATE(2016,1,1)+1,1),"")</f>
        <v>úterý</v>
      </c>
      <c r="C8" s="101">
        <f>IF(ROW(A8)-7&lt;=DAY(DATE($I$3,T!$A$4+1,1)-1),INDEX([7]ČR!D18:D383,DATE(2016,T!$A$4,1)-DATE(2016,1,1)+1,1)/1000,"")</f>
        <v>30306.001980670717</v>
      </c>
      <c r="D8" s="105">
        <f>IF(ROW(A8)-7&lt;=DAY(DATE($I$3,T!$A$4+1,1)-1),INDEX([7]ČR!E18:E383,DATE(2016,T!$A$4,1)-DATE(2016,1,1)+1,1)/1000,"")</f>
        <v>322763.35714516125</v>
      </c>
      <c r="E8" s="106">
        <f>IF(ROW(A8)-7&lt;=DAY(DATE($I$3,T!$A$4+1,1)-1),INDEX([5]PT!AF16:AF381,DATE(2016,T!$A$4,1)-DATE(2016,1,1)+1,1),"")</f>
        <v>6.4</v>
      </c>
      <c r="F8" s="7"/>
      <c r="G8" s="644"/>
      <c r="H8" s="780">
        <f>IF(ISNUMBER(A8),A8,NA())</f>
        <v>42339</v>
      </c>
      <c r="I8" s="648">
        <f>IF(ISNUMBER(A8),C8/1000,NA())</f>
        <v>30.306001980670718</v>
      </c>
      <c r="J8" s="649">
        <f>IF(ISNUMBER(A8),E8,NA())</f>
        <v>6.4</v>
      </c>
      <c r="K8" s="782">
        <f>IF(ISNA(K7),NA(),IF(K7+1&lt;=CEILING($C$40/1000,1),K7+1,NA()))</f>
        <v>23</v>
      </c>
      <c r="L8" s="647">
        <f t="shared" si="0"/>
        <v>1</v>
      </c>
      <c r="M8" s="783"/>
      <c r="N8" s="782" t="e">
        <f t="shared" ref="N8:N38" si="2">IF(ISNA(N7),NA(),IF(N7+1&lt;=CEILING($C$40/1000,1),N7+1,NA()))</f>
        <v>#N/A</v>
      </c>
      <c r="O8" s="647">
        <f t="shared" si="1"/>
        <v>0</v>
      </c>
      <c r="P8" s="783"/>
      <c r="R8" s="779"/>
      <c r="S8" s="176"/>
    </row>
    <row r="9" spans="1:19" ht="12" customHeight="1" x14ac:dyDescent="0.2">
      <c r="A9" s="104">
        <f>IF(ROW(A9)-7&lt;=DAY(DATE($I$3,T!$A$4+1,1)-1),INDEX([7]ČR!A19:A384,DATE(2016,T!$A$4,1)-DATE(2016,1,1)+1,1),"")</f>
        <v>42340</v>
      </c>
      <c r="B9" s="643" t="str">
        <f>IF(ROW(A9)-7&lt;=DAY(DATE($I$3,T!$A$4+1,1)-1),INDEX([7]ČR!B19:B384,DATE(2016,T!$A$4,1)-DATE(2016,1,1)+1,1),"")</f>
        <v>středa</v>
      </c>
      <c r="C9" s="101">
        <f>IF(ROW(A9)-7&lt;=DAY(DATE($I$3,T!$A$4+1,1)-1),INDEX([7]ČR!D19:D384,DATE(2016,T!$A$4,1)-DATE(2016,1,1)+1,1)/1000,"")</f>
        <v>29021.468193895977</v>
      </c>
      <c r="D9" s="105">
        <f>IF(ROW(A9)-7&lt;=DAY(DATE($I$3,T!$A$4+1,1)-1),INDEX([7]ČR!E19:E384,DATE(2016,T!$A$4,1)-DATE(2016,1,1)+1,1)/1000,"")</f>
        <v>309093.43514516129</v>
      </c>
      <c r="E9" s="106">
        <f>IF(ROW(A9)-7&lt;=DAY(DATE($I$3,T!$A$4+1,1)-1),INDEX([5]PT!AF17:AF382,DATE(2016,T!$A$4,1)-DATE(2016,1,1)+1,1),"")</f>
        <v>7</v>
      </c>
      <c r="F9" s="7"/>
      <c r="G9" s="644"/>
      <c r="H9" s="780">
        <f t="shared" ref="H9:H38" si="3">IF(ISNUMBER(A9),A9,NA())</f>
        <v>42340</v>
      </c>
      <c r="I9" s="648">
        <f t="shared" ref="I9:I38" si="4">IF(ISNUMBER(A9),C9/1000,NA())</f>
        <v>29.021468193895977</v>
      </c>
      <c r="J9" s="649">
        <f t="shared" ref="J9:J38" si="5">IF(ISNUMBER(A9),E9,NA())</f>
        <v>7</v>
      </c>
      <c r="K9" s="782">
        <f t="shared" ref="K9:K38" si="6">IF(ISNA(K8),NA(),IF(K8+1&lt;=CEILING($C$40/1000,1),K8+1,NA()))</f>
        <v>24</v>
      </c>
      <c r="L9" s="647">
        <f t="shared" si="0"/>
        <v>1</v>
      </c>
      <c r="M9" s="783"/>
      <c r="N9" s="782" t="e">
        <f t="shared" si="2"/>
        <v>#N/A</v>
      </c>
      <c r="O9" s="647">
        <f t="shared" si="1"/>
        <v>0</v>
      </c>
      <c r="P9" s="783"/>
      <c r="R9" s="779"/>
      <c r="S9" s="176"/>
    </row>
    <row r="10" spans="1:19" ht="12" customHeight="1" x14ac:dyDescent="0.2">
      <c r="A10" s="104">
        <f>IF(ROW(A10)-7&lt;=DAY(DATE($I$3,T!$A$4+1,1)-1),INDEX([7]ČR!A20:A385,DATE(2016,T!$A$4,1)-DATE(2016,1,1)+1,1),"")</f>
        <v>42341</v>
      </c>
      <c r="B10" s="643" t="str">
        <f>IF(ROW(A10)-7&lt;=DAY(DATE($I$3,T!$A$4+1,1)-1),INDEX([7]ČR!B20:B385,DATE(2016,T!$A$4,1)-DATE(2016,1,1)+1,1),"")</f>
        <v>čtvrtek</v>
      </c>
      <c r="C10" s="101">
        <f>IF(ROW(A10)-7&lt;=DAY(DATE($I$3,T!$A$4+1,1)-1),INDEX([7]ČR!D20:D385,DATE(2016,T!$A$4,1)-DATE(2016,1,1)+1,1)/1000,"")</f>
        <v>31395.932327263181</v>
      </c>
      <c r="D10" s="105">
        <f>IF(ROW(A10)-7&lt;=DAY(DATE($I$3,T!$A$4+1,1)-1),INDEX([7]ČR!E20:E385,DATE(2016,T!$A$4,1)-DATE(2016,1,1)+1,1)/1000,"")</f>
        <v>334340.20414516126</v>
      </c>
      <c r="E10" s="106">
        <f>IF(ROW(A10)-7&lt;=DAY(DATE($I$3,T!$A$4+1,1)-1),INDEX([5]PT!AF18:AF383,DATE(2016,T!$A$4,1)-DATE(2016,1,1)+1,1),"")</f>
        <v>4</v>
      </c>
      <c r="F10" s="7"/>
      <c r="G10" s="644"/>
      <c r="H10" s="780">
        <f t="shared" si="3"/>
        <v>42341</v>
      </c>
      <c r="I10" s="648">
        <f t="shared" si="4"/>
        <v>31.395932327263182</v>
      </c>
      <c r="J10" s="649">
        <f t="shared" si="5"/>
        <v>4</v>
      </c>
      <c r="K10" s="782">
        <f t="shared" si="6"/>
        <v>25</v>
      </c>
      <c r="L10" s="647">
        <f t="shared" si="0"/>
        <v>2</v>
      </c>
      <c r="M10" s="783"/>
      <c r="N10" s="782" t="e">
        <f t="shared" si="2"/>
        <v>#N/A</v>
      </c>
      <c r="O10" s="647">
        <f t="shared" si="1"/>
        <v>0</v>
      </c>
      <c r="P10" s="783"/>
      <c r="R10" s="779"/>
      <c r="S10" s="176"/>
    </row>
    <row r="11" spans="1:19" ht="12" customHeight="1" x14ac:dyDescent="0.2">
      <c r="A11" s="104">
        <f>IF(ROW(A11)-7&lt;=DAY(DATE($I$3,T!$A$4+1,1)-1),INDEX([7]ČR!A21:A386,DATE(2016,T!$A$4,1)-DATE(2016,1,1)+1,1),"")</f>
        <v>42342</v>
      </c>
      <c r="B11" s="643" t="str">
        <f>IF(ROW(A11)-7&lt;=DAY(DATE($I$3,T!$A$4+1,1)-1),INDEX([7]ČR!B21:B386,DATE(2016,T!$A$4,1)-DATE(2016,1,1)+1,1),"")</f>
        <v>pátek</v>
      </c>
      <c r="C11" s="101">
        <f>IF(ROW(A11)-7&lt;=DAY(DATE($I$3,T!$A$4+1,1)-1),INDEX([7]ČR!D21:D386,DATE(2016,T!$A$4,1)-DATE(2016,1,1)+1,1)/1000,"")</f>
        <v>30625.802027613256</v>
      </c>
      <c r="D11" s="105">
        <f>IF(ROW(A11)-7&lt;=DAY(DATE($I$3,T!$A$4+1,1)-1),INDEX([7]ČR!E21:E386,DATE(2016,T!$A$4,1)-DATE(2016,1,1)+1,1)/1000,"")</f>
        <v>326170.04414516129</v>
      </c>
      <c r="E11" s="106">
        <f>IF(ROW(A11)-7&lt;=DAY(DATE($I$3,T!$A$4+1,1)-1),INDEX([5]PT!AF19:AF384,DATE(2016,T!$A$4,1)-DATE(2016,1,1)+1,1),"")</f>
        <v>3.9</v>
      </c>
      <c r="F11" s="7"/>
      <c r="G11" s="644"/>
      <c r="H11" s="780">
        <f t="shared" si="3"/>
        <v>42342</v>
      </c>
      <c r="I11" s="648">
        <f t="shared" si="4"/>
        <v>30.625802027613254</v>
      </c>
      <c r="J11" s="649">
        <f t="shared" si="5"/>
        <v>3.9</v>
      </c>
      <c r="K11" s="782">
        <f t="shared" si="6"/>
        <v>26</v>
      </c>
      <c r="L11" s="647">
        <f t="shared" si="0"/>
        <v>1</v>
      </c>
      <c r="M11" s="783"/>
      <c r="N11" s="782" t="e">
        <f t="shared" si="2"/>
        <v>#N/A</v>
      </c>
      <c r="O11" s="647">
        <f t="shared" si="1"/>
        <v>0</v>
      </c>
      <c r="P11" s="783"/>
      <c r="R11" s="779"/>
      <c r="S11" s="176"/>
    </row>
    <row r="12" spans="1:19" ht="12" customHeight="1" x14ac:dyDescent="0.2">
      <c r="A12" s="104">
        <f>IF(ROW(A12)-7&lt;=DAY(DATE($I$3,T!$A$4+1,1)-1),INDEX([7]ČR!A22:A387,DATE(2016,T!$A$4,1)-DATE(2016,1,1)+1,1),"")</f>
        <v>42343</v>
      </c>
      <c r="B12" s="643" t="str">
        <f>IF(ROW(A12)-7&lt;=DAY(DATE($I$3,T!$A$4+1,1)-1),INDEX([7]ČR!B22:B387,DATE(2016,T!$A$4,1)-DATE(2016,1,1)+1,1),"")</f>
        <v>sobota</v>
      </c>
      <c r="C12" s="101">
        <f>IF(ROW(A12)-7&lt;=DAY(DATE($I$3,T!$A$4+1,1)-1),INDEX([7]ČR!D22:D387,DATE(2016,T!$A$4,1)-DATE(2016,1,1)+1,1)/1000,"")</f>
        <v>26801.844107656034</v>
      </c>
      <c r="D12" s="105">
        <f>IF(ROW(A12)-7&lt;=DAY(DATE($I$3,T!$A$4+1,1)-1),INDEX([7]ČR!E22:E387,DATE(2016,T!$A$4,1)-DATE(2016,1,1)+1,1)/1000,"")</f>
        <v>285448.89514516125</v>
      </c>
      <c r="E12" s="106">
        <f>IF(ROW(A12)-7&lt;=DAY(DATE($I$3,T!$A$4+1,1)-1),INDEX([5]PT!AF20:AF385,DATE(2016,T!$A$4,1)-DATE(2016,1,1)+1,1),"")</f>
        <v>4.9000000000000004</v>
      </c>
      <c r="F12" s="7"/>
      <c r="G12" s="644"/>
      <c r="H12" s="780">
        <f t="shared" si="3"/>
        <v>42343</v>
      </c>
      <c r="I12" s="648">
        <f t="shared" si="4"/>
        <v>26.801844107656034</v>
      </c>
      <c r="J12" s="649">
        <f t="shared" si="5"/>
        <v>4.9000000000000004</v>
      </c>
      <c r="K12" s="782">
        <f t="shared" si="6"/>
        <v>27</v>
      </c>
      <c r="L12" s="647">
        <f t="shared" si="0"/>
        <v>3</v>
      </c>
      <c r="M12" s="783"/>
      <c r="N12" s="782" t="e">
        <f t="shared" si="2"/>
        <v>#N/A</v>
      </c>
      <c r="O12" s="647">
        <f t="shared" si="1"/>
        <v>0</v>
      </c>
      <c r="P12" s="783"/>
      <c r="R12" s="779"/>
      <c r="S12" s="176"/>
    </row>
    <row r="13" spans="1:19" ht="12" customHeight="1" x14ac:dyDescent="0.2">
      <c r="A13" s="104">
        <f>IF(ROW(A13)-7&lt;=DAY(DATE($I$3,T!$A$4+1,1)-1),INDEX([7]ČR!A23:A388,DATE(2016,T!$A$4,1)-DATE(2016,1,1)+1,1),"")</f>
        <v>42344</v>
      </c>
      <c r="B13" s="643" t="str">
        <f>IF(ROW(A13)-7&lt;=DAY(DATE($I$3,T!$A$4+1,1)-1),INDEX([7]ČR!B23:B388,DATE(2016,T!$A$4,1)-DATE(2016,1,1)+1,1),"")</f>
        <v>neděle</v>
      </c>
      <c r="C13" s="101">
        <f>IF(ROW(A13)-7&lt;=DAY(DATE($I$3,T!$A$4+1,1)-1),INDEX([7]ČR!D23:D388,DATE(2016,T!$A$4,1)-DATE(2016,1,1)+1,1)/1000,"")</f>
        <v>27797.68670217098</v>
      </c>
      <c r="D13" s="105">
        <f>IF(ROW(A13)-7&lt;=DAY(DATE($I$3,T!$A$4+1,1)-1),INDEX([7]ČR!E23:E388,DATE(2016,T!$A$4,1)-DATE(2016,1,1)+1,1)/1000,"")</f>
        <v>296051.33914516127</v>
      </c>
      <c r="E13" s="106">
        <f>IF(ROW(A13)-7&lt;=DAY(DATE($I$3,T!$A$4+1,1)-1),INDEX([5]PT!AF21:AF386,DATE(2016,T!$A$4,1)-DATE(2016,1,1)+1,1),"")</f>
        <v>3.3</v>
      </c>
      <c r="F13" s="7"/>
      <c r="G13" s="644"/>
      <c r="H13" s="780">
        <f t="shared" si="3"/>
        <v>42344</v>
      </c>
      <c r="I13" s="648">
        <f t="shared" si="4"/>
        <v>27.797686702170981</v>
      </c>
      <c r="J13" s="649">
        <f t="shared" si="5"/>
        <v>3.3</v>
      </c>
      <c r="K13" s="782">
        <f t="shared" si="6"/>
        <v>28</v>
      </c>
      <c r="L13" s="647">
        <f t="shared" si="0"/>
        <v>3</v>
      </c>
      <c r="M13" s="783"/>
      <c r="N13" s="782" t="e">
        <f t="shared" si="2"/>
        <v>#N/A</v>
      </c>
      <c r="O13" s="647">
        <f t="shared" si="1"/>
        <v>0</v>
      </c>
      <c r="P13" s="783"/>
      <c r="R13" s="779"/>
      <c r="S13" s="176"/>
    </row>
    <row r="14" spans="1:19" ht="12" customHeight="1" x14ac:dyDescent="0.2">
      <c r="A14" s="104">
        <f>IF(ROW(A14)-7&lt;=DAY(DATE($I$3,T!$A$4+1,1)-1),INDEX([7]ČR!A24:A389,DATE(2016,T!$A$4,1)-DATE(2016,1,1)+1,1),"")</f>
        <v>42345</v>
      </c>
      <c r="B14" s="643" t="str">
        <f>IF(ROW(A14)-7&lt;=DAY(DATE($I$3,T!$A$4+1,1)-1),INDEX([7]ČR!B24:B389,DATE(2016,T!$A$4,1)-DATE(2016,1,1)+1,1),"")</f>
        <v>pondělí</v>
      </c>
      <c r="C14" s="101">
        <f>IF(ROW(A14)-7&lt;=DAY(DATE($I$3,T!$A$4+1,1)-1),INDEX([7]ČR!D24:D389,DATE(2016,T!$A$4,1)-DATE(2016,1,1)+1,1)/1000,"")</f>
        <v>32187.24432203584</v>
      </c>
      <c r="D14" s="105">
        <f>IF(ROW(A14)-7&lt;=DAY(DATE($I$3,T!$A$4+1,1)-1),INDEX([7]ČR!E24:E389,DATE(2016,T!$A$4,1)-DATE(2016,1,1)+1,1)/1000,"")</f>
        <v>342763.85314516129</v>
      </c>
      <c r="E14" s="106">
        <f>IF(ROW(A14)-7&lt;=DAY(DATE($I$3,T!$A$4+1,1)-1),INDEX([5]PT!AF22:AF387,DATE(2016,T!$A$4,1)-DATE(2016,1,1)+1,1),"")</f>
        <v>3.6</v>
      </c>
      <c r="F14" s="7"/>
      <c r="G14" s="644"/>
      <c r="H14" s="780">
        <f t="shared" si="3"/>
        <v>42345</v>
      </c>
      <c r="I14" s="648">
        <f t="shared" si="4"/>
        <v>32.187244322035838</v>
      </c>
      <c r="J14" s="649">
        <f t="shared" si="5"/>
        <v>3.6</v>
      </c>
      <c r="K14" s="782">
        <f t="shared" si="6"/>
        <v>29</v>
      </c>
      <c r="L14" s="647">
        <f t="shared" si="0"/>
        <v>2</v>
      </c>
      <c r="M14" s="783"/>
      <c r="N14" s="782" t="e">
        <f t="shared" si="2"/>
        <v>#N/A</v>
      </c>
      <c r="O14" s="647">
        <f t="shared" si="1"/>
        <v>0</v>
      </c>
      <c r="P14" s="783"/>
      <c r="R14" s="779"/>
      <c r="S14" s="176"/>
    </row>
    <row r="15" spans="1:19" ht="12" customHeight="1" x14ac:dyDescent="0.2">
      <c r="A15" s="104">
        <f>IF(ROW(A15)-7&lt;=DAY(DATE($I$3,T!$A$4+1,1)-1),INDEX([7]ČR!A25:A390,DATE(2016,T!$A$4,1)-DATE(2016,1,1)+1,1),"")</f>
        <v>42346</v>
      </c>
      <c r="B15" s="643" t="str">
        <f>IF(ROW(A15)-7&lt;=DAY(DATE($I$3,T!$A$4+1,1)-1),INDEX([7]ČR!B25:B390,DATE(2016,T!$A$4,1)-DATE(2016,1,1)+1,1),"")</f>
        <v>úterý</v>
      </c>
      <c r="C15" s="101">
        <f>IF(ROW(A15)-7&lt;=DAY(DATE($I$3,T!$A$4+1,1)-1),INDEX([7]ČR!D25:D390,DATE(2016,T!$A$4,1)-DATE(2016,1,1)+1,1)/1000,"")</f>
        <v>31413.098162149785</v>
      </c>
      <c r="D15" s="105">
        <f>IF(ROW(A15)-7&lt;=DAY(DATE($I$3,T!$A$4+1,1)-1),INDEX([7]ČR!E25:E390,DATE(2016,T!$A$4,1)-DATE(2016,1,1)+1,1)/1000,"")</f>
        <v>334559.42714516126</v>
      </c>
      <c r="E15" s="106">
        <f>IF(ROW(A15)-7&lt;=DAY(DATE($I$3,T!$A$4+1,1)-1),INDEX([5]PT!AF23:AF388,DATE(2016,T!$A$4,1)-DATE(2016,1,1)+1,1),"")</f>
        <v>2</v>
      </c>
      <c r="F15" s="7"/>
      <c r="G15" s="644"/>
      <c r="H15" s="780">
        <f t="shared" si="3"/>
        <v>42346</v>
      </c>
      <c r="I15" s="648">
        <f t="shared" si="4"/>
        <v>31.413098162149787</v>
      </c>
      <c r="J15" s="649">
        <f t="shared" si="5"/>
        <v>2</v>
      </c>
      <c r="K15" s="782">
        <f t="shared" si="6"/>
        <v>30</v>
      </c>
      <c r="L15" s="647">
        <f t="shared" si="0"/>
        <v>2</v>
      </c>
      <c r="M15" s="783"/>
      <c r="N15" s="782" t="e">
        <f t="shared" si="2"/>
        <v>#N/A</v>
      </c>
      <c r="O15" s="647">
        <f t="shared" si="1"/>
        <v>0</v>
      </c>
      <c r="P15" s="783"/>
      <c r="R15" s="779"/>
      <c r="S15" s="176"/>
    </row>
    <row r="16" spans="1:19" ht="12" customHeight="1" x14ac:dyDescent="0.2">
      <c r="A16" s="104">
        <f>IF(ROW(A16)-7&lt;=DAY(DATE($I$3,T!$A$4+1,1)-1),INDEX([7]ČR!A26:A391,DATE(2016,T!$A$4,1)-DATE(2016,1,1)+1,1),"")</f>
        <v>42347</v>
      </c>
      <c r="B16" s="643" t="str">
        <f>IF(ROW(A16)-7&lt;=DAY(DATE($I$3,T!$A$4+1,1)-1),INDEX([7]ČR!B26:B391,DATE(2016,T!$A$4,1)-DATE(2016,1,1)+1,1),"")</f>
        <v>středa</v>
      </c>
      <c r="C16" s="101">
        <f>IF(ROW(A16)-7&lt;=DAY(DATE($I$3,T!$A$4+1,1)-1),INDEX([7]ČR!D26:D391,DATE(2016,T!$A$4,1)-DATE(2016,1,1)+1,1)/1000,"")</f>
        <v>32219.446115150578</v>
      </c>
      <c r="D16" s="105">
        <f>IF(ROW(A16)-7&lt;=DAY(DATE($I$3,T!$A$4+1,1)-1),INDEX([7]ČR!E26:E391,DATE(2016,T!$A$4,1)-DATE(2016,1,1)+1,1)/1000,"")</f>
        <v>343147.66414516128</v>
      </c>
      <c r="E16" s="106">
        <f>IF(ROW(A16)-7&lt;=DAY(DATE($I$3,T!$A$4+1,1)-1),INDEX([5]PT!AF24:AF389,DATE(2016,T!$A$4,1)-DATE(2016,1,1)+1,1),"")</f>
        <v>2.8</v>
      </c>
      <c r="F16" s="7"/>
      <c r="G16" s="644"/>
      <c r="H16" s="780">
        <f t="shared" si="3"/>
        <v>42347</v>
      </c>
      <c r="I16" s="648">
        <f t="shared" si="4"/>
        <v>32.219446115150575</v>
      </c>
      <c r="J16" s="649">
        <f t="shared" si="5"/>
        <v>2.8</v>
      </c>
      <c r="K16" s="782">
        <f t="shared" si="6"/>
        <v>31</v>
      </c>
      <c r="L16" s="647">
        <f t="shared" si="0"/>
        <v>3</v>
      </c>
      <c r="M16" s="783"/>
      <c r="N16" s="782" t="e">
        <f t="shared" si="2"/>
        <v>#N/A</v>
      </c>
      <c r="O16" s="647">
        <f t="shared" si="1"/>
        <v>0</v>
      </c>
      <c r="P16" s="783"/>
      <c r="R16" s="779"/>
      <c r="S16" s="176"/>
    </row>
    <row r="17" spans="1:19" ht="12" customHeight="1" x14ac:dyDescent="0.2">
      <c r="A17" s="104">
        <f>IF(ROW(A17)-7&lt;=DAY(DATE($I$3,T!$A$4+1,1)-1),INDEX([7]ČR!A27:A392,DATE(2016,T!$A$4,1)-DATE(2016,1,1)+1,1),"")</f>
        <v>42348</v>
      </c>
      <c r="B17" s="643" t="str">
        <f>IF(ROW(A17)-7&lt;=DAY(DATE($I$3,T!$A$4+1,1)-1),INDEX([7]ČR!B27:B392,DATE(2016,T!$A$4,1)-DATE(2016,1,1)+1,1),"")</f>
        <v>čtvrtek</v>
      </c>
      <c r="C17" s="101">
        <f>IF(ROW(A17)-7&lt;=DAY(DATE($I$3,T!$A$4+1,1)-1),INDEX([7]ČR!D27:D392,DATE(2016,T!$A$4,1)-DATE(2016,1,1)+1,1)/1000,"")</f>
        <v>33307.818532835619</v>
      </c>
      <c r="D17" s="105">
        <f>IF(ROW(A17)-7&lt;=DAY(DATE($I$3,T!$A$4+1,1)-1),INDEX([7]ČR!E27:E392,DATE(2016,T!$A$4,1)-DATE(2016,1,1)+1,1)/1000,"")</f>
        <v>354743.86814516125</v>
      </c>
      <c r="E17" s="106">
        <f>IF(ROW(A17)-7&lt;=DAY(DATE($I$3,T!$A$4+1,1)-1),INDEX([5]PT!AF25:AF390,DATE(2016,T!$A$4,1)-DATE(2016,1,1)+1,1),"")</f>
        <v>0.6</v>
      </c>
      <c r="F17" s="7"/>
      <c r="G17" s="644"/>
      <c r="H17" s="780">
        <f t="shared" si="3"/>
        <v>42348</v>
      </c>
      <c r="I17" s="648">
        <f t="shared" si="4"/>
        <v>33.307818532835618</v>
      </c>
      <c r="J17" s="649">
        <f t="shared" si="5"/>
        <v>0.6</v>
      </c>
      <c r="K17" s="782">
        <f t="shared" si="6"/>
        <v>32</v>
      </c>
      <c r="L17" s="647">
        <f t="shared" si="0"/>
        <v>5</v>
      </c>
      <c r="M17" s="783"/>
      <c r="N17" s="782" t="e">
        <f t="shared" si="2"/>
        <v>#N/A</v>
      </c>
      <c r="O17" s="647">
        <f t="shared" si="1"/>
        <v>0</v>
      </c>
      <c r="P17" s="783"/>
      <c r="R17" s="779"/>
      <c r="S17" s="176"/>
    </row>
    <row r="18" spans="1:19" ht="12" customHeight="1" x14ac:dyDescent="0.2">
      <c r="A18" s="104">
        <f>IF(ROW(A18)-7&lt;=DAY(DATE($I$3,T!$A$4+1,1)-1),INDEX([7]ČR!A28:A393,DATE(2016,T!$A$4,1)-DATE(2016,1,1)+1,1),"")</f>
        <v>42349</v>
      </c>
      <c r="B18" s="643" t="str">
        <f>IF(ROW(A18)-7&lt;=DAY(DATE($I$3,T!$A$4+1,1)-1),INDEX([7]ČR!B28:B393,DATE(2016,T!$A$4,1)-DATE(2016,1,1)+1,1),"")</f>
        <v>pátek</v>
      </c>
      <c r="C18" s="101">
        <f>IF(ROW(A18)-7&lt;=DAY(DATE($I$3,T!$A$4+1,1)-1),INDEX([7]ČR!D28:D393,DATE(2016,T!$A$4,1)-DATE(2016,1,1)+1,1)/1000,"")</f>
        <v>33052.125485259072</v>
      </c>
      <c r="D18" s="105">
        <f>IF(ROW(A18)-7&lt;=DAY(DATE($I$3,T!$A$4+1,1)-1),INDEX([7]ČR!E28:E393,DATE(2016,T!$A$4,1)-DATE(2016,1,1)+1,1)/1000,"")</f>
        <v>352021.12414516124</v>
      </c>
      <c r="E18" s="106">
        <f>IF(ROW(A18)-7&lt;=DAY(DATE($I$3,T!$A$4+1,1)-1),INDEX([5]PT!AF26:AF391,DATE(2016,T!$A$4,1)-DATE(2016,1,1)+1,1),"")</f>
        <v>0.9</v>
      </c>
      <c r="F18" s="7"/>
      <c r="G18" s="644"/>
      <c r="H18" s="780">
        <f t="shared" si="3"/>
        <v>42349</v>
      </c>
      <c r="I18" s="648">
        <f t="shared" si="4"/>
        <v>33.052125485259069</v>
      </c>
      <c r="J18" s="649">
        <f t="shared" si="5"/>
        <v>0.9</v>
      </c>
      <c r="K18" s="782">
        <f t="shared" si="6"/>
        <v>33</v>
      </c>
      <c r="L18" s="647">
        <f t="shared" si="0"/>
        <v>2</v>
      </c>
      <c r="M18" s="783"/>
      <c r="N18" s="782" t="e">
        <f t="shared" si="2"/>
        <v>#N/A</v>
      </c>
      <c r="O18" s="647">
        <f t="shared" si="1"/>
        <v>0</v>
      </c>
      <c r="P18" s="783"/>
      <c r="R18" s="779"/>
      <c r="S18" s="176"/>
    </row>
    <row r="19" spans="1:19" ht="12" customHeight="1" x14ac:dyDescent="0.2">
      <c r="A19" s="104">
        <f>IF(ROW(A19)-7&lt;=DAY(DATE($I$3,T!$A$4+1,1)-1),INDEX([7]ČR!A29:A394,DATE(2016,T!$A$4,1)-DATE(2016,1,1)+1,1),"")</f>
        <v>42350</v>
      </c>
      <c r="B19" s="643" t="str">
        <f>IF(ROW(A19)-7&lt;=DAY(DATE($I$3,T!$A$4+1,1)-1),INDEX([7]ČR!B29:B394,DATE(2016,T!$A$4,1)-DATE(2016,1,1)+1,1),"")</f>
        <v>sobota</v>
      </c>
      <c r="C19" s="101">
        <f>IF(ROW(A19)-7&lt;=DAY(DATE($I$3,T!$A$4+1,1)-1),INDEX([7]ČR!D29:D394,DATE(2016,T!$A$4,1)-DATE(2016,1,1)+1,1)/1000,"")</f>
        <v>28854.517786107623</v>
      </c>
      <c r="D19" s="105">
        <f>IF(ROW(A19)-7&lt;=DAY(DATE($I$3,T!$A$4+1,1)-1),INDEX([7]ČR!E29:E394,DATE(2016,T!$A$4,1)-DATE(2016,1,1)+1,1)/1000,"")</f>
        <v>307310.35114516126</v>
      </c>
      <c r="E19" s="106">
        <f>IF(ROW(A19)-7&lt;=DAY(DATE($I$3,T!$A$4+1,1)-1),INDEX([5]PT!AF27:AF392,DATE(2016,T!$A$4,1)-DATE(2016,1,1)+1,1),"")</f>
        <v>3.7</v>
      </c>
      <c r="F19" s="7"/>
      <c r="G19" s="644"/>
      <c r="H19" s="780">
        <f t="shared" si="3"/>
        <v>42350</v>
      </c>
      <c r="I19" s="648">
        <f t="shared" si="4"/>
        <v>28.854517786107621</v>
      </c>
      <c r="J19" s="649">
        <f t="shared" si="5"/>
        <v>3.7</v>
      </c>
      <c r="K19" s="782">
        <f t="shared" si="6"/>
        <v>34</v>
      </c>
      <c r="L19" s="647">
        <f t="shared" si="0"/>
        <v>3</v>
      </c>
      <c r="M19" s="783"/>
      <c r="N19" s="782" t="e">
        <f t="shared" si="2"/>
        <v>#N/A</v>
      </c>
      <c r="O19" s="647">
        <f t="shared" si="1"/>
        <v>0</v>
      </c>
      <c r="P19" s="783"/>
      <c r="R19" s="779"/>
      <c r="S19" s="176"/>
    </row>
    <row r="20" spans="1:19" ht="12" customHeight="1" x14ac:dyDescent="0.2">
      <c r="A20" s="104">
        <f>IF(ROW(A20)-7&lt;=DAY(DATE($I$3,T!$A$4+1,1)-1),INDEX([7]ČR!A30:A395,DATE(2016,T!$A$4,1)-DATE(2016,1,1)+1,1),"")</f>
        <v>42351</v>
      </c>
      <c r="B20" s="643" t="str">
        <f>IF(ROW(A20)-7&lt;=DAY(DATE($I$3,T!$A$4+1,1)-1),INDEX([7]ČR!B30:B395,DATE(2016,T!$A$4,1)-DATE(2016,1,1)+1,1),"")</f>
        <v>neděle</v>
      </c>
      <c r="C20" s="101">
        <f>IF(ROW(A20)-7&lt;=DAY(DATE($I$3,T!$A$4+1,1)-1),INDEX([7]ČR!D30:D395,DATE(2016,T!$A$4,1)-DATE(2016,1,1)+1,1)/1000,"")</f>
        <v>29408.472849359398</v>
      </c>
      <c r="D20" s="105">
        <f>IF(ROW(A20)-7&lt;=DAY(DATE($I$3,T!$A$4+1,1)-1),INDEX([7]ČR!E30:E395,DATE(2016,T!$A$4,1)-DATE(2016,1,1)+1,1)/1000,"")</f>
        <v>313206.17814516125</v>
      </c>
      <c r="E20" s="106">
        <f>IF(ROW(A20)-7&lt;=DAY(DATE($I$3,T!$A$4+1,1)-1),INDEX([5]PT!AF28:AF393,DATE(2016,T!$A$4,1)-DATE(2016,1,1)+1,1),"")</f>
        <v>4.3</v>
      </c>
      <c r="F20" s="7"/>
      <c r="G20" s="644"/>
      <c r="H20" s="780">
        <f t="shared" si="3"/>
        <v>42351</v>
      </c>
      <c r="I20" s="648">
        <f t="shared" si="4"/>
        <v>29.408472849359399</v>
      </c>
      <c r="J20" s="649">
        <f t="shared" si="5"/>
        <v>4.3</v>
      </c>
      <c r="K20" s="782">
        <f t="shared" si="6"/>
        <v>35</v>
      </c>
      <c r="L20" s="647">
        <f t="shared" si="0"/>
        <v>2</v>
      </c>
      <c r="M20" s="783"/>
      <c r="N20" s="782" t="e">
        <f t="shared" si="2"/>
        <v>#N/A</v>
      </c>
      <c r="O20" s="647">
        <f t="shared" si="1"/>
        <v>0</v>
      </c>
      <c r="P20" s="783"/>
      <c r="R20" s="779"/>
      <c r="S20" s="176"/>
    </row>
    <row r="21" spans="1:19" ht="12" customHeight="1" x14ac:dyDescent="0.2">
      <c r="A21" s="104">
        <f>IF(ROW(A21)-7&lt;=DAY(DATE($I$3,T!$A$4+1,1)-1),INDEX([7]ČR!A31:A396,DATE(2016,T!$A$4,1)-DATE(2016,1,1)+1,1),"")</f>
        <v>42352</v>
      </c>
      <c r="B21" s="643" t="str">
        <f>IF(ROW(A21)-7&lt;=DAY(DATE($I$3,T!$A$4+1,1)-1),INDEX([7]ČR!B31:B396,DATE(2016,T!$A$4,1)-DATE(2016,1,1)+1,1),"")</f>
        <v>pondělí</v>
      </c>
      <c r="C21" s="101">
        <f>IF(ROW(A21)-7&lt;=DAY(DATE($I$3,T!$A$4+1,1)-1),INDEX([7]ČR!D31:D396,DATE(2016,T!$A$4,1)-DATE(2016,1,1)+1,1)/1000,"")</f>
        <v>34509.998691494511</v>
      </c>
      <c r="D21" s="105">
        <f>IF(ROW(A21)-7&lt;=DAY(DATE($I$3,T!$A$4+1,1)-1),INDEX([7]ČR!E31:E396,DATE(2016,T!$A$4,1)-DATE(2016,1,1)+1,1)/1000,"")</f>
        <v>367527.31514516129</v>
      </c>
      <c r="E21" s="106">
        <f>IF(ROW(A21)-7&lt;=DAY(DATE($I$3,T!$A$4+1,1)-1),INDEX([5]PT!AF29:AF394,DATE(2016,T!$A$4,1)-DATE(2016,1,1)+1,1),"")</f>
        <v>1.4</v>
      </c>
      <c r="F21" s="7"/>
      <c r="G21" s="644"/>
      <c r="H21" s="780">
        <f t="shared" si="3"/>
        <v>42352</v>
      </c>
      <c r="I21" s="648">
        <f t="shared" si="4"/>
        <v>34.509998691494509</v>
      </c>
      <c r="J21" s="649">
        <f t="shared" si="5"/>
        <v>1.4</v>
      </c>
      <c r="K21" s="782" t="e">
        <f t="shared" si="6"/>
        <v>#N/A</v>
      </c>
      <c r="L21" s="647">
        <f t="shared" si="0"/>
        <v>0</v>
      </c>
      <c r="M21" s="783"/>
      <c r="N21" s="782" t="e">
        <f t="shared" si="2"/>
        <v>#N/A</v>
      </c>
      <c r="O21" s="647">
        <f t="shared" si="1"/>
        <v>0</v>
      </c>
      <c r="P21" s="783"/>
      <c r="R21" s="779"/>
      <c r="S21" s="176"/>
    </row>
    <row r="22" spans="1:19" ht="12" customHeight="1" x14ac:dyDescent="0.2">
      <c r="A22" s="104">
        <f>IF(ROW(A22)-7&lt;=DAY(DATE($I$3,T!$A$4+1,1)-1),INDEX([7]ČR!A32:A397,DATE(2016,T!$A$4,1)-DATE(2016,1,1)+1,1),"")</f>
        <v>42353</v>
      </c>
      <c r="B22" s="643" t="str">
        <f>IF(ROW(A22)-7&lt;=DAY(DATE($I$3,T!$A$4+1,1)-1),INDEX([7]ČR!B32:B397,DATE(2016,T!$A$4,1)-DATE(2016,1,1)+1,1),"")</f>
        <v>úterý</v>
      </c>
      <c r="C22" s="101">
        <f>IF(ROW(A22)-7&lt;=DAY(DATE($I$3,T!$A$4+1,1)-1),INDEX([7]ČR!D32:D397,DATE(2016,T!$A$4,1)-DATE(2016,1,1)+1,1)/1000,"")</f>
        <v>34352.662078829468</v>
      </c>
      <c r="D22" s="105">
        <f>IF(ROW(A22)-7&lt;=DAY(DATE($I$3,T!$A$4+1,1)-1),INDEX([7]ČR!E32:E397,DATE(2016,T!$A$4,1)-DATE(2016,1,1)+1,1)/1000,"")</f>
        <v>365844.60914516129</v>
      </c>
      <c r="E22" s="106">
        <f>IF(ROW(A22)-7&lt;=DAY(DATE($I$3,T!$A$4+1,1)-1),INDEX([5]PT!AF30:AF395,DATE(2016,T!$A$4,1)-DATE(2016,1,1)+1,1),"")</f>
        <v>2.9</v>
      </c>
      <c r="F22" s="7"/>
      <c r="G22" s="644"/>
      <c r="H22" s="780">
        <f t="shared" si="3"/>
        <v>42353</v>
      </c>
      <c r="I22" s="648">
        <f t="shared" si="4"/>
        <v>34.352662078829468</v>
      </c>
      <c r="J22" s="649">
        <f t="shared" si="5"/>
        <v>2.9</v>
      </c>
      <c r="K22" s="782" t="e">
        <f t="shared" si="6"/>
        <v>#N/A</v>
      </c>
      <c r="L22" s="647">
        <f>COUNTIFS($I$8:$I$38,"&gt;"&amp;K21,$I$8:$I$38,"&lt;="&amp;K22,$I$8:$I$38,"&gt;=0")</f>
        <v>0</v>
      </c>
      <c r="M22" s="783"/>
      <c r="N22" s="782" t="e">
        <f t="shared" si="2"/>
        <v>#N/A</v>
      </c>
      <c r="O22" s="647">
        <f t="shared" si="1"/>
        <v>0</v>
      </c>
      <c r="P22" s="783"/>
      <c r="R22" s="779"/>
      <c r="S22" s="176"/>
    </row>
    <row r="23" spans="1:19" ht="12" customHeight="1" x14ac:dyDescent="0.2">
      <c r="A23" s="104">
        <f>IF(ROW(A23)-7&lt;=DAY(DATE($I$3,T!$A$4+1,1)-1),INDEX([7]ČR!A33:A398,DATE(2016,T!$A$4,1)-DATE(2016,1,1)+1,1),"")</f>
        <v>42354</v>
      </c>
      <c r="B23" s="643" t="str">
        <f>IF(ROW(A23)-7&lt;=DAY(DATE($I$3,T!$A$4+1,1)-1),INDEX([7]ČR!B33:B398,DATE(2016,T!$A$4,1)-DATE(2016,1,1)+1,1),"")</f>
        <v>středa</v>
      </c>
      <c r="C23" s="101">
        <f>IF(ROW(A23)-7&lt;=DAY(DATE($I$3,T!$A$4+1,1)-1),INDEX([7]ČR!D33:D398,DATE(2016,T!$A$4,1)-DATE(2016,1,1)+1,1)/1000,"")</f>
        <v>31973.088325273613</v>
      </c>
      <c r="D23" s="105">
        <f>IF(ROW(A23)-7&lt;=DAY(DATE($I$3,T!$A$4+1,1)-1),INDEX([7]ČR!E33:E398,DATE(2016,T!$A$4,1)-DATE(2016,1,1)+1,1)/1000,"")</f>
        <v>340529.09814516129</v>
      </c>
      <c r="E23" s="106">
        <f>IF(ROW(A23)-7&lt;=DAY(DATE($I$3,T!$A$4+1,1)-1),INDEX([5]PT!AF31:AF396,DATE(2016,T!$A$4,1)-DATE(2016,1,1)+1,1),"")</f>
        <v>2.9</v>
      </c>
      <c r="F23" s="7"/>
      <c r="G23" s="644"/>
      <c r="H23" s="780">
        <f t="shared" si="3"/>
        <v>42354</v>
      </c>
      <c r="I23" s="648">
        <f t="shared" si="4"/>
        <v>31.973088325273611</v>
      </c>
      <c r="J23" s="649">
        <f t="shared" si="5"/>
        <v>2.9</v>
      </c>
      <c r="K23" s="782" t="e">
        <f t="shared" si="6"/>
        <v>#N/A</v>
      </c>
      <c r="L23" s="647">
        <f t="shared" ref="L23:L38" si="7">COUNTIFS($I$8:$I$38,"&gt;"&amp;K22,$I$8:$I$38,"&lt;="&amp;K23,$I$8:$I$38,"&gt;=0")</f>
        <v>0</v>
      </c>
      <c r="M23" s="783"/>
      <c r="N23" s="782" t="e">
        <f t="shared" si="2"/>
        <v>#N/A</v>
      </c>
      <c r="O23" s="647">
        <f t="shared" si="1"/>
        <v>0</v>
      </c>
      <c r="P23" s="783"/>
      <c r="R23" s="779"/>
      <c r="S23" s="176"/>
    </row>
    <row r="24" spans="1:19" ht="12" customHeight="1" x14ac:dyDescent="0.2">
      <c r="A24" s="104">
        <f>IF(ROW(A24)-7&lt;=DAY(DATE($I$3,T!$A$4+1,1)-1),INDEX([7]ČR!A34:A399,DATE(2016,T!$A$4,1)-DATE(2016,1,1)+1,1),"")</f>
        <v>42355</v>
      </c>
      <c r="B24" s="643" t="str">
        <f>IF(ROW(A24)-7&lt;=DAY(DATE($I$3,T!$A$4+1,1)-1),INDEX([7]ČR!B34:B399,DATE(2016,T!$A$4,1)-DATE(2016,1,1)+1,1),"")</f>
        <v>čtvrtek</v>
      </c>
      <c r="C24" s="101">
        <f>IF(ROW(A24)-7&lt;=DAY(DATE($I$3,T!$A$4+1,1)-1),INDEX([7]ČR!D34:D399,DATE(2016,T!$A$4,1)-DATE(2016,1,1)+1,1)/1000,"")</f>
        <v>31206.554504471671</v>
      </c>
      <c r="D24" s="105">
        <f>IF(ROW(A24)-7&lt;=DAY(DATE($I$3,T!$A$4+1,1)-1),INDEX([7]ČR!E34:E399,DATE(2016,T!$A$4,1)-DATE(2016,1,1)+1,1)/1000,"")</f>
        <v>332372.92414516129</v>
      </c>
      <c r="E24" s="106">
        <f>IF(ROW(A24)-7&lt;=DAY(DATE($I$3,T!$A$4+1,1)-1),INDEX([5]PT!AF32:AF397,DATE(2016,T!$A$4,1)-DATE(2016,1,1)+1,1),"")</f>
        <v>4.4000000000000004</v>
      </c>
      <c r="F24" s="7"/>
      <c r="G24" s="644"/>
      <c r="H24" s="780">
        <f t="shared" si="3"/>
        <v>42355</v>
      </c>
      <c r="I24" s="648">
        <f t="shared" si="4"/>
        <v>31.206554504471672</v>
      </c>
      <c r="J24" s="649">
        <f t="shared" si="5"/>
        <v>4.4000000000000004</v>
      </c>
      <c r="K24" s="782" t="e">
        <f t="shared" si="6"/>
        <v>#N/A</v>
      </c>
      <c r="L24" s="647">
        <f t="shared" si="7"/>
        <v>0</v>
      </c>
      <c r="M24" s="783"/>
      <c r="N24" s="782" t="e">
        <f t="shared" si="2"/>
        <v>#N/A</v>
      </c>
      <c r="O24" s="647">
        <f t="shared" si="1"/>
        <v>0</v>
      </c>
      <c r="P24" s="783"/>
      <c r="R24" s="779"/>
      <c r="S24" s="176"/>
    </row>
    <row r="25" spans="1:19" ht="12" customHeight="1" x14ac:dyDescent="0.2">
      <c r="A25" s="104">
        <f>IF(ROW(A25)-7&lt;=DAY(DATE($I$3,T!$A$4+1,1)-1),INDEX([7]ČR!A35:A400,DATE(2016,T!$A$4,1)-DATE(2016,1,1)+1,1),"")</f>
        <v>42356</v>
      </c>
      <c r="B25" s="643" t="str">
        <f>IF(ROW(A25)-7&lt;=DAY(DATE($I$3,T!$A$4+1,1)-1),INDEX([7]ČR!B35:B400,DATE(2016,T!$A$4,1)-DATE(2016,1,1)+1,1),"")</f>
        <v>pátek</v>
      </c>
      <c r="C25" s="101">
        <f>IF(ROW(A25)-7&lt;=DAY(DATE($I$3,T!$A$4+1,1)-1),INDEX([7]ČR!D35:D400,DATE(2016,T!$A$4,1)-DATE(2016,1,1)+1,1)/1000,"")</f>
        <v>28853.140547199218</v>
      </c>
      <c r="D25" s="105">
        <f>IF(ROW(A25)-7&lt;=DAY(DATE($I$3,T!$A$4+1,1)-1),INDEX([7]ČR!E35:E400,DATE(2016,T!$A$4,1)-DATE(2016,1,1)+1,1)/1000,"")</f>
        <v>307302.02914516127</v>
      </c>
      <c r="E25" s="106">
        <f>IF(ROW(A25)-7&lt;=DAY(DATE($I$3,T!$A$4+1,1)-1),INDEX([5]PT!AF33:AF398,DATE(2016,T!$A$4,1)-DATE(2016,1,1)+1,1),"")</f>
        <v>5.0999999999999996</v>
      </c>
      <c r="F25" s="7"/>
      <c r="G25" s="644"/>
      <c r="H25" s="780">
        <f t="shared" si="3"/>
        <v>42356</v>
      </c>
      <c r="I25" s="648">
        <f t="shared" si="4"/>
        <v>28.853140547199217</v>
      </c>
      <c r="J25" s="649">
        <f t="shared" si="5"/>
        <v>5.0999999999999996</v>
      </c>
      <c r="K25" s="782" t="e">
        <f t="shared" si="6"/>
        <v>#N/A</v>
      </c>
      <c r="L25" s="647">
        <f t="shared" si="7"/>
        <v>0</v>
      </c>
      <c r="M25" s="783"/>
      <c r="N25" s="782" t="e">
        <f t="shared" si="2"/>
        <v>#N/A</v>
      </c>
      <c r="O25" s="647">
        <f t="shared" si="1"/>
        <v>0</v>
      </c>
      <c r="P25" s="783"/>
      <c r="R25" s="779"/>
      <c r="S25" s="176"/>
    </row>
    <row r="26" spans="1:19" ht="12" customHeight="1" x14ac:dyDescent="0.2">
      <c r="A26" s="104">
        <f>IF(ROW(A26)-7&lt;=DAY(DATE($I$3,T!$A$4+1,1)-1),INDEX([7]ČR!A36:A401,DATE(2016,T!$A$4,1)-DATE(2016,1,1)+1,1),"")</f>
        <v>42357</v>
      </c>
      <c r="B26" s="643" t="str">
        <f>IF(ROW(A26)-7&lt;=DAY(DATE($I$3,T!$A$4+1,1)-1),INDEX([7]ČR!B36:B401,DATE(2016,T!$A$4,1)-DATE(2016,1,1)+1,1),"")</f>
        <v>sobota</v>
      </c>
      <c r="C26" s="101">
        <f>IF(ROW(A26)-7&lt;=DAY(DATE($I$3,T!$A$4+1,1)-1),INDEX([7]ČR!D36:D401,DATE(2016,T!$A$4,1)-DATE(2016,1,1)+1,1)/1000,"")</f>
        <v>25530.285415587532</v>
      </c>
      <c r="D26" s="105">
        <f>IF(ROW(A26)-7&lt;=DAY(DATE($I$3,T!$A$4+1,1)-1),INDEX([7]ČR!E36:E401,DATE(2016,T!$A$4,1)-DATE(2016,1,1)+1,1)/1000,"")</f>
        <v>271906.03714516124</v>
      </c>
      <c r="E26" s="106">
        <f>IF(ROW(A26)-7&lt;=DAY(DATE($I$3,T!$A$4+1,1)-1),INDEX([5]PT!AF34:AF399,DATE(2016,T!$A$4,1)-DATE(2016,1,1)+1,1),"")</f>
        <v>4.8</v>
      </c>
      <c r="F26" s="7"/>
      <c r="G26" s="644"/>
      <c r="H26" s="780">
        <f t="shared" si="3"/>
        <v>42357</v>
      </c>
      <c r="I26" s="648">
        <f t="shared" si="4"/>
        <v>25.530285415587532</v>
      </c>
      <c r="J26" s="649">
        <f t="shared" si="5"/>
        <v>4.8</v>
      </c>
      <c r="K26" s="782" t="e">
        <f t="shared" si="6"/>
        <v>#N/A</v>
      </c>
      <c r="L26" s="647">
        <f t="shared" si="7"/>
        <v>0</v>
      </c>
      <c r="M26" s="783"/>
      <c r="N26" s="782" t="e">
        <f t="shared" si="2"/>
        <v>#N/A</v>
      </c>
      <c r="O26" s="647">
        <f t="shared" si="1"/>
        <v>0</v>
      </c>
      <c r="P26" s="783"/>
      <c r="R26" s="779"/>
      <c r="S26" s="176"/>
    </row>
    <row r="27" spans="1:19" ht="12" customHeight="1" x14ac:dyDescent="0.2">
      <c r="A27" s="104">
        <f>IF(ROW(A27)-7&lt;=DAY(DATE($I$3,T!$A$4+1,1)-1),INDEX([7]ČR!A37:A402,DATE(2016,T!$A$4,1)-DATE(2016,1,1)+1,1),"")</f>
        <v>42358</v>
      </c>
      <c r="B27" s="643" t="str">
        <f>IF(ROW(A27)-7&lt;=DAY(DATE($I$3,T!$A$4+1,1)-1),INDEX([7]ČR!B37:B402,DATE(2016,T!$A$4,1)-DATE(2016,1,1)+1,1),"")</f>
        <v>neděle</v>
      </c>
      <c r="C27" s="101">
        <f>IF(ROW(A27)-7&lt;=DAY(DATE($I$3,T!$A$4+1,1)-1),INDEX([7]ČR!D37:D402,DATE(2016,T!$A$4,1)-DATE(2016,1,1)+1,1)/1000,"")</f>
        <v>27657.558506556838</v>
      </c>
      <c r="D27" s="105">
        <f>IF(ROW(A27)-7&lt;=DAY(DATE($I$3,T!$A$4+1,1)-1),INDEX([7]ČR!E37:E402,DATE(2016,T!$A$4,1)-DATE(2016,1,1)+1,1)/1000,"")</f>
        <v>294547.15314516128</v>
      </c>
      <c r="E27" s="106">
        <f>IF(ROW(A27)-7&lt;=DAY(DATE($I$3,T!$A$4+1,1)-1),INDEX([5]PT!AF35:AF400,DATE(2016,T!$A$4,1)-DATE(2016,1,1)+1,1),"")</f>
        <v>2.6</v>
      </c>
      <c r="F27" s="7"/>
      <c r="G27" s="644"/>
      <c r="H27" s="780">
        <f t="shared" si="3"/>
        <v>42358</v>
      </c>
      <c r="I27" s="648">
        <f t="shared" si="4"/>
        <v>27.657558506556839</v>
      </c>
      <c r="J27" s="649">
        <f t="shared" si="5"/>
        <v>2.6</v>
      </c>
      <c r="K27" s="782" t="e">
        <f t="shared" si="6"/>
        <v>#N/A</v>
      </c>
      <c r="L27" s="647">
        <f t="shared" si="7"/>
        <v>0</v>
      </c>
      <c r="M27" s="783"/>
      <c r="N27" s="782" t="e">
        <f t="shared" si="2"/>
        <v>#N/A</v>
      </c>
      <c r="O27" s="647">
        <f t="shared" si="1"/>
        <v>0</v>
      </c>
      <c r="P27" s="783"/>
      <c r="R27" s="779"/>
      <c r="S27" s="176"/>
    </row>
    <row r="28" spans="1:19" ht="12" customHeight="1" x14ac:dyDescent="0.2">
      <c r="A28" s="104">
        <f>IF(ROW(A28)-7&lt;=DAY(DATE($I$3,T!$A$4+1,1)-1),INDEX([7]ČR!A38:A403,DATE(2016,T!$A$4,1)-DATE(2016,1,1)+1,1),"")</f>
        <v>42359</v>
      </c>
      <c r="B28" s="643" t="str">
        <f>IF(ROW(A28)-7&lt;=DAY(DATE($I$3,T!$A$4+1,1)-1),INDEX([7]ČR!B38:B403,DATE(2016,T!$A$4,1)-DATE(2016,1,1)+1,1),"")</f>
        <v>pondělí</v>
      </c>
      <c r="C28" s="101">
        <f>IF(ROW(A28)-7&lt;=DAY(DATE($I$3,T!$A$4+1,1)-1),INDEX([7]ČR!D38:D403,DATE(2016,T!$A$4,1)-DATE(2016,1,1)+1,1)/1000,"")</f>
        <v>30062.330926735252</v>
      </c>
      <c r="D28" s="105">
        <f>IF(ROW(A28)-7&lt;=DAY(DATE($I$3,T!$A$4+1,1)-1),INDEX([7]ČR!E38:E403,DATE(2016,T!$A$4,1)-DATE(2016,1,1)+1,1)/1000,"")</f>
        <v>320172.06314516126</v>
      </c>
      <c r="E28" s="106">
        <f>IF(ROW(A28)-7&lt;=DAY(DATE($I$3,T!$A$4+1,1)-1),INDEX([5]PT!AF36:AF401,DATE(2016,T!$A$4,1)-DATE(2016,1,1)+1,1),"")</f>
        <v>3.4</v>
      </c>
      <c r="F28" s="7"/>
      <c r="G28" s="644"/>
      <c r="H28" s="780">
        <f t="shared" si="3"/>
        <v>42359</v>
      </c>
      <c r="I28" s="648">
        <f t="shared" si="4"/>
        <v>30.062330926735253</v>
      </c>
      <c r="J28" s="649">
        <f t="shared" si="5"/>
        <v>3.4</v>
      </c>
      <c r="K28" s="782" t="e">
        <f t="shared" si="6"/>
        <v>#N/A</v>
      </c>
      <c r="L28" s="647">
        <f t="shared" si="7"/>
        <v>0</v>
      </c>
      <c r="M28" s="783"/>
      <c r="N28" s="782" t="e">
        <f t="shared" si="2"/>
        <v>#N/A</v>
      </c>
      <c r="O28" s="647">
        <f t="shared" si="1"/>
        <v>0</v>
      </c>
      <c r="P28" s="783"/>
      <c r="R28" s="779"/>
      <c r="S28" s="176"/>
    </row>
    <row r="29" spans="1:19" ht="12" customHeight="1" x14ac:dyDescent="0.2">
      <c r="A29" s="104">
        <f>IF(ROW(A29)-7&lt;=DAY(DATE($I$3,T!$A$4+1,1)-1),INDEX([7]ČR!A39:A404,DATE(2016,T!$A$4,1)-DATE(2016,1,1)+1,1),"")</f>
        <v>42360</v>
      </c>
      <c r="B29" s="643" t="str">
        <f>IF(ROW(A29)-7&lt;=DAY(DATE($I$3,T!$A$4+1,1)-1),INDEX([7]ČR!B39:B404,DATE(2016,T!$A$4,1)-DATE(2016,1,1)+1,1),"")</f>
        <v>úterý</v>
      </c>
      <c r="C29" s="101">
        <f>IF(ROW(A29)-7&lt;=DAY(DATE($I$3,T!$A$4+1,1)-1),INDEX([7]ČR!D39:D404,DATE(2016,T!$A$4,1)-DATE(2016,1,1)+1,1)/1000,"")</f>
        <v>26402.039472681921</v>
      </c>
      <c r="D29" s="105">
        <f>IF(ROW(A29)-7&lt;=DAY(DATE($I$3,T!$A$4+1,1)-1),INDEX([7]ČR!E39:E404,DATE(2016,T!$A$4,1)-DATE(2016,1,1)+1,1)/1000,"")</f>
        <v>281188.21014516125</v>
      </c>
      <c r="E29" s="106">
        <f>IF(ROW(A29)-7&lt;=DAY(DATE($I$3,T!$A$4+1,1)-1),INDEX([5]PT!AF37:AF402,DATE(2016,T!$A$4,1)-DATE(2016,1,1)+1,1),"")</f>
        <v>7.4</v>
      </c>
      <c r="F29" s="7"/>
      <c r="G29" s="644"/>
      <c r="H29" s="780">
        <f t="shared" si="3"/>
        <v>42360</v>
      </c>
      <c r="I29" s="648">
        <f t="shared" si="4"/>
        <v>26.402039472681921</v>
      </c>
      <c r="J29" s="649">
        <f t="shared" si="5"/>
        <v>7.4</v>
      </c>
      <c r="K29" s="782" t="e">
        <f t="shared" si="6"/>
        <v>#N/A</v>
      </c>
      <c r="L29" s="647">
        <f t="shared" si="7"/>
        <v>0</v>
      </c>
      <c r="M29" s="783"/>
      <c r="N29" s="782" t="e">
        <f t="shared" si="2"/>
        <v>#N/A</v>
      </c>
      <c r="O29" s="647">
        <f t="shared" si="1"/>
        <v>0</v>
      </c>
      <c r="P29" s="783"/>
      <c r="R29" s="779"/>
      <c r="S29" s="176"/>
    </row>
    <row r="30" spans="1:19" ht="12" customHeight="1" x14ac:dyDescent="0.2">
      <c r="A30" s="104">
        <f>IF(ROW(A30)-7&lt;=DAY(DATE($I$3,T!$A$4+1,1)-1),INDEX([7]ČR!A40:A405,DATE(2016,T!$A$4,1)-DATE(2016,1,1)+1,1),"")</f>
        <v>42361</v>
      </c>
      <c r="B30" s="643" t="str">
        <f>IF(ROW(A30)-7&lt;=DAY(DATE($I$3,T!$A$4+1,1)-1),INDEX([7]ČR!B40:B405,DATE(2016,T!$A$4,1)-DATE(2016,1,1)+1,1),"")</f>
        <v>středa</v>
      </c>
      <c r="C30" s="101">
        <f>IF(ROW(A30)-7&lt;=DAY(DATE($I$3,T!$A$4+1,1)-1),INDEX([7]ČR!D40:D405,DATE(2016,T!$A$4,1)-DATE(2016,1,1)+1,1)/1000,"")</f>
        <v>24814.562479022647</v>
      </c>
      <c r="D30" s="105">
        <f>IF(ROW(A30)-7&lt;=DAY(DATE($I$3,T!$A$4+1,1)-1),INDEX([7]ČR!E40:E405,DATE(2016,T!$A$4,1)-DATE(2016,1,1)+1,1)/1000,"")</f>
        <v>264272.44914516131</v>
      </c>
      <c r="E30" s="106">
        <f>IF(ROW(A30)-7&lt;=DAY(DATE($I$3,T!$A$4+1,1)-1),INDEX([5]PT!AF38:AF403,DATE(2016,T!$A$4,1)-DATE(2016,1,1)+1,1),"")</f>
        <v>6.5</v>
      </c>
      <c r="F30" s="7"/>
      <c r="G30" s="644"/>
      <c r="H30" s="780">
        <f t="shared" si="3"/>
        <v>42361</v>
      </c>
      <c r="I30" s="648">
        <f t="shared" si="4"/>
        <v>24.814562479022648</v>
      </c>
      <c r="J30" s="649">
        <f t="shared" si="5"/>
        <v>6.5</v>
      </c>
      <c r="K30" s="782" t="e">
        <f t="shared" si="6"/>
        <v>#N/A</v>
      </c>
      <c r="L30" s="647">
        <f t="shared" si="7"/>
        <v>0</v>
      </c>
      <c r="M30" s="783"/>
      <c r="N30" s="782" t="e">
        <f t="shared" si="2"/>
        <v>#N/A</v>
      </c>
      <c r="O30" s="647">
        <f t="shared" si="1"/>
        <v>0</v>
      </c>
      <c r="P30" s="783"/>
      <c r="R30" s="779"/>
      <c r="S30" s="176"/>
    </row>
    <row r="31" spans="1:19" ht="12" customHeight="1" x14ac:dyDescent="0.2">
      <c r="A31" s="104">
        <f>IF(ROW(A31)-7&lt;=DAY(DATE($I$3,T!$A$4+1,1)-1),INDEX([7]ČR!A41:A406,DATE(2016,T!$A$4,1)-DATE(2016,1,1)+1,1),"")</f>
        <v>42362</v>
      </c>
      <c r="B31" s="643" t="str">
        <f>IF(ROW(A31)-7&lt;=DAY(DATE($I$3,T!$A$4+1,1)-1),INDEX([7]ČR!B41:B406,DATE(2016,T!$A$4,1)-DATE(2016,1,1)+1,1),"")</f>
        <v>čtvrtek</v>
      </c>
      <c r="C31" s="101">
        <f>IF(ROW(A31)-7&lt;=DAY(DATE($I$3,T!$A$4+1,1)-1),INDEX([7]ČR!D41:D406,DATE(2016,T!$A$4,1)-DATE(2016,1,1)+1,1)/1000,"")</f>
        <v>23656.104953044065</v>
      </c>
      <c r="D31" s="105">
        <f>IF(ROW(A31)-7&lt;=DAY(DATE($I$3,T!$A$4+1,1)-1),INDEX([7]ČR!E41:E406,DATE(2016,T!$A$4,1)-DATE(2016,1,1)+1,1)/1000,"")</f>
        <v>251931.15614516131</v>
      </c>
      <c r="E31" s="106">
        <f>IF(ROW(A31)-7&lt;=DAY(DATE($I$3,T!$A$4+1,1)-1),INDEX([5]PT!AF39:AF404,DATE(2016,T!$A$4,1)-DATE(2016,1,1)+1,1),"")</f>
        <v>4.2</v>
      </c>
      <c r="F31" s="7"/>
      <c r="G31" s="644"/>
      <c r="H31" s="780">
        <f t="shared" si="3"/>
        <v>42362</v>
      </c>
      <c r="I31" s="648">
        <f t="shared" si="4"/>
        <v>23.656104953044064</v>
      </c>
      <c r="J31" s="649">
        <f t="shared" si="5"/>
        <v>4.2</v>
      </c>
      <c r="K31" s="782" t="e">
        <f t="shared" si="6"/>
        <v>#N/A</v>
      </c>
      <c r="L31" s="647">
        <f t="shared" si="7"/>
        <v>0</v>
      </c>
      <c r="M31" s="783"/>
      <c r="N31" s="782" t="e">
        <f t="shared" si="2"/>
        <v>#N/A</v>
      </c>
      <c r="O31" s="647">
        <f t="shared" si="1"/>
        <v>0</v>
      </c>
      <c r="P31" s="783"/>
      <c r="R31" s="779"/>
      <c r="S31" s="176"/>
    </row>
    <row r="32" spans="1:19" ht="12" customHeight="1" x14ac:dyDescent="0.2">
      <c r="A32" s="104">
        <f>IF(ROW(A32)-7&lt;=DAY(DATE($I$3,T!$A$4+1,1)-1),INDEX([7]ČR!A42:A407,DATE(2016,T!$A$4,1)-DATE(2016,1,1)+1,1),"")</f>
        <v>42363</v>
      </c>
      <c r="B32" s="643" t="str">
        <f>IF(ROW(A32)-7&lt;=DAY(DATE($I$3,T!$A$4+1,1)-1),INDEX([7]ČR!B42:B407,DATE(2016,T!$A$4,1)-DATE(2016,1,1)+1,1),"")</f>
        <v>pátek</v>
      </c>
      <c r="C32" s="101">
        <f>IF(ROW(A32)-7&lt;=DAY(DATE($I$3,T!$A$4+1,1)-1),INDEX([7]ČR!D42:D407,DATE(2016,T!$A$4,1)-DATE(2016,1,1)+1,1)/1000,"")</f>
        <v>22716.489605055278</v>
      </c>
      <c r="D32" s="105">
        <f>IF(ROW(A32)-7&lt;=DAY(DATE($I$3,T!$A$4+1,1)-1),INDEX([7]ČR!E42:E407,DATE(2016,T!$A$4,1)-DATE(2016,1,1)+1,1)/1000,"")</f>
        <v>241926.5921451613</v>
      </c>
      <c r="E32" s="106">
        <f>IF(ROW(A32)-7&lt;=DAY(DATE($I$3,T!$A$4+1,1)-1),INDEX([5]PT!AF40:AF405,DATE(2016,T!$A$4,1)-DATE(2016,1,1)+1,1),"")</f>
        <v>5.5</v>
      </c>
      <c r="F32" s="7"/>
      <c r="G32" s="644"/>
      <c r="H32" s="780">
        <f t="shared" si="3"/>
        <v>42363</v>
      </c>
      <c r="I32" s="648">
        <f t="shared" si="4"/>
        <v>22.716489605055276</v>
      </c>
      <c r="J32" s="649">
        <f t="shared" si="5"/>
        <v>5.5</v>
      </c>
      <c r="K32" s="782" t="e">
        <f t="shared" si="6"/>
        <v>#N/A</v>
      </c>
      <c r="L32" s="647">
        <f t="shared" si="7"/>
        <v>0</v>
      </c>
      <c r="M32" s="783"/>
      <c r="N32" s="782" t="e">
        <f t="shared" si="2"/>
        <v>#N/A</v>
      </c>
      <c r="O32" s="647">
        <f t="shared" si="1"/>
        <v>0</v>
      </c>
      <c r="P32" s="783"/>
    </row>
    <row r="33" spans="1:16" ht="12" customHeight="1" x14ac:dyDescent="0.2">
      <c r="A33" s="104">
        <f>IF(ROW(A33)-7&lt;=DAY(DATE($I$3,T!$A$4+1,1)-1),INDEX([7]ČR!A43:A408,DATE(2016,T!$A$4,1)-DATE(2016,1,1)+1,1),"")</f>
        <v>42364</v>
      </c>
      <c r="B33" s="643" t="str">
        <f>IF(ROW(A33)-7&lt;=DAY(DATE($I$3,T!$A$4+1,1)-1),INDEX([7]ČR!B43:B408,DATE(2016,T!$A$4,1)-DATE(2016,1,1)+1,1),"")</f>
        <v>sobota</v>
      </c>
      <c r="C33" s="101">
        <f>IF(ROW(A33)-7&lt;=DAY(DATE($I$3,T!$A$4+1,1)-1),INDEX([7]ČR!D43:D408,DATE(2016,T!$A$4,1)-DATE(2016,1,1)+1,1)/1000,"")</f>
        <v>21847.434865338135</v>
      </c>
      <c r="D33" s="105">
        <f>IF(ROW(A33)-7&lt;=DAY(DATE($I$3,T!$A$4+1,1)-1),INDEX([7]ČR!E43:E408,DATE(2016,T!$A$4,1)-DATE(2016,1,1)+1,1)/1000,"")</f>
        <v>232674.3311451613</v>
      </c>
      <c r="E33" s="106">
        <f>IF(ROW(A33)-7&lt;=DAY(DATE($I$3,T!$A$4+1,1)-1),INDEX([5]PT!AF41:AF406,DATE(2016,T!$A$4,1)-DATE(2016,1,1)+1,1),"")</f>
        <v>6.2</v>
      </c>
      <c r="F33" s="7"/>
      <c r="G33" s="644"/>
      <c r="H33" s="780">
        <f t="shared" si="3"/>
        <v>42364</v>
      </c>
      <c r="I33" s="648">
        <f t="shared" si="4"/>
        <v>21.847434865338133</v>
      </c>
      <c r="J33" s="649">
        <f t="shared" si="5"/>
        <v>6.2</v>
      </c>
      <c r="K33" s="782" t="e">
        <f t="shared" si="6"/>
        <v>#N/A</v>
      </c>
      <c r="L33" s="647">
        <f t="shared" si="7"/>
        <v>0</v>
      </c>
      <c r="M33" s="783"/>
      <c r="N33" s="782" t="e">
        <f t="shared" si="2"/>
        <v>#N/A</v>
      </c>
      <c r="O33" s="647">
        <f t="shared" si="1"/>
        <v>0</v>
      </c>
      <c r="P33" s="783"/>
    </row>
    <row r="34" spans="1:16" ht="12" customHeight="1" x14ac:dyDescent="0.2">
      <c r="A34" s="104">
        <f>IF(ROW(A34)-7&lt;=DAY(DATE($I$3,T!$A$4+1,1)-1),INDEX([7]ČR!A44:A409,DATE(2016,T!$A$4,1)-DATE(2016,1,1)+1,1),"")</f>
        <v>42365</v>
      </c>
      <c r="B34" s="643" t="str">
        <f>IF(ROW(A34)-7&lt;=DAY(DATE($I$3,T!$A$4+1,1)-1),INDEX([7]ČR!B44:B409,DATE(2016,T!$A$4,1)-DATE(2016,1,1)+1,1),"")</f>
        <v>neděle</v>
      </c>
      <c r="C34" s="101">
        <f>IF(ROW(A34)-7&lt;=DAY(DATE($I$3,T!$A$4+1,1)-1),INDEX([7]ČR!D44:D409,DATE(2016,T!$A$4,1)-DATE(2016,1,1)+1,1)/1000,"")</f>
        <v>24429.568140989708</v>
      </c>
      <c r="D34" s="105">
        <f>IF(ROW(A34)-7&lt;=DAY(DATE($I$3,T!$A$4+1,1)-1),INDEX([7]ČR!E44:E409,DATE(2016,T!$A$4,1)-DATE(2016,1,1)+1,1)/1000,"")</f>
        <v>260177.6921451613</v>
      </c>
      <c r="E34" s="106">
        <f>IF(ROW(A34)-7&lt;=DAY(DATE($I$3,T!$A$4+1,1)-1),INDEX([5]PT!AF42:AF407,DATE(2016,T!$A$4,1)-DATE(2016,1,1)+1,1),"")</f>
        <v>3.7</v>
      </c>
      <c r="F34" s="7"/>
      <c r="G34" s="644"/>
      <c r="H34" s="780">
        <f t="shared" si="3"/>
        <v>42365</v>
      </c>
      <c r="I34" s="648">
        <f t="shared" si="4"/>
        <v>24.429568140989709</v>
      </c>
      <c r="J34" s="649">
        <f t="shared" si="5"/>
        <v>3.7</v>
      </c>
      <c r="K34" s="782" t="e">
        <f t="shared" si="6"/>
        <v>#N/A</v>
      </c>
      <c r="L34" s="647">
        <f t="shared" si="7"/>
        <v>0</v>
      </c>
      <c r="M34" s="783"/>
      <c r="N34" s="782" t="e">
        <f t="shared" si="2"/>
        <v>#N/A</v>
      </c>
      <c r="O34" s="647">
        <f t="shared" si="1"/>
        <v>0</v>
      </c>
      <c r="P34" s="783"/>
    </row>
    <row r="35" spans="1:16" ht="12" customHeight="1" x14ac:dyDescent="0.2">
      <c r="A35" s="104">
        <f>IF(ROW(A35)-7&lt;=DAY(DATE($I$3,T!$A$4+1,1)-1),INDEX([7]ČR!A45:A410,DATE(2016,T!$A$4,1)-DATE(2016,1,1)+1,1),"")</f>
        <v>42366</v>
      </c>
      <c r="B35" s="643" t="str">
        <f>IF(ROW(A35)-7&lt;=DAY(DATE($I$3,T!$A$4+1,1)-1),INDEX([7]ČR!B45:B410,DATE(2016,T!$A$4,1)-DATE(2016,1,1)+1,1),"")</f>
        <v>pondělí</v>
      </c>
      <c r="C35" s="101">
        <f>IF(ROW(A35)-7&lt;=DAY(DATE($I$3,T!$A$4+1,1)-1),INDEX([7]ČR!D45:D410,DATE(2016,T!$A$4,1)-DATE(2016,1,1)+1,1)/1000,"")</f>
        <v>26189.235055052912</v>
      </c>
      <c r="D35" s="105">
        <f>IF(ROW(A35)-7&lt;=DAY(DATE($I$3,T!$A$4+1,1)-1),INDEX([7]ČR!E45:E410,DATE(2016,T!$A$4,1)-DATE(2016,1,1)+1,1)/1000,"")</f>
        <v>278921.66514516127</v>
      </c>
      <c r="E35" s="106">
        <f>IF(ROW(A35)-7&lt;=DAY(DATE($I$3,T!$A$4+1,1)-1),INDEX([5]PT!AF43:AF408,DATE(2016,T!$A$4,1)-DATE(2016,1,1)+1,1),"")</f>
        <v>4.5</v>
      </c>
      <c r="F35" s="7"/>
      <c r="G35" s="644"/>
      <c r="H35" s="780">
        <f t="shared" si="3"/>
        <v>42366</v>
      </c>
      <c r="I35" s="648">
        <f t="shared" si="4"/>
        <v>26.189235055052912</v>
      </c>
      <c r="J35" s="649">
        <f t="shared" si="5"/>
        <v>4.5</v>
      </c>
      <c r="K35" s="782" t="e">
        <f t="shared" si="6"/>
        <v>#N/A</v>
      </c>
      <c r="L35" s="647">
        <f t="shared" si="7"/>
        <v>0</v>
      </c>
      <c r="M35" s="783"/>
      <c r="N35" s="782" t="e">
        <f t="shared" si="2"/>
        <v>#N/A</v>
      </c>
      <c r="O35" s="647">
        <f t="shared" si="1"/>
        <v>0</v>
      </c>
      <c r="P35" s="783"/>
    </row>
    <row r="36" spans="1:16" ht="12" customHeight="1" x14ac:dyDescent="0.2">
      <c r="A36" s="104">
        <f>IF(ROW(A36)-7&lt;=DAY(DATE($I$3,T!$A$4+1,1)-1),INDEX([7]ČR!A46:A411,DATE(2016,T!$A$4,1)-DATE(2016,1,1)+1,1),"")</f>
        <v>42367</v>
      </c>
      <c r="B36" s="643" t="str">
        <f>IF(ROW(A36)-7&lt;=DAY(DATE($I$3,T!$A$4+1,1)-1),INDEX([7]ČR!B46:B411,DATE(2016,T!$A$4,1)-DATE(2016,1,1)+1,1),"")</f>
        <v>úterý</v>
      </c>
      <c r="C36" s="101">
        <f>IF(ROW(A36)-7&lt;=DAY(DATE($I$3,T!$A$4+1,1)-1),INDEX([7]ČR!D46:D411,DATE(2016,T!$A$4,1)-DATE(2016,1,1)+1,1)/1000,"")</f>
        <v>27919.529029109723</v>
      </c>
      <c r="D36" s="105">
        <f>IF(ROW(A36)-7&lt;=DAY(DATE($I$3,T!$A$4+1,1)-1),INDEX([7]ČR!E46:E411,DATE(2016,T!$A$4,1)-DATE(2016,1,1)+1,1)/1000,"")</f>
        <v>297344.49014516128</v>
      </c>
      <c r="E36" s="106">
        <f>IF(ROW(A36)-7&lt;=DAY(DATE($I$3,T!$A$4+1,1)-1),INDEX([5]PT!AF44:AF409,DATE(2016,T!$A$4,1)-DATE(2016,1,1)+1,1),"")</f>
        <v>2.2999999999999998</v>
      </c>
      <c r="F36" s="7"/>
      <c r="G36" s="644"/>
      <c r="H36" s="780">
        <f t="shared" si="3"/>
        <v>42367</v>
      </c>
      <c r="I36" s="648">
        <f t="shared" si="4"/>
        <v>27.919529029109722</v>
      </c>
      <c r="J36" s="649">
        <f t="shared" si="5"/>
        <v>2.2999999999999998</v>
      </c>
      <c r="K36" s="782" t="e">
        <f t="shared" si="6"/>
        <v>#N/A</v>
      </c>
      <c r="L36" s="647">
        <f t="shared" si="7"/>
        <v>0</v>
      </c>
      <c r="M36" s="783"/>
      <c r="N36" s="782" t="e">
        <f t="shared" si="2"/>
        <v>#N/A</v>
      </c>
      <c r="O36" s="647">
        <f t="shared" si="1"/>
        <v>0</v>
      </c>
      <c r="P36" s="783"/>
    </row>
    <row r="37" spans="1:16" ht="12" customHeight="1" x14ac:dyDescent="0.2">
      <c r="A37" s="104">
        <f>IF(ROW(A37)-7&lt;=DAY(DATE($I$3,T!$A$4+1,1)-1),INDEX([7]ČR!A47:A412,DATE(2016,T!$A$4,1)-DATE(2016,1,1)+1,1),"")</f>
        <v>42368</v>
      </c>
      <c r="B37" s="643" t="str">
        <f>IF(ROW(A37)-7&lt;=DAY(DATE($I$3,T!$A$4+1,1)-1),INDEX([7]ČR!B47:B412,DATE(2016,T!$A$4,1)-DATE(2016,1,1)+1,1),"")</f>
        <v>středa</v>
      </c>
      <c r="C37" s="101">
        <f>IF(ROW(A37)-7&lt;=DAY(DATE($I$3,T!$A$4+1,1)-1),INDEX([7]ČR!D47:D412,DATE(2016,T!$A$4,1)-DATE(2016,1,1)+1,1)/1000,"")</f>
        <v>31400.429941866612</v>
      </c>
      <c r="D37" s="105">
        <f>IF(ROW(A37)-7&lt;=DAY(DATE($I$3,T!$A$4+1,1)-1),INDEX([7]ČR!E47:E412,DATE(2016,T!$A$4,1)-DATE(2016,1,1)+1,1)/1000,"")</f>
        <v>334414.82914516126</v>
      </c>
      <c r="E37" s="106">
        <f>IF(ROW(A37)-7&lt;=DAY(DATE($I$3,T!$A$4+1,1)-1),INDEX([5]PT!AF45:AF410,DATE(2016,T!$A$4,1)-DATE(2016,1,1)+1,1),"")</f>
        <v>-1.7</v>
      </c>
      <c r="F37" s="7"/>
      <c r="G37" s="644"/>
      <c r="H37" s="780">
        <f t="shared" si="3"/>
        <v>42368</v>
      </c>
      <c r="I37" s="648">
        <f t="shared" si="4"/>
        <v>31.400429941866612</v>
      </c>
      <c r="J37" s="649">
        <f t="shared" si="5"/>
        <v>-1.7</v>
      </c>
      <c r="K37" s="782" t="e">
        <f t="shared" si="6"/>
        <v>#N/A</v>
      </c>
      <c r="L37" s="647">
        <f t="shared" si="7"/>
        <v>0</v>
      </c>
      <c r="M37" s="783"/>
      <c r="N37" s="782" t="e">
        <f t="shared" si="2"/>
        <v>#N/A</v>
      </c>
      <c r="O37" s="647">
        <f t="shared" si="1"/>
        <v>0</v>
      </c>
      <c r="P37" s="783"/>
    </row>
    <row r="38" spans="1:16" ht="12" customHeight="1" x14ac:dyDescent="0.2">
      <c r="A38" s="104">
        <f>IF(ROW(A38)-7&lt;=DAY(DATE($I$3,T!$A$4+1,1)-1),INDEX([7]ČR!A48:A413,DATE(2016,T!$A$4,1)-DATE(2016,1,1)+1,1),"")</f>
        <v>42369</v>
      </c>
      <c r="B38" s="643" t="str">
        <f>IF(ROW(A38)-7&lt;=DAY(DATE($I$3,T!$A$4+1,1)-1),INDEX([7]ČR!B48:B413,DATE(2016,T!$A$4,1)-DATE(2016,1,1)+1,1),"")</f>
        <v>čtvrtek</v>
      </c>
      <c r="C38" s="101">
        <f>IF(ROW(A38)-7&lt;=DAY(DATE($I$3,T!$A$4+1,1)-1),INDEX([7]ČR!D48:D413,DATE(2016,T!$A$4,1)-DATE(2016,1,1)+1,1)/1000,"")</f>
        <v>33060.100065268387</v>
      </c>
      <c r="D38" s="105">
        <f>IF(ROW(A38)-7&lt;=DAY(DATE($I$3,T!$A$4+1,1)-1),INDEX([7]ČR!E48:E413,DATE(2016,T!$A$4,1)-DATE(2016,1,1)+1,1)/1000,"")</f>
        <v>352087.18614516128</v>
      </c>
      <c r="E38" s="106">
        <f>IF(ROW(A38)-7&lt;=DAY(DATE($I$3,T!$A$4+1,1)-1),INDEX([5]PT!AF46:AF411,DATE(2016,T!$A$4,1)-DATE(2016,1,1)+1,1),"")</f>
        <v>-3.9</v>
      </c>
      <c r="F38" s="7"/>
      <c r="G38" s="644"/>
      <c r="H38" s="780">
        <f t="shared" si="3"/>
        <v>42369</v>
      </c>
      <c r="I38" s="648">
        <f t="shared" si="4"/>
        <v>33.060100065268387</v>
      </c>
      <c r="J38" s="649">
        <f t="shared" si="5"/>
        <v>-3.9</v>
      </c>
      <c r="K38" s="782" t="e">
        <f t="shared" si="6"/>
        <v>#N/A</v>
      </c>
      <c r="L38" s="647">
        <f t="shared" si="7"/>
        <v>0</v>
      </c>
      <c r="M38" s="783"/>
      <c r="N38" s="782" t="e">
        <f t="shared" si="2"/>
        <v>#N/A</v>
      </c>
      <c r="O38" s="647">
        <f t="shared" si="1"/>
        <v>0</v>
      </c>
      <c r="P38" s="783"/>
    </row>
    <row r="39" spans="1:16" ht="12" customHeight="1" x14ac:dyDescent="0.2">
      <c r="A39" s="861" t="s">
        <v>2</v>
      </c>
      <c r="B39" s="862"/>
      <c r="C39" s="744">
        <f>SUM(C8:C38)</f>
        <v>902972.57119574561</v>
      </c>
      <c r="D39" s="745">
        <f>SUM(D8:D38)</f>
        <v>9616759.5714999996</v>
      </c>
      <c r="E39" s="746">
        <f>AVERAGE(E8:E38)</f>
        <v>3.5354838709677412</v>
      </c>
      <c r="F39" s="7"/>
      <c r="G39" s="860"/>
      <c r="H39" s="91"/>
      <c r="I39" s="781"/>
      <c r="J39" s="91"/>
      <c r="K39" s="91"/>
      <c r="L39" s="91"/>
      <c r="M39" s="91"/>
      <c r="N39" s="91"/>
      <c r="O39" s="91"/>
      <c r="P39" s="91"/>
    </row>
    <row r="40" spans="1:16" ht="12" customHeight="1" x14ac:dyDescent="0.2">
      <c r="A40" s="863" t="s">
        <v>45</v>
      </c>
      <c r="B40" s="864"/>
      <c r="C40" s="102">
        <f>MAX(C8:C38)</f>
        <v>34509.998691494511</v>
      </c>
      <c r="D40" s="8">
        <f>MAX(D8:D38)</f>
        <v>367527.31514516129</v>
      </c>
      <c r="E40" s="43">
        <f>VLOOKUP(C40,$C$8:$E$38,3,FALSE)</f>
        <v>1.4</v>
      </c>
      <c r="F40" s="7"/>
      <c r="G40" s="860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2" customHeight="1" x14ac:dyDescent="0.2">
      <c r="A41" s="863" t="s">
        <v>46</v>
      </c>
      <c r="B41" s="864"/>
      <c r="C41" s="102">
        <f>MIN(C8:C38)</f>
        <v>21847.434865338135</v>
      </c>
      <c r="D41" s="8">
        <f>MIN(D8:D38)</f>
        <v>232674.3311451613</v>
      </c>
      <c r="E41" s="43">
        <f>VLOOKUP(C41,$C$8:$E$38,3,FALSE)</f>
        <v>6.2</v>
      </c>
      <c r="F41" s="7"/>
      <c r="G41" s="860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2" customHeight="1" x14ac:dyDescent="0.2">
      <c r="A42" s="865" t="s">
        <v>44</v>
      </c>
      <c r="B42" s="866"/>
      <c r="C42" s="103">
        <f>AVERAGE(C8:C38)</f>
        <v>29128.147457927276</v>
      </c>
      <c r="D42" s="44">
        <f>AVERAGE(D8:D38)</f>
        <v>310218.0506935484</v>
      </c>
      <c r="E42" s="45">
        <f>AVERAGE(E8:E38)</f>
        <v>3.5354838709677412</v>
      </c>
      <c r="F42" s="7"/>
      <c r="G42" s="860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2" customHeight="1" x14ac:dyDescent="0.2">
      <c r="A43" s="2"/>
      <c r="F43" s="61"/>
      <c r="G43" s="61"/>
    </row>
    <row r="46" spans="1:16" x14ac:dyDescent="0.2">
      <c r="C46" s="67"/>
      <c r="D46" s="67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789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9" t="s">
        <v>75</v>
      </c>
      <c r="P1" s="829"/>
    </row>
    <row r="2" spans="1:17" ht="15.95" customHeight="1" x14ac:dyDescent="0.25">
      <c r="A2" s="879" t="s">
        <v>170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7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7" ht="14.1" customHeight="1" x14ac:dyDescent="0.2">
      <c r="D4" s="496"/>
      <c r="E4" s="496"/>
      <c r="F4" s="496"/>
      <c r="G4" s="496"/>
      <c r="P4" s="593"/>
    </row>
    <row r="5" spans="1:17" ht="18" customHeight="1" x14ac:dyDescent="0.2">
      <c r="A5" s="514"/>
      <c r="B5" s="515"/>
      <c r="C5" s="516"/>
      <c r="D5" s="499" t="s">
        <v>13</v>
      </c>
      <c r="E5" s="499" t="s">
        <v>58</v>
      </c>
      <c r="F5" s="517" t="s">
        <v>59</v>
      </c>
      <c r="G5" s="499" t="s">
        <v>60</v>
      </c>
      <c r="H5" s="499" t="s">
        <v>61</v>
      </c>
      <c r="I5" s="517" t="s">
        <v>62</v>
      </c>
      <c r="J5" s="499" t="s">
        <v>63</v>
      </c>
      <c r="K5" s="499" t="s">
        <v>64</v>
      </c>
      <c r="L5" s="517" t="s">
        <v>65</v>
      </c>
      <c r="M5" s="499" t="s">
        <v>66</v>
      </c>
      <c r="N5" s="499" t="s">
        <v>67</v>
      </c>
      <c r="O5" s="499" t="s">
        <v>68</v>
      </c>
      <c r="P5" s="587" t="s">
        <v>2</v>
      </c>
      <c r="Q5" s="13"/>
    </row>
    <row r="6" spans="1:17" ht="9.9499999999999993" customHeight="1" x14ac:dyDescent="0.2">
      <c r="A6" s="881" t="s">
        <v>234</v>
      </c>
      <c r="B6" s="518"/>
      <c r="C6" s="519"/>
      <c r="D6" s="498"/>
      <c r="E6" s="498"/>
      <c r="F6" s="520"/>
      <c r="G6" s="498"/>
      <c r="H6" s="498"/>
      <c r="I6" s="520"/>
      <c r="J6" s="498"/>
      <c r="K6" s="498"/>
      <c r="L6" s="520"/>
      <c r="M6" s="498"/>
      <c r="N6" s="498"/>
      <c r="O6" s="498"/>
      <c r="P6" s="588"/>
      <c r="Q6" s="13"/>
    </row>
    <row r="7" spans="1:17" ht="18" customHeight="1" x14ac:dyDescent="0.2">
      <c r="A7" s="877"/>
      <c r="B7" s="563" t="str">
        <f>"spotřeba "&amp;$A$3</f>
        <v>spotřeba 2015</v>
      </c>
      <c r="C7" s="565" t="s">
        <v>231</v>
      </c>
      <c r="D7" s="521">
        <f>IF(T!$A$4&gt;='[8]Podklady MZ'!D$2,'[8]Podklady MZ'!D12,"")</f>
        <v>1081.280644710429</v>
      </c>
      <c r="E7" s="522">
        <f>IF(T!$A$4&gt;='[8]Podklady MZ'!E$2,'[8]Podklady MZ'!E12,"")</f>
        <v>989.86689164730865</v>
      </c>
      <c r="F7" s="523">
        <f>IF(T!$A$4&gt;='[8]Podklady MZ'!F$2,'[8]Podklady MZ'!F12,"")</f>
        <v>865.53252041105134</v>
      </c>
      <c r="G7" s="522">
        <f>IF(T!$A$4&gt;='[8]Podklady MZ'!G$2,'[8]Podklady MZ'!G12,"")</f>
        <v>622.80856614391325</v>
      </c>
      <c r="H7" s="521">
        <f>IF(T!$A$4&gt;='[8]Podklady MZ'!H$2,'[8]Podklady MZ'!H12,"")</f>
        <v>404.77237581362579</v>
      </c>
      <c r="I7" s="524">
        <f>IF(T!$A$4&gt;='[8]Podklady MZ'!I$2,'[8]Podklady MZ'!I12,"")</f>
        <v>314.40782647711256</v>
      </c>
      <c r="J7" s="521">
        <f>IF(T!$A$4&gt;='[8]Podklady MZ'!J$2,'[8]Podklady MZ'!J12,"")</f>
        <v>298.38639432190473</v>
      </c>
      <c r="K7" s="521">
        <f>IF(T!$A$4&gt;='[8]Podklady MZ'!K$2,'[8]Podklady MZ'!K12,"")</f>
        <v>277.51120821690495</v>
      </c>
      <c r="L7" s="524">
        <f>IF(T!$A$4&gt;='[8]Podklady MZ'!L$2,'[8]Podklady MZ'!L12,"")</f>
        <v>352.96079611407475</v>
      </c>
      <c r="M7" s="521">
        <f>IF(T!$A$4&gt;='[8]Podklady MZ'!M$2,'[8]Podklady MZ'!M12,"")</f>
        <v>692.3772462549789</v>
      </c>
      <c r="N7" s="521">
        <f>IF(T!$A$4&gt;='[8]Podklady MZ'!N$2,'[8]Podklady MZ'!N12,"")</f>
        <v>806.33735989642719</v>
      </c>
      <c r="O7" s="521">
        <f>IF(T!$A$4&gt;='[8]Podklady MZ'!O$2,'[8]Podklady MZ'!O12,"")</f>
        <v>902.97257119574556</v>
      </c>
      <c r="P7" s="594">
        <f>SUM(D7:O7)</f>
        <v>7609.214401203476</v>
      </c>
    </row>
    <row r="8" spans="1:17" ht="18" customHeight="1" x14ac:dyDescent="0.2">
      <c r="A8" s="877"/>
      <c r="B8" s="563" t="str">
        <f>"spotřeba "&amp;$A$3</f>
        <v>spotřeba 2015</v>
      </c>
      <c r="C8" s="565" t="s">
        <v>284</v>
      </c>
      <c r="D8" s="522">
        <f>IF(T!$A$4&gt;='[8]Podklady MZ'!D$2,'[8]Podklady MZ'!D13,)</f>
        <v>11492.757934199999</v>
      </c>
      <c r="E8" s="522">
        <f>IF(T!$A$4&gt;='[8]Podklady MZ'!E$2,'[8]Podklady MZ'!E13,"")</f>
        <v>10525.401338</v>
      </c>
      <c r="F8" s="523">
        <f>IF(T!$A$4&gt;='[8]Podklady MZ'!F$2,'[8]Podklady MZ'!F13,"")</f>
        <v>9201.9026437999983</v>
      </c>
      <c r="G8" s="522">
        <f>IF(T!$A$4&gt;='[8]Podklady MZ'!G$2,'[8]Podklady MZ'!G13,"")</f>
        <v>6626.1087002000022</v>
      </c>
      <c r="H8" s="521">
        <f>IF(T!$A$4&gt;='[8]Podklady MZ'!H$2,'[8]Podklady MZ'!H13,"")</f>
        <v>4332.1303954000005</v>
      </c>
      <c r="I8" s="524">
        <f>IF(T!$A$4&gt;='[8]Podklady MZ'!I$2,'[8]Podklady MZ'!I13,"")</f>
        <v>3367.3136154999993</v>
      </c>
      <c r="J8" s="521">
        <f>IF(T!$A$4&gt;='[8]Podklady MZ'!J$2,'[8]Podklady MZ'!J13,"")</f>
        <v>3186.2044436000006</v>
      </c>
      <c r="K8" s="521">
        <f>IF(T!$A$4&gt;='[8]Podklady MZ'!K$2,'[8]Podklady MZ'!K13,"")</f>
        <v>2973.0205207999998</v>
      </c>
      <c r="L8" s="524">
        <f>IF(T!$A$4&gt;='[8]Podklady MZ'!L$2,'[8]Podklady MZ'!L13,"")</f>
        <v>3775.558282</v>
      </c>
      <c r="M8" s="521">
        <f>IF(T!$A$4&gt;='[8]Podklady MZ'!M$2,'[8]Podklady MZ'!M13,"")</f>
        <v>7395.1327493999997</v>
      </c>
      <c r="N8" s="521">
        <f>IF(T!$A$4&gt;='[8]Podklady MZ'!N$2,'[8]Podklady MZ'!N13,"")</f>
        <v>8593.5736972000013</v>
      </c>
      <c r="O8" s="521">
        <f>IF(T!$A$4&gt;='[8]Podklady MZ'!O$2,'[8]Podklady MZ'!O13,"")</f>
        <v>9616.7595715000007</v>
      </c>
      <c r="P8" s="594">
        <f t="shared" ref="P8:P18" si="0">SUM(D8:O8)</f>
        <v>81085.863891600005</v>
      </c>
    </row>
    <row r="9" spans="1:17" ht="18" customHeight="1" x14ac:dyDescent="0.2">
      <c r="A9" s="877"/>
      <c r="B9" s="564" t="s">
        <v>230</v>
      </c>
      <c r="C9" s="566" t="s">
        <v>232</v>
      </c>
      <c r="D9" s="650">
        <f>IF(T!$A$4&gt;='[8]Podklady MZ'!D$2,'[8]Podklady MZ'!D14,)</f>
        <v>1.3175830293298696E-2</v>
      </c>
      <c r="E9" s="650">
        <f>IF(T!$A$4&gt;='[8]Podklady MZ'!E$2,'[8]Podklady MZ'!E14,"")</f>
        <v>0.10582116745661807</v>
      </c>
      <c r="F9" s="651">
        <f>IF(T!$A$4&gt;='[8]Podklady MZ'!F$2,'[8]Podklady MZ'!F14,"")</f>
        <v>0.15642829965663532</v>
      </c>
      <c r="G9" s="650">
        <f>IF(T!$A$4&gt;='[8]Podklady MZ'!G$2,'[8]Podklady MZ'!G14,"")</f>
        <v>0.16633369318363966</v>
      </c>
      <c r="H9" s="652">
        <f>IF(T!$A$4&gt;='[8]Podklady MZ'!H$2,'[8]Podklady MZ'!H14,"")</f>
        <v>-6.9326986800837861E-2</v>
      </c>
      <c r="I9" s="653">
        <f>IF(T!$A$4&gt;='[8]Podklady MZ'!I$2,'[8]Podklady MZ'!I14,"")</f>
        <v>1.7843565337174013E-2</v>
      </c>
      <c r="J9" s="652">
        <f>IF(T!$A$4&gt;='[8]Podklady MZ'!J$2,'[8]Podklady MZ'!J14,"")</f>
        <v>-2.3167564846651268E-2</v>
      </c>
      <c r="K9" s="652">
        <f>IF(T!$A$4&gt;='[8]Podklady MZ'!K$2,'[8]Podklady MZ'!K14,"")</f>
        <v>-7.5332464693124324E-2</v>
      </c>
      <c r="L9" s="653">
        <f>IF(T!$A$4&gt;='[8]Podklady MZ'!L$2,'[8]Podklady MZ'!L14,"")</f>
        <v>-3.235274755507124E-2</v>
      </c>
      <c r="M9" s="652">
        <f>IF(T!$A$4&gt;='[8]Podklady MZ'!M$2,'[8]Podklady MZ'!M14,"")</f>
        <v>0.2219229621913186</v>
      </c>
      <c r="N9" s="652">
        <f>IF(T!$A$4&gt;='[8]Podklady MZ'!N$2,'[8]Podklady MZ'!N14,"")</f>
        <v>5.1326645715610367E-2</v>
      </c>
      <c r="O9" s="652">
        <f>IF(T!$A$4&gt;='[8]Podklady MZ'!O$2,'[8]Podklady MZ'!O14,"")</f>
        <v>-8.5926291196906132E-2</v>
      </c>
      <c r="P9" s="654">
        <f>(P7-P10)/P10</f>
        <v>4.5160897594617416E-2</v>
      </c>
    </row>
    <row r="10" spans="1:17" ht="18" customHeight="1" x14ac:dyDescent="0.2">
      <c r="A10" s="877"/>
      <c r="B10" s="98" t="str">
        <f>"spotřeba "&amp;$A$3-1</f>
        <v>spotřeba 2014</v>
      </c>
      <c r="C10" s="567" t="s">
        <v>231</v>
      </c>
      <c r="D10" s="525">
        <f>IF(T!$A$4&gt;='[8]Podklady MZ'!D$2,'[8]Podklady MZ'!D15,)</f>
        <v>1067.2191463523316</v>
      </c>
      <c r="E10" s="525">
        <f>IF(T!$A$4&gt;='[8]Podklady MZ'!E$2,'[8]Podklady MZ'!E15,"")</f>
        <v>895.14192780736551</v>
      </c>
      <c r="F10" s="526">
        <f>IF(T!$A$4&gt;='[8]Podklady MZ'!F$2,'[8]Podklady MZ'!F15,"")</f>
        <v>748.4532509867181</v>
      </c>
      <c r="G10" s="525">
        <f>IF(T!$A$4&gt;='[8]Podklady MZ'!G$2,'[8]Podklady MZ'!G15,"")</f>
        <v>533.98831722325269</v>
      </c>
      <c r="H10" s="527">
        <f>IF(T!$A$4&gt;='[8]Podklady MZ'!H$2,'[8]Podklady MZ'!H15,"")</f>
        <v>434.92437201142451</v>
      </c>
      <c r="I10" s="528">
        <f>IF(T!$A$4&gt;='[8]Podklady MZ'!I$2,'[8]Podklady MZ'!I15,"")</f>
        <v>308.89602015901221</v>
      </c>
      <c r="J10" s="527">
        <f>IF(T!$A$4&gt;='[8]Podklady MZ'!J$2,'[8]Podklady MZ'!J15,"")</f>
        <v>305.46323359447246</v>
      </c>
      <c r="K10" s="527">
        <f>IF(T!$A$4&gt;='[8]Podklady MZ'!K$2,'[8]Podklady MZ'!K15,"")</f>
        <v>300.11998650391183</v>
      </c>
      <c r="L10" s="528">
        <f>IF(T!$A$4&gt;='[8]Podklady MZ'!L$2,'[8]Podklady MZ'!L15,"")</f>
        <v>364.76184396975037</v>
      </c>
      <c r="M10" s="527">
        <f>IF(T!$A$4&gt;='[8]Podklady MZ'!M$2,'[8]Podklady MZ'!M15,"")</f>
        <v>566.6292128706001</v>
      </c>
      <c r="N10" s="527">
        <f>IF(T!$A$4&gt;='[8]Podklady MZ'!N$2,'[8]Podklady MZ'!N15,"")</f>
        <v>766.97129591685996</v>
      </c>
      <c r="O10" s="527">
        <f>IF(T!$A$4&gt;='[8]Podklady MZ'!O$2,'[8]Podklady MZ'!O15,"")</f>
        <v>987.85531462021333</v>
      </c>
      <c r="P10" s="589">
        <f t="shared" si="0"/>
        <v>7280.4239220159125</v>
      </c>
    </row>
    <row r="11" spans="1:17" ht="18" customHeight="1" x14ac:dyDescent="0.2">
      <c r="A11" s="877"/>
      <c r="B11" s="98" t="str">
        <f>"spotřeba "&amp;$A$3-1</f>
        <v>spotřeba 2014</v>
      </c>
      <c r="C11" s="567" t="s">
        <v>284</v>
      </c>
      <c r="D11" s="525">
        <f>IF(T!$A$4&gt;='[8]Podklady MZ'!D$2,'[8]Podklady MZ'!D16,)</f>
        <v>11367.914916170237</v>
      </c>
      <c r="E11" s="525">
        <f>IF(T!$A$4&gt;='[8]Podklady MZ'!E$2,'[8]Podklady MZ'!E16,"")</f>
        <v>9518.248077734268</v>
      </c>
      <c r="F11" s="526">
        <f>IF(T!$A$4&gt;='[8]Podklady MZ'!F$2,'[8]Podklady MZ'!F16,"")</f>
        <v>7950.662373387202</v>
      </c>
      <c r="G11" s="525">
        <f>IF(T!$A$4&gt;='[8]Podklady MZ'!G$2,'[8]Podklady MZ'!G16,"")</f>
        <v>5679.1835705189296</v>
      </c>
      <c r="H11" s="527">
        <f>IF(T!$A$4&gt;='[8]Podklady MZ'!H$2,'[8]Podklady MZ'!H16,"")</f>
        <v>4628.7050628600246</v>
      </c>
      <c r="I11" s="528">
        <f>IF(T!$A$4&gt;='[8]Podklady MZ'!I$2,'[8]Podklady MZ'!I16,"")</f>
        <v>3288.3102275735141</v>
      </c>
      <c r="J11" s="527">
        <f>IF(T!$A$4&gt;='[8]Podklady MZ'!J$2,'[8]Podklady MZ'!J16,"")</f>
        <v>3237.2885787849923</v>
      </c>
      <c r="K11" s="527">
        <f>IF(T!$A$4&gt;='[8]Podklady MZ'!K$2,'[8]Podklady MZ'!K16,"")</f>
        <v>3202.659608332875</v>
      </c>
      <c r="L11" s="528">
        <f>IF(T!$A$4&gt;='[8]Podklady MZ'!L$2,'[8]Podklady MZ'!L16,"")</f>
        <v>3885.64570671</v>
      </c>
      <c r="M11" s="527">
        <f>IF(T!$A$4&gt;='[8]Podklady MZ'!M$2,'[8]Podklady MZ'!M16,"")</f>
        <v>6020.7610380369179</v>
      </c>
      <c r="N11" s="527">
        <f>IF(T!$A$4&gt;='[8]Podklady MZ'!N$2,'[8]Podklady MZ'!N16,"")</f>
        <v>8146.4561863001172</v>
      </c>
      <c r="O11" s="527">
        <f>IF(T!$A$4&gt;='[8]Podklady MZ'!O$2,'[8]Podklady MZ'!O16,"")</f>
        <v>10483.28424197308</v>
      </c>
      <c r="P11" s="589">
        <f t="shared" si="0"/>
        <v>77409.119588382164</v>
      </c>
    </row>
    <row r="12" spans="1:17" ht="9.9499999999999993" customHeight="1" x14ac:dyDescent="0.2">
      <c r="A12" s="878"/>
      <c r="B12" s="510"/>
      <c r="C12" s="530"/>
      <c r="D12" s="531"/>
      <c r="E12" s="531"/>
      <c r="F12" s="532"/>
      <c r="G12" s="531"/>
      <c r="H12" s="533"/>
      <c r="I12" s="534"/>
      <c r="J12" s="533"/>
      <c r="K12" s="533"/>
      <c r="L12" s="534"/>
      <c r="M12" s="533"/>
      <c r="N12" s="533"/>
      <c r="O12" s="533"/>
      <c r="P12" s="590"/>
    </row>
    <row r="13" spans="1:17" ht="9.9499999999999993" customHeight="1" x14ac:dyDescent="0.2">
      <c r="A13" s="881" t="s">
        <v>235</v>
      </c>
      <c r="B13" s="511"/>
      <c r="C13" s="535"/>
      <c r="D13" s="525"/>
      <c r="E13" s="525"/>
      <c r="F13" s="526"/>
      <c r="G13" s="525"/>
      <c r="H13" s="527"/>
      <c r="I13" s="528"/>
      <c r="J13" s="527"/>
      <c r="K13" s="527"/>
      <c r="L13" s="528"/>
      <c r="M13" s="527"/>
      <c r="N13" s="527"/>
      <c r="O13" s="527"/>
      <c r="P13" s="589"/>
    </row>
    <row r="14" spans="1:17" ht="18" customHeight="1" x14ac:dyDescent="0.2">
      <c r="A14" s="877"/>
      <c r="B14" s="563" t="str">
        <f>"spotřeba "&amp;$A$3</f>
        <v>spotřeba 2015</v>
      </c>
      <c r="C14" s="565" t="s">
        <v>231</v>
      </c>
      <c r="D14" s="521">
        <f>IF(T!$A$4&gt;='[8]Podklady MZ'!D$2,'[8]Podklady MZ'!D19,"")</f>
        <v>1162.3827182199684</v>
      </c>
      <c r="E14" s="522">
        <f>IF(T!$A$4&gt;='[8]Podklady MZ'!E$2,'[8]Podklady MZ'!E19,"")</f>
        <v>1022.8621044614633</v>
      </c>
      <c r="F14" s="523">
        <f>IF(T!$A$4&gt;='[8]Podklady MZ'!F$2,'[8]Podklady MZ'!F19,"")</f>
        <v>901.33118683539692</v>
      </c>
      <c r="G14" s="522">
        <f>IF(T!$A$4&gt;='[8]Podklady MZ'!G$2,'[8]Podklady MZ'!G19,"")</f>
        <v>647.29636373718301</v>
      </c>
      <c r="H14" s="521">
        <f>IF(T!$A$4&gt;='[8]Podklady MZ'!H$2,'[8]Podklady MZ'!H19,"")</f>
        <v>399.23311790096943</v>
      </c>
      <c r="I14" s="524">
        <f>IF(T!$A$4&gt;='[8]Podklady MZ'!I$2,'[8]Podklady MZ'!I19,"")</f>
        <v>318.95062063632389</v>
      </c>
      <c r="J14" s="521">
        <f>IF(T!$A$4&gt;='[8]Podklady MZ'!J$2,'[8]Podklady MZ'!J19,"")</f>
        <v>302.4372465189378</v>
      </c>
      <c r="K14" s="521">
        <f>IF(T!$A$4&gt;='[8]Podklady MZ'!K$2,'[8]Podklady MZ'!K19,"")</f>
        <v>299.01838851541652</v>
      </c>
      <c r="L14" s="524">
        <f>IF(T!$A$4&gt;='[8]Podklady MZ'!L$2,'[8]Podklady MZ'!L19,"")</f>
        <v>359.74623069021459</v>
      </c>
      <c r="M14" s="521">
        <f>IF(T!$A$4&gt;='[8]Podklady MZ'!M$2,'[8]Podklady MZ'!M19,"")</f>
        <v>698.83677162586446</v>
      </c>
      <c r="N14" s="521">
        <f>IF(T!$A$4&gt;='[8]Podklady MZ'!N$2,'[8]Podklady MZ'!N19,"")</f>
        <v>918.63175948797254</v>
      </c>
      <c r="O14" s="521">
        <f>IF(T!$A$4&gt;='[8]Podklady MZ'!O$2,'[8]Podklady MZ'!O19,"")</f>
        <v>1056.2893320424055</v>
      </c>
      <c r="P14" s="594">
        <f t="shared" si="0"/>
        <v>8087.0158406721175</v>
      </c>
    </row>
    <row r="15" spans="1:17" ht="18" customHeight="1" x14ac:dyDescent="0.2">
      <c r="A15" s="877"/>
      <c r="B15" s="563" t="str">
        <f>"spotřeba "&amp;$A$3</f>
        <v>spotřeba 2015</v>
      </c>
      <c r="C15" s="565" t="s">
        <v>284</v>
      </c>
      <c r="D15" s="522">
        <f>IF(T!$A$4&gt;='[8]Podklady MZ'!D$2,'[8]Podklady MZ'!D20,"")</f>
        <v>12354.778819681072</v>
      </c>
      <c r="E15" s="522">
        <f>IF(T!$A$4&gt;='[8]Podklady MZ'!E$2,'[8]Podklady MZ'!E20,"")</f>
        <v>10876.244325104813</v>
      </c>
      <c r="F15" s="523">
        <f>IF(T!$A$4&gt;='[8]Podklady MZ'!F$2,'[8]Podklady MZ'!F20,"")</f>
        <v>9582.4959033788018</v>
      </c>
      <c r="G15" s="522">
        <f>IF(T!$A$4&gt;='[8]Podklady MZ'!G$2,'[8]Podklady MZ'!G20,"")</f>
        <v>6886.6362804260079</v>
      </c>
      <c r="H15" s="521">
        <f>IF(T!$A$4&gt;='[8]Podklady MZ'!H$2,'[8]Podklady MZ'!H20,"")</f>
        <v>4272.8457480148054</v>
      </c>
      <c r="I15" s="524">
        <f>IF(T!$A$4&gt;='[8]Podklady MZ'!I$2,'[8]Podklady MZ'!I20,"")</f>
        <v>3415.9670246600913</v>
      </c>
      <c r="J15" s="521">
        <f>IF(T!$A$4&gt;='[8]Podklady MZ'!J$2,'[8]Podklady MZ'!J20,"")</f>
        <v>3229.4599120669359</v>
      </c>
      <c r="K15" s="521">
        <f>IF(T!$A$4&gt;='[8]Podklady MZ'!K$2,'[8]Podklady MZ'!K20,"")</f>
        <v>3203.4302717533501</v>
      </c>
      <c r="L15" s="524">
        <f>IF(T!$A$4&gt;='[8]Podklady MZ'!L$2,'[8]Podklady MZ'!L20,"")</f>
        <v>3848.1408577221891</v>
      </c>
      <c r="M15" s="521">
        <f>IF(T!$A$4&gt;='[8]Podklady MZ'!M$2,'[8]Podklady MZ'!M20,"")</f>
        <v>7464.1255533579515</v>
      </c>
      <c r="N15" s="521">
        <f>IF(T!$A$4&gt;='[8]Podklady MZ'!N$2,'[8]Podklady MZ'!N20,"")</f>
        <v>9790.3558961504805</v>
      </c>
      <c r="O15" s="521">
        <f>IF(T!$A$4&gt;='[8]Podklady MZ'!O$2,'[8]Podklady MZ'!O20,"")</f>
        <v>11249.600340285513</v>
      </c>
      <c r="P15" s="594">
        <f t="shared" si="0"/>
        <v>86174.08093260201</v>
      </c>
    </row>
    <row r="16" spans="1:17" ht="18" customHeight="1" x14ac:dyDescent="0.2">
      <c r="A16" s="877"/>
      <c r="B16" s="564" t="s">
        <v>230</v>
      </c>
      <c r="C16" s="566" t="s">
        <v>232</v>
      </c>
      <c r="D16" s="650">
        <f>IF(T!$A$4&gt;='[8]Podklady MZ'!D$2,'[8]Podklady MZ'!D21,"")</f>
        <v>-2.2563307146523652E-2</v>
      </c>
      <c r="E16" s="650">
        <f>IF(T!$A$4&gt;='[8]Podklady MZ'!E$2,'[8]Podklady MZ'!E21,"")</f>
        <v>-2.2117681991601066E-3</v>
      </c>
      <c r="F16" s="651">
        <f>IF(T!$A$4&gt;='[8]Podklady MZ'!F$2,'[8]Podklady MZ'!F21,"")</f>
        <v>5.4560177645998326E-2</v>
      </c>
      <c r="G16" s="650">
        <f>IF(T!$A$4&gt;='[8]Podklady MZ'!G$2,'[8]Podklady MZ'!G21,"")</f>
        <v>5.8169090312173891E-2</v>
      </c>
      <c r="H16" s="652">
        <f>IF(T!$A$4&gt;='[8]Podklady MZ'!H$2,'[8]Podklady MZ'!H21,"")</f>
        <v>-5.0182338264237479E-2</v>
      </c>
      <c r="I16" s="653">
        <f>IF(T!$A$4&gt;='[8]Podklady MZ'!I$2,'[8]Podklady MZ'!I21,"")</f>
        <v>2.3625739848265805E-2</v>
      </c>
      <c r="J16" s="652">
        <f>IF(T!$A$4&gt;='[8]Podklady MZ'!J$2,'[8]Podklady MZ'!J21,"")</f>
        <v>-4.987196559258119E-2</v>
      </c>
      <c r="K16" s="652">
        <f>IF(T!$A$4&gt;='[8]Podklady MZ'!K$2,'[8]Podklady MZ'!K21,"")</f>
        <v>3.23091783270293E-2</v>
      </c>
      <c r="L16" s="653">
        <f>IF(T!$A$4&gt;='[8]Podklady MZ'!L$2,'[8]Podklady MZ'!L21,"")</f>
        <v>-7.3844848253246817E-2</v>
      </c>
      <c r="M16" s="652">
        <f>IF(T!$A$4&gt;='[8]Podklady MZ'!M$2,'[8]Podklady MZ'!M21,"")</f>
        <v>7.0591374727436595E-2</v>
      </c>
      <c r="N16" s="652">
        <f>IF(T!$A$4&gt;='[8]Podklady MZ'!N$2,'[8]Podklady MZ'!N21,"")</f>
        <v>1.2543166561493953E-2</v>
      </c>
      <c r="O16" s="652">
        <f>IF(T!$A$4&gt;='[8]Podklady MZ'!O$2,'[8]Podklady MZ'!O21,"")</f>
        <v>-1.4338940920124776E-2</v>
      </c>
      <c r="P16" s="654">
        <f>(P14-P17)/P17</f>
        <v>5.7552766777605475E-3</v>
      </c>
    </row>
    <row r="17" spans="1:16" ht="18" customHeight="1" x14ac:dyDescent="0.2">
      <c r="A17" s="877"/>
      <c r="B17" s="98" t="str">
        <f>"spotřeba "&amp;$A$3-1</f>
        <v>spotřeba 2014</v>
      </c>
      <c r="C17" s="567" t="s">
        <v>231</v>
      </c>
      <c r="D17" s="525">
        <f>IF(T!$A$4&gt;='[8]Podklady MZ'!D$2,'[8]Podklady MZ'!D22,"")</f>
        <v>1189.2153494121144</v>
      </c>
      <c r="E17" s="525">
        <f>IF(T!$A$4&gt;='[8]Podklady MZ'!E$2,'[8]Podklady MZ'!E22,"")</f>
        <v>1025.1294531860426</v>
      </c>
      <c r="F17" s="526">
        <f>IF(T!$A$4&gt;='[8]Podklady MZ'!F$2,'[8]Podklady MZ'!F22,"")</f>
        <v>854.69867527840756</v>
      </c>
      <c r="G17" s="525">
        <f>IF(T!$A$4&gt;='[8]Podklady MZ'!G$2,'[8]Podklady MZ'!G22,"")</f>
        <v>611.71354338673984</v>
      </c>
      <c r="H17" s="527">
        <f>IF(T!$A$4&gt;='[8]Podklady MZ'!H$2,'[8]Podklady MZ'!H22,"")</f>
        <v>420.32606255329387</v>
      </c>
      <c r="I17" s="528">
        <f>IF(T!$A$4&gt;='[8]Podklady MZ'!I$2,'[8]Podklady MZ'!I22,"")</f>
        <v>311.58909767509618</v>
      </c>
      <c r="J17" s="527">
        <f>IF(T!$A$4&gt;='[8]Podklady MZ'!J$2,'[8]Podklady MZ'!J22,"")</f>
        <v>318.31209644031139</v>
      </c>
      <c r="K17" s="527">
        <f>IF(T!$A$4&gt;='[8]Podklady MZ'!K$2,'[8]Podklady MZ'!K22,"")</f>
        <v>289.65972093748962</v>
      </c>
      <c r="L17" s="528">
        <f>IF(T!$A$4&gt;='[8]Podklady MZ'!L$2,'[8]Podklady MZ'!L22,"")</f>
        <v>388.42976796244523</v>
      </c>
      <c r="M17" s="527">
        <f>IF(T!$A$4&gt;='[8]Podklady MZ'!M$2,'[8]Podklady MZ'!M22,"")</f>
        <v>652.75770767701385</v>
      </c>
      <c r="N17" s="527">
        <f>IF(T!$A$4&gt;='[8]Podklady MZ'!N$2,'[8]Podklady MZ'!N22,"")</f>
        <v>907.2519472009908</v>
      </c>
      <c r="O17" s="527">
        <f>IF(T!$A$4&gt;='[8]Podklady MZ'!O$2,'[8]Podklady MZ'!O22,"")</f>
        <v>1071.6557403905786</v>
      </c>
      <c r="P17" s="589">
        <f t="shared" si="0"/>
        <v>8040.7391621005245</v>
      </c>
    </row>
    <row r="18" spans="1:16" ht="18" customHeight="1" x14ac:dyDescent="0.2">
      <c r="A18" s="877"/>
      <c r="B18" s="98" t="str">
        <f>"spotřeba "&amp;$A$3-1</f>
        <v>spotřeba 2014</v>
      </c>
      <c r="C18" s="567" t="s">
        <v>284</v>
      </c>
      <c r="D18" s="525">
        <f>IF(T!$A$4&gt;='[8]Podklady MZ'!D$2,'[8]Podklady MZ'!D23,"")</f>
        <v>12667.408926479648</v>
      </c>
      <c r="E18" s="525">
        <f>IF(T!$A$4&gt;='[8]Podklady MZ'!E$2,'[8]Podklady MZ'!E23,"")</f>
        <v>10900.431104724707</v>
      </c>
      <c r="F18" s="526">
        <f>IF(T!$A$4&gt;='[8]Podklady MZ'!F$2,'[8]Podklady MZ'!F23,"")</f>
        <v>9079.2845407607147</v>
      </c>
      <c r="G18" s="525">
        <f>IF(T!$A$4&gt;='[8]Podklady MZ'!G$2,'[8]Podklady MZ'!G23,"")</f>
        <v>6505.8304536062005</v>
      </c>
      <c r="H18" s="527">
        <f>IF(T!$A$4&gt;='[8]Podklady MZ'!H$2,'[8]Podklady MZ'!H23,"")</f>
        <v>4473.3418014600138</v>
      </c>
      <c r="I18" s="528">
        <f>IF(T!$A$4&gt;='[8]Podklady MZ'!I$2,'[8]Podklady MZ'!I23,"")</f>
        <v>3316.9799863611479</v>
      </c>
      <c r="J18" s="527">
        <f>IF(T!$A$4&gt;='[8]Podklady MZ'!J$2,'[8]Podklady MZ'!J23,"")</f>
        <v>3373.4597322108611</v>
      </c>
      <c r="K18" s="527">
        <f>IF(T!$A$4&gt;='[8]Podklady MZ'!K$2,'[8]Podklady MZ'!K23,"")</f>
        <v>3091.0353529400118</v>
      </c>
      <c r="L18" s="528">
        <f>IF(T!$A$4&gt;='[8]Podklady MZ'!L$2,'[8]Podklady MZ'!L23,"")</f>
        <v>4137.7695753912321</v>
      </c>
      <c r="M18" s="527">
        <f>IF(T!$A$4&gt;='[8]Podklady MZ'!M$2,'[8]Podklady MZ'!M23,"")</f>
        <v>6935.933812842678</v>
      </c>
      <c r="N18" s="527">
        <f>IF(T!$A$4&gt;='[8]Podklady MZ'!N$2,'[8]Podklady MZ'!N23,"")</f>
        <v>9636.4609379667436</v>
      </c>
      <c r="O18" s="527">
        <f>IF(T!$A$4&gt;='[8]Podklady MZ'!O$2,'[8]Podklady MZ'!O23,"")</f>
        <v>11372.622764806834</v>
      </c>
      <c r="P18" s="589">
        <f t="shared" si="0"/>
        <v>85490.558989550787</v>
      </c>
    </row>
    <row r="19" spans="1:16" ht="9.9499999999999993" customHeight="1" x14ac:dyDescent="0.2">
      <c r="A19" s="878"/>
      <c r="B19" s="510"/>
      <c r="C19" s="530"/>
      <c r="D19" s="531"/>
      <c r="E19" s="531"/>
      <c r="F19" s="532"/>
      <c r="G19" s="531"/>
      <c r="H19" s="533"/>
      <c r="I19" s="534"/>
      <c r="J19" s="533"/>
      <c r="K19" s="533"/>
      <c r="L19" s="534"/>
      <c r="M19" s="533"/>
      <c r="N19" s="533"/>
      <c r="O19" s="533"/>
      <c r="P19" s="590"/>
    </row>
    <row r="20" spans="1:16" ht="9.9499999999999993" customHeight="1" x14ac:dyDescent="0.2">
      <c r="A20" s="502"/>
      <c r="B20" s="512"/>
      <c r="C20" s="536"/>
      <c r="D20" s="537"/>
      <c r="E20" s="537"/>
      <c r="F20" s="537"/>
      <c r="G20" s="538"/>
      <c r="H20" s="539"/>
      <c r="I20" s="540"/>
      <c r="J20" s="539"/>
      <c r="K20" s="539"/>
      <c r="L20" s="539"/>
      <c r="M20" s="541"/>
      <c r="N20" s="539"/>
      <c r="O20" s="539"/>
      <c r="P20" s="589"/>
    </row>
    <row r="21" spans="1:16" ht="18" customHeight="1" x14ac:dyDescent="0.2">
      <c r="A21" s="877" t="str">
        <f>"Denní 
skutečná spotřeba 
zemního plynu 
"&amp;$A$3</f>
        <v>Denní 
skutečná spotřeba 
zemního plynu 
2015</v>
      </c>
      <c r="B21" s="98" t="str">
        <f>"max. spotřeba "&amp;$A$3</f>
        <v>max. spotřeba 2015</v>
      </c>
      <c r="C21" s="567" t="s">
        <v>231</v>
      </c>
      <c r="D21" s="658">
        <f>IF(T!$A$4&gt;='[8]Podklady MZ'!D$2,'[8]Podklady MZ'!D26,"")</f>
        <v>41.345389040398715</v>
      </c>
      <c r="E21" s="658">
        <f>IF(T!$A$4&gt;='[8]Podklady MZ'!E$2,'[8]Podklady MZ'!E26,"")</f>
        <v>42.621557004484409</v>
      </c>
      <c r="F21" s="658">
        <f>IF(T!$A$4&gt;='[8]Podklady MZ'!F$2,'[8]Podklady MZ'!F26,"")</f>
        <v>33.669323046807904</v>
      </c>
      <c r="G21" s="659">
        <f>IF(T!$A$4&gt;='[8]Podklady MZ'!G$2,'[8]Podklady MZ'!G26,"")</f>
        <v>32.46272056517094</v>
      </c>
      <c r="H21" s="660">
        <f>IF(T!$A$4&gt;='[8]Podklady MZ'!H$2,'[8]Podklady MZ'!H26,"")</f>
        <v>16.070703750605009</v>
      </c>
      <c r="I21" s="661">
        <f>IF(T!$A$4&gt;='[8]Podklady MZ'!I$2,'[8]Podklady MZ'!I26,"")</f>
        <v>12.524604969460771</v>
      </c>
      <c r="J21" s="660">
        <f>IF(T!$A$4&gt;='[8]Podklady MZ'!J$2,'[8]Podklady MZ'!J26,"")</f>
        <v>12.924143254571844</v>
      </c>
      <c r="K21" s="660">
        <f>IF(T!$A$4&gt;='[8]Podklady MZ'!K$2,'[8]Podklady MZ'!K26,"")</f>
        <v>12.275837216732805</v>
      </c>
      <c r="L21" s="660">
        <f>IF(T!$A$4&gt;='[8]Podklady MZ'!L$2,'[8]Podklady MZ'!L26,"")</f>
        <v>18.580584968434316</v>
      </c>
      <c r="M21" s="662">
        <f>IF(T!$A$4&gt;='[8]Podklady MZ'!M$2,'[8]Podklady MZ'!M26,"")</f>
        <v>30.622928281272621</v>
      </c>
      <c r="N21" s="660">
        <f>IF(T!$A$4&gt;='[8]Podklady MZ'!N$2,'[8]Podklady MZ'!N26,"")</f>
        <v>39.431885445269579</v>
      </c>
      <c r="O21" s="660">
        <f>IF(T!$A$4&gt;='[8]Podklady MZ'!O$2,'[8]Podklady MZ'!O26,"")</f>
        <v>34.509998691494509</v>
      </c>
      <c r="P21" s="667">
        <f>IF(T!$A$4&gt;='[8]Podklady MZ'!P$2,'[8]Podklady MZ'!P26,"")</f>
        <v>42.621557004484409</v>
      </c>
    </row>
    <row r="22" spans="1:16" ht="18" customHeight="1" x14ac:dyDescent="0.2">
      <c r="A22" s="877"/>
      <c r="B22" s="98" t="str">
        <f>"max. spotřeba "&amp;$A$3</f>
        <v>max. spotřeba 2015</v>
      </c>
      <c r="C22" s="567" t="s">
        <v>284</v>
      </c>
      <c r="D22" s="658">
        <f>IF(T!$A$4&gt;='[8]Podklady MZ'!D$2,'[8]Podklady MZ'!D27,"")</f>
        <v>439.44407081290325</v>
      </c>
      <c r="E22" s="658">
        <f>IF(T!$A$4&gt;='[8]Podklady MZ'!E$2,'[8]Podklady MZ'!E27,"")</f>
        <v>453.14177378571429</v>
      </c>
      <c r="F22" s="658">
        <f>IF(T!$A$4&gt;='[8]Podklady MZ'!F$2,'[8]Podklady MZ'!F27,"")</f>
        <v>357.93155186451617</v>
      </c>
      <c r="G22" s="659">
        <f>IF(T!$A$4&gt;='[8]Podklady MZ'!G$2,'[8]Podklady MZ'!G27,"")</f>
        <v>345.30682224000003</v>
      </c>
      <c r="H22" s="660">
        <f>IF(T!$A$4&gt;='[8]Podklady MZ'!H$2,'[8]Podklady MZ'!H27,"")</f>
        <v>171.97315488387096</v>
      </c>
      <c r="I22" s="661">
        <f>IF(T!$A$4&gt;='[8]Podklady MZ'!I$2,'[8]Podklady MZ'!I27,"")</f>
        <v>134.11532828333333</v>
      </c>
      <c r="J22" s="660">
        <f>IF(T!$A$4&gt;='[8]Podklady MZ'!J$2,'[8]Podklady MZ'!J27,"")</f>
        <v>138.00439579354838</v>
      </c>
      <c r="K22" s="660">
        <f>IF(T!$A$4&gt;='[8]Podklady MZ'!K$2,'[8]Podklady MZ'!K27,"")</f>
        <v>131.51468844516128</v>
      </c>
      <c r="L22" s="660">
        <f>IF(T!$A$4&gt;='[8]Podklady MZ'!L$2,'[8]Podklady MZ'!L27,"")</f>
        <v>198.71052223333334</v>
      </c>
      <c r="M22" s="662">
        <f>IF(T!$A$4&gt;='[8]Podklady MZ'!M$2,'[8]Podklady MZ'!M27,"")</f>
        <v>327.12787833548384</v>
      </c>
      <c r="N22" s="660">
        <f>IF(T!$A$4&gt;='[8]Podklady MZ'!N$2,'[8]Podklady MZ'!N27,"")</f>
        <v>420.09558077333332</v>
      </c>
      <c r="O22" s="660">
        <f>IF(T!$A$4&gt;='[8]Podklady MZ'!O$2,'[8]Podklady MZ'!O27,"")</f>
        <v>367.52731514516131</v>
      </c>
      <c r="P22" s="667">
        <f>IF(T!$A$4&gt;='[8]Podklady MZ'!P$2,'[8]Podklady MZ'!P27,"")</f>
        <v>453.14177378571429</v>
      </c>
    </row>
    <row r="23" spans="1:16" ht="18" customHeight="1" x14ac:dyDescent="0.2">
      <c r="A23" s="877"/>
      <c r="B23" s="574" t="s">
        <v>42</v>
      </c>
      <c r="C23" s="572" t="s">
        <v>233</v>
      </c>
      <c r="D23" s="546">
        <f>IF(T!$A$4&gt;='[8]Podklady MZ'!D$2,'[8]Podklady MZ'!D28,"")</f>
        <v>-3.6</v>
      </c>
      <c r="E23" s="546">
        <f>IF(T!$A$4&gt;='[8]Podklady MZ'!E$2,'[8]Podklady MZ'!E28,"")</f>
        <v>-3.4</v>
      </c>
      <c r="F23" s="546">
        <f>IF(T!$A$4&gt;='[8]Podklady MZ'!F$2,'[8]Podklady MZ'!F28,"")</f>
        <v>1</v>
      </c>
      <c r="G23" s="547">
        <f>IF(T!$A$4&gt;='[8]Podklady MZ'!G$2,'[8]Podklady MZ'!G28,"")</f>
        <v>1.3</v>
      </c>
      <c r="H23" s="548">
        <f>IF(T!$A$4&gt;='[8]Podklady MZ'!H$2,'[8]Podklady MZ'!H28,"")</f>
        <v>9.1</v>
      </c>
      <c r="I23" s="549">
        <f>IF(T!$A$4&gt;='[8]Podklady MZ'!I$2,'[8]Podklady MZ'!I28,"")</f>
        <v>12.8</v>
      </c>
      <c r="J23" s="548">
        <f>IF(T!$A$4&gt;='[8]Podklady MZ'!J$2,'[8]Podklady MZ'!J28,"")</f>
        <v>19.2</v>
      </c>
      <c r="K23" s="548">
        <f>IF(T!$A$4&gt;='[8]Podklady MZ'!K$2,'[8]Podklady MZ'!K28,"")</f>
        <v>14.8</v>
      </c>
      <c r="L23" s="548">
        <f>IF(T!$A$4&gt;='[8]Podklady MZ'!L$2,'[8]Podklady MZ'!L28,"")</f>
        <v>7.6</v>
      </c>
      <c r="M23" s="11">
        <f>IF(T!$A$4&gt;='[8]Podklady MZ'!M$2,'[8]Podklady MZ'!M28,"")</f>
        <v>3</v>
      </c>
      <c r="N23" s="548">
        <f>IF(T!$A$4&gt;='[8]Podklady MZ'!N$2,'[8]Podklady MZ'!N28,"")</f>
        <v>-0.6</v>
      </c>
      <c r="O23" s="548">
        <f>IF(T!$A$4&gt;='[8]Podklady MZ'!O$2,'[8]Podklady MZ'!O28,"")</f>
        <v>1.4</v>
      </c>
      <c r="P23" s="590">
        <f>IF(T!$A$4&gt;='[8]Podklady MZ'!P$2,'[8]Podklady MZ'!P28,"")</f>
        <v>-3.4</v>
      </c>
    </row>
    <row r="24" spans="1:16" ht="18" customHeight="1" x14ac:dyDescent="0.2">
      <c r="A24" s="877"/>
      <c r="B24" s="98" t="str">
        <f>"min. spotřeba "&amp;$A$3</f>
        <v>min. spotřeba 2015</v>
      </c>
      <c r="C24" s="567" t="s">
        <v>231</v>
      </c>
      <c r="D24" s="658">
        <f>IF(T!$A$4&gt;='[8]Podklady MZ'!D$2,'[8]Podklady MZ'!D29,"")</f>
        <v>26.684387110760138</v>
      </c>
      <c r="E24" s="658">
        <f>IF(T!$A$4&gt;='[8]Podklady MZ'!E$2,'[8]Podklady MZ'!E29,"")</f>
        <v>29.662131335351482</v>
      </c>
      <c r="F24" s="658">
        <f>IF(T!$A$4&gt;='[8]Podklady MZ'!F$2,'[8]Podklady MZ'!F29,"")</f>
        <v>22.43004746355092</v>
      </c>
      <c r="G24" s="659">
        <f>IF(T!$A$4&gt;='[8]Podklady MZ'!G$2,'[8]Podklady MZ'!G29,"")</f>
        <v>12.336617288364373</v>
      </c>
      <c r="H24" s="660">
        <f>IF(T!$A$4&gt;='[8]Podklady MZ'!H$2,'[8]Podklady MZ'!H29,"")</f>
        <v>9.9833297936764538</v>
      </c>
      <c r="I24" s="661">
        <f>IF(T!$A$4&gt;='[8]Podklady MZ'!I$2,'[8]Podklady MZ'!I29,"")</f>
        <v>8.0874519176162973</v>
      </c>
      <c r="J24" s="660">
        <f>IF(T!$A$4&gt;='[8]Podklady MZ'!J$2,'[8]Podklady MZ'!J29,"")</f>
        <v>7.4815198200827711</v>
      </c>
      <c r="K24" s="660">
        <f>IF(T!$A$4&gt;='[8]Podklady MZ'!K$2,'[8]Podklady MZ'!K29,"")</f>
        <v>6.9156343597705554</v>
      </c>
      <c r="L24" s="660">
        <f>IF(T!$A$4&gt;='[8]Podklady MZ'!L$2,'[8]Podklady MZ'!L29,"")</f>
        <v>8.1970730704195525</v>
      </c>
      <c r="M24" s="662">
        <f>IF(T!$A$4&gt;='[8]Podklady MZ'!M$2,'[8]Podklady MZ'!M29,"")</f>
        <v>13.891405785625052</v>
      </c>
      <c r="N24" s="660">
        <f>IF(T!$A$4&gt;='[8]Podklady MZ'!N$2,'[8]Podklady MZ'!N29,"")</f>
        <v>18.652227528093444</v>
      </c>
      <c r="O24" s="660">
        <f>IF(T!$A$4&gt;='[8]Podklady MZ'!O$2,'[8]Podklady MZ'!O29,"")</f>
        <v>21.847434865338133</v>
      </c>
      <c r="P24" s="667">
        <f>IF(T!$A$4&gt;='[8]Podklady MZ'!P$2,'[8]Podklady MZ'!P29,"")</f>
        <v>6.9156343597705554</v>
      </c>
    </row>
    <row r="25" spans="1:16" ht="18" customHeight="1" x14ac:dyDescent="0.2">
      <c r="A25" s="877"/>
      <c r="B25" s="98" t="str">
        <f>"min. spotřeba "&amp;$A$3</f>
        <v>min. spotřeba 2015</v>
      </c>
      <c r="C25" s="567" t="s">
        <v>284</v>
      </c>
      <c r="D25" s="658">
        <f>IF(T!$A$4&gt;='[8]Podklady MZ'!D$2,'[8]Podklady MZ'!D30,"")</f>
        <v>283.65752081290321</v>
      </c>
      <c r="E25" s="658">
        <f>IF(T!$A$4&gt;='[8]Podklady MZ'!E$2,'[8]Podklady MZ'!E30,"")</f>
        <v>315.42335078571426</v>
      </c>
      <c r="F25" s="658">
        <f>IF(T!$A$4&gt;='[8]Podklady MZ'!F$2,'[8]Podklady MZ'!F30,"")</f>
        <v>238.48520286451614</v>
      </c>
      <c r="G25" s="659">
        <f>IF(T!$A$4&gt;='[8]Podklady MZ'!G$2,'[8]Podklady MZ'!G30,"")</f>
        <v>131.30157723999997</v>
      </c>
      <c r="H25" s="660">
        <f>IF(T!$A$4&gt;='[8]Podklady MZ'!H$2,'[8]Podklady MZ'!H30,"")</f>
        <v>106.87008388387098</v>
      </c>
      <c r="I25" s="661">
        <f>IF(T!$A$4&gt;='[8]Podklady MZ'!I$2,'[8]Podklady MZ'!I30,"")</f>
        <v>86.645689283333326</v>
      </c>
      <c r="J25" s="660">
        <f>IF(T!$A$4&gt;='[8]Podklady MZ'!J$2,'[8]Podklady MZ'!J30,"")</f>
        <v>79.912194793548395</v>
      </c>
      <c r="K25" s="660">
        <f>IF(T!$A$4&gt;='[8]Podklady MZ'!K$2,'[8]Podklady MZ'!K30,"")</f>
        <v>74.112511445161289</v>
      </c>
      <c r="L25" s="660">
        <f>IF(T!$A$4&gt;='[8]Podklady MZ'!L$2,'[8]Podklady MZ'!L30,"")</f>
        <v>87.702114233333347</v>
      </c>
      <c r="M25" s="662">
        <f>IF(T!$A$4&gt;='[8]Podklady MZ'!M$2,'[8]Podklady MZ'!M30,"")</f>
        <v>148.41271333548389</v>
      </c>
      <c r="N25" s="660">
        <f>IF(T!$A$4&gt;='[8]Podklady MZ'!N$2,'[8]Podklady MZ'!N30,"")</f>
        <v>198.84231477333336</v>
      </c>
      <c r="O25" s="660">
        <f>IF(T!$A$4&gt;='[8]Podklady MZ'!O$2,'[8]Podklady MZ'!O30,"")</f>
        <v>232.67433114516129</v>
      </c>
      <c r="P25" s="667">
        <f>IF(T!$A$4&gt;='[8]Podklady MZ'!P$2,'[8]Podklady MZ'!P30,"")</f>
        <v>74.112511445161289</v>
      </c>
    </row>
    <row r="26" spans="1:16" ht="18" customHeight="1" x14ac:dyDescent="0.2">
      <c r="A26" s="877"/>
      <c r="B26" s="568" t="s">
        <v>42</v>
      </c>
      <c r="C26" s="567" t="s">
        <v>233</v>
      </c>
      <c r="D26" s="542">
        <f>IF(T!$A$4&gt;='[8]Podklady MZ'!D$2,'[8]Podklady MZ'!D31,"")</f>
        <v>11</v>
      </c>
      <c r="E26" s="542">
        <f>IF(T!$A$4&gt;='[8]Podklady MZ'!E$2,'[8]Podklady MZ'!E31,"")</f>
        <v>2.2000000000000002</v>
      </c>
      <c r="F26" s="542">
        <f>IF(T!$A$4&gt;='[8]Podklady MZ'!F$2,'[8]Podklady MZ'!F31,"")</f>
        <v>4.2</v>
      </c>
      <c r="G26" s="543">
        <f>IF(T!$A$4&gt;='[8]Podklady MZ'!G$2,'[8]Podklady MZ'!G31,"")</f>
        <v>14.6</v>
      </c>
      <c r="H26" s="529">
        <f>IF(T!$A$4&gt;='[8]Podklady MZ'!H$2,'[8]Podklady MZ'!H31,"")</f>
        <v>15.5</v>
      </c>
      <c r="I26" s="544">
        <f>IF(T!$A$4&gt;='[8]Podklady MZ'!I$2,'[8]Podklady MZ'!I31,"")</f>
        <v>21</v>
      </c>
      <c r="J26" s="529">
        <f>IF(T!$A$4&gt;='[8]Podklady MZ'!J$2,'[8]Podklady MZ'!J31,"")</f>
        <v>25.8</v>
      </c>
      <c r="K26" s="529">
        <f>IF(T!$A$4&gt;='[8]Podklady MZ'!K$2,'[8]Podklady MZ'!K31,"")</f>
        <v>27.4</v>
      </c>
      <c r="L26" s="529">
        <f>IF(T!$A$4&gt;='[8]Podklady MZ'!L$2,'[8]Podklady MZ'!L31,"")</f>
        <v>13.8</v>
      </c>
      <c r="M26" s="24">
        <f>IF(T!$A$4&gt;='[8]Podklady MZ'!M$2,'[8]Podklady MZ'!M31,"")</f>
        <v>12.4</v>
      </c>
      <c r="N26" s="529">
        <f>IF(T!$A$4&gt;='[8]Podklady MZ'!N$2,'[8]Podklady MZ'!N31,"")</f>
        <v>10.8</v>
      </c>
      <c r="O26" s="529">
        <f>IF(T!$A$4&gt;='[8]Podklady MZ'!O$2,'[8]Podklady MZ'!O31,"")</f>
        <v>6.2</v>
      </c>
      <c r="P26" s="589">
        <f>IF(T!$A$4&gt;='[8]Podklady MZ'!P$2,'[8]Podklady MZ'!P31,"")</f>
        <v>27.4</v>
      </c>
    </row>
    <row r="27" spans="1:16" ht="9.9499999999999993" customHeight="1" x14ac:dyDescent="0.2">
      <c r="A27" s="878"/>
      <c r="B27" s="545"/>
      <c r="C27" s="530"/>
      <c r="D27" s="546"/>
      <c r="E27" s="546"/>
      <c r="F27" s="546"/>
      <c r="G27" s="547"/>
      <c r="H27" s="533"/>
      <c r="I27" s="534"/>
      <c r="J27" s="533"/>
      <c r="K27" s="533"/>
      <c r="L27" s="533"/>
      <c r="M27" s="550"/>
      <c r="N27" s="533"/>
      <c r="O27" s="533"/>
      <c r="P27" s="590"/>
    </row>
    <row r="28" spans="1:16" ht="9.9499999999999993" customHeight="1" x14ac:dyDescent="0.2">
      <c r="A28" s="502"/>
      <c r="B28" s="551"/>
      <c r="C28" s="552"/>
      <c r="D28" s="553"/>
      <c r="E28" s="553"/>
      <c r="F28" s="553"/>
      <c r="G28" s="554"/>
      <c r="H28" s="539"/>
      <c r="I28" s="540"/>
      <c r="J28" s="539"/>
      <c r="K28" s="539"/>
      <c r="L28" s="539"/>
      <c r="M28" s="541"/>
      <c r="N28" s="539"/>
      <c r="O28" s="539"/>
      <c r="P28" s="589"/>
    </row>
    <row r="29" spans="1:16" ht="18" customHeight="1" x14ac:dyDescent="0.2">
      <c r="A29" s="877" t="str">
        <f>"Denní 
modelová spotřeba 
zemního plynu
"&amp;$A$3</f>
        <v>Denní 
modelová spotřeba 
zemního plynu
2015</v>
      </c>
      <c r="B29" s="570" t="s">
        <v>228</v>
      </c>
      <c r="C29" s="571" t="s">
        <v>231</v>
      </c>
      <c r="D29" s="655">
        <f>IF(T!$A$4&gt;='[8]Podklady MZ'!D$2,'[8]Podklady MZ'!D34,"")</f>
        <v>0.91219251430331394</v>
      </c>
      <c r="E29" s="655">
        <f>IF(T!$A$4&gt;='[8]Podklady MZ'!E$2,'[8]Podklady MZ'!E34,"")</f>
        <v>1.3110234890123738</v>
      </c>
      <c r="F29" s="655">
        <f>IF(T!$A$4&gt;='[8]Podklady MZ'!F$2,'[8]Podklady MZ'!F34,"")</f>
        <v>1.1251568759219512</v>
      </c>
      <c r="G29" s="656">
        <f>IF(T!$A$4&gt;='[8]Podklady MZ'!G$2,'[8]Podklady MZ'!G34,"")</f>
        <v>1.2859358325557315</v>
      </c>
      <c r="H29" s="655">
        <f>IF(T!$A$4&gt;='[8]Podklady MZ'!H$2,'[8]Podklady MZ'!H34,"")</f>
        <v>0.27227439236338308</v>
      </c>
      <c r="I29" s="657">
        <f>IF(T!$A$4&gt;='[8]Podklady MZ'!I$2,'[8]Podklady MZ'!I34,"")</f>
        <v>0.16364182324992455</v>
      </c>
      <c r="J29" s="655">
        <f>IF(T!$A$4&gt;='[8]Podklady MZ'!J$2,'[8]Podklady MZ'!J34,"")</f>
        <v>2.8467161555886154E-2</v>
      </c>
      <c r="K29" s="655">
        <f>IF(T!$A$4&gt;='[8]Podklady MZ'!K$2,'[8]Podklady MZ'!K34,"")</f>
        <v>0.19659042148390893</v>
      </c>
      <c r="L29" s="655">
        <f>IF(T!$A$4&gt;='[8]Podklady MZ'!L$2,'[8]Podklady MZ'!L34,"")</f>
        <v>0.42902119788235332</v>
      </c>
      <c r="M29" s="656">
        <f>IF(T!$A$4&gt;='[8]Podklady MZ'!M$2,'[8]Podklady MZ'!M34,"")</f>
        <v>1.231784387523041</v>
      </c>
      <c r="N29" s="655">
        <f>IF(T!$A$4&gt;='[8]Podklady MZ'!N$2,'[8]Podklady MZ'!N34,"")</f>
        <v>1.2376485304345926</v>
      </c>
      <c r="O29" s="655">
        <f>IF(T!$A$4&gt;='[8]Podklady MZ'!O$2,'[8]Podklady MZ'!O34,"")</f>
        <v>1.0236167923087243</v>
      </c>
      <c r="P29" s="595" t="s">
        <v>253</v>
      </c>
    </row>
    <row r="30" spans="1:16" ht="18" customHeight="1" x14ac:dyDescent="0.2">
      <c r="A30" s="877"/>
      <c r="B30" s="570" t="s">
        <v>228</v>
      </c>
      <c r="C30" s="571" t="s">
        <v>284</v>
      </c>
      <c r="D30" s="655">
        <f>IF(T!$A$4&gt;='[8]Podklady MZ'!D$2,'[8]Podklady MZ'!D35,"")</f>
        <v>9.6955474118236964</v>
      </c>
      <c r="E30" s="655">
        <f>IF(T!$A$4&gt;='[8]Podklady MZ'!E$2,'[8]Podklady MZ'!E35,"")</f>
        <v>13.940307026974384</v>
      </c>
      <c r="F30" s="655">
        <f>IF(T!$A$4&gt;='[8]Podklady MZ'!F$2,'[8]Podklady MZ'!F35,"")</f>
        <v>11.962097075588696</v>
      </c>
      <c r="G30" s="656">
        <f>IF(T!$A$4&gt;='[8]Podklady MZ'!G$2,'[8]Podklady MZ'!G35,"")</f>
        <v>13.681171183550427</v>
      </c>
      <c r="H30" s="655">
        <f>IF(T!$A$4&gt;='[8]Podklady MZ'!H$2,'[8]Podklady MZ'!H35,"")</f>
        <v>2.9140530370323043</v>
      </c>
      <c r="I30" s="657">
        <f>IF(T!$A$4&gt;='[8]Podklady MZ'!I$2,'[8]Podklady MZ'!I35,"")</f>
        <v>1.7526069426100241</v>
      </c>
      <c r="J30" s="655">
        <f>IF(T!$A$4&gt;='[8]Podklady MZ'!J$2,'[8]Podklady MZ'!J35,"")</f>
        <v>0.30397564490890416</v>
      </c>
      <c r="K30" s="655">
        <f>IF(T!$A$4&gt;='[8]Podklady MZ'!K$2,'[8]Podklady MZ'!K35,"")</f>
        <v>2.106103609363259</v>
      </c>
      <c r="L30" s="655">
        <f>IF(T!$A$4&gt;='[8]Podklady MZ'!L$2,'[8]Podklady MZ'!L35,"")</f>
        <v>4.5891627473969443</v>
      </c>
      <c r="M30" s="656">
        <f>IF(T!$A$4&gt;='[8]Podklady MZ'!M$2,'[8]Podklady MZ'!M35,"")</f>
        <v>13.156424642263085</v>
      </c>
      <c r="N30" s="655">
        <f>IF(T!$A$4&gt;='[8]Podklady MZ'!N$2,'[8]Podklady MZ'!N35,"")</f>
        <v>13.190290300931988</v>
      </c>
      <c r="O30" s="655">
        <f>IF(T!$A$4&gt;='[8]Podklady MZ'!O$2,'[8]Podklady MZ'!O35,"")</f>
        <v>10.901634112703414</v>
      </c>
      <c r="P30" s="595" t="s">
        <v>253</v>
      </c>
    </row>
    <row r="31" spans="1:16" ht="18" customHeight="1" x14ac:dyDescent="0.2">
      <c r="A31" s="877"/>
      <c r="B31" s="98" t="s">
        <v>236</v>
      </c>
      <c r="C31" s="567" t="s">
        <v>231</v>
      </c>
      <c r="D31" s="663">
        <f>IF(T!$A$4&gt;='[8]Podklady MZ'!D$2,'[8]Podklady MZ'!D36,"")</f>
        <v>37.110581900579199</v>
      </c>
      <c r="E31" s="663">
        <f>IF(T!$A$4&gt;='[8]Podklady MZ'!E$2,'[8]Podklady MZ'!E36,"")</f>
        <v>36.660259452578643</v>
      </c>
      <c r="F31" s="663">
        <f>IF(T!$A$4&gt;='[8]Podklady MZ'!F$2,'[8]Podklady MZ'!F36,"")</f>
        <v>33.566974590125859</v>
      </c>
      <c r="G31" s="664">
        <f>IF(T!$A$4&gt;='[8]Podklady MZ'!G$2,'[8]Podklady MZ'!G36,"")</f>
        <v>32.29328305837295</v>
      </c>
      <c r="H31" s="527" t="s">
        <v>253</v>
      </c>
      <c r="I31" s="528" t="s">
        <v>253</v>
      </c>
      <c r="J31" s="527" t="s">
        <v>253</v>
      </c>
      <c r="K31" s="527" t="s">
        <v>253</v>
      </c>
      <c r="L31" s="527" t="s">
        <v>253</v>
      </c>
      <c r="M31" s="664">
        <f>IF(T!$A$4&gt;='[8]Podklady MZ'!M$2,'[8]Podklady MZ'!M36,"")</f>
        <v>33.774109502568841</v>
      </c>
      <c r="N31" s="663">
        <f>IF(T!$A$4&gt;='[8]Podklady MZ'!N$2,'[8]Podklady MZ'!N36,"")</f>
        <v>35.600158381700602</v>
      </c>
      <c r="O31" s="663">
        <f>IF(T!$A$4&gt;='[8]Podklady MZ'!O$2,'[8]Podklady MZ'!O36,"")</f>
        <v>34.849595825359479</v>
      </c>
      <c r="P31" s="589" t="s">
        <v>253</v>
      </c>
    </row>
    <row r="32" spans="1:16" ht="18" customHeight="1" x14ac:dyDescent="0.2">
      <c r="A32" s="877"/>
      <c r="B32" s="573" t="s">
        <v>236</v>
      </c>
      <c r="C32" s="572" t="s">
        <v>284</v>
      </c>
      <c r="D32" s="665">
        <f>IF(T!$A$4&gt;='[8]Podklady MZ'!D$2,'[8]Podklady MZ'!D37,"")</f>
        <v>394.44240185662397</v>
      </c>
      <c r="E32" s="665">
        <f>IF(T!$A$4&gt;='[8]Podklady MZ'!E$2,'[8]Podklady MZ'!E37,"")</f>
        <v>389.8139711001491</v>
      </c>
      <c r="F32" s="665">
        <f>IF(T!$A$4&gt;='[8]Podklady MZ'!F$2,'[8]Podklady MZ'!F37,"")</f>
        <v>356.86704420829369</v>
      </c>
      <c r="G32" s="666">
        <f>IF(T!$A$4&gt;='[8]Podklady MZ'!G$2,'[8]Podklady MZ'!G37,"")</f>
        <v>343.5707462341839</v>
      </c>
      <c r="H32" s="533" t="s">
        <v>253</v>
      </c>
      <c r="I32" s="534" t="s">
        <v>253</v>
      </c>
      <c r="J32" s="533" t="s">
        <v>253</v>
      </c>
      <c r="K32" s="533" t="s">
        <v>253</v>
      </c>
      <c r="L32" s="533" t="s">
        <v>253</v>
      </c>
      <c r="M32" s="666">
        <f>IF(T!$A$4&gt;='[8]Podklady MZ'!M$2,'[8]Podklady MZ'!M37,"")</f>
        <v>360.73401402952663</v>
      </c>
      <c r="N32" s="665">
        <f>IF(T!$A$4&gt;='[8]Podklady MZ'!N$2,'[8]Podklady MZ'!N37,"")</f>
        <v>379.41015746118103</v>
      </c>
      <c r="O32" s="665">
        <f>IF(T!$A$4&gt;='[8]Podklady MZ'!O$2,'[8]Podklady MZ'!O37,"")</f>
        <v>371.15212012766756</v>
      </c>
      <c r="P32" s="590" t="s">
        <v>253</v>
      </c>
    </row>
    <row r="33" spans="1:16" ht="18" customHeight="1" x14ac:dyDescent="0.2">
      <c r="A33" s="877"/>
      <c r="B33" s="98" t="s">
        <v>237</v>
      </c>
      <c r="C33" s="567" t="s">
        <v>231</v>
      </c>
      <c r="D33" s="663">
        <f>IF(T!$A$4&gt;='[8]Podklady MZ'!D$2,'[8]Podklady MZ'!D38,"")</f>
        <v>48.056892072218965</v>
      </c>
      <c r="E33" s="663">
        <f>IF(T!$A$4&gt;='[8]Podklady MZ'!E$2,'[8]Podklady MZ'!E38,"")</f>
        <v>52.392541320727126</v>
      </c>
      <c r="F33" s="663">
        <f>IF(T!$A$4&gt;='[8]Podklady MZ'!F$2,'[8]Podklady MZ'!F38,"")</f>
        <v>47.068857101189273</v>
      </c>
      <c r="G33" s="664">
        <f>IF(T!$A$4&gt;='[8]Podklady MZ'!G$2,'[8]Podklady MZ'!G38,"")</f>
        <v>47.724513049041732</v>
      </c>
      <c r="H33" s="527" t="s">
        <v>253</v>
      </c>
      <c r="I33" s="528" t="s">
        <v>253</v>
      </c>
      <c r="J33" s="527" t="s">
        <v>253</v>
      </c>
      <c r="K33" s="527" t="s">
        <v>253</v>
      </c>
      <c r="L33" s="527" t="s">
        <v>253</v>
      </c>
      <c r="M33" s="664">
        <f>IF(T!$A$4&gt;='[8]Podklady MZ'!M$2,'[8]Podklady MZ'!M38,"")</f>
        <v>48.555522152845334</v>
      </c>
      <c r="N33" s="663">
        <f>IF(T!$A$4&gt;='[8]Podklady MZ'!N$2,'[8]Podklady MZ'!N38,"")</f>
        <v>50.45194074691571</v>
      </c>
      <c r="O33" s="663">
        <f>IF(T!$A$4&gt;='[8]Podklady MZ'!O$2,'[8]Podklady MZ'!O38,"")</f>
        <v>47.132997333064168</v>
      </c>
      <c r="P33" s="589" t="s">
        <v>253</v>
      </c>
    </row>
    <row r="34" spans="1:16" ht="18" customHeight="1" x14ac:dyDescent="0.2">
      <c r="A34" s="877"/>
      <c r="B34" s="98" t="s">
        <v>237</v>
      </c>
      <c r="C34" s="567" t="s">
        <v>284</v>
      </c>
      <c r="D34" s="663">
        <f>IF(T!$A$4&gt;='[8]Podklady MZ'!D$2,'[8]Podklady MZ'!D39,"")</f>
        <v>510.78897079850827</v>
      </c>
      <c r="E34" s="663">
        <f>IF(T!$A$4&gt;='[8]Podklady MZ'!E$2,'[8]Podklady MZ'!E39,"")</f>
        <v>557.09765542384173</v>
      </c>
      <c r="F34" s="663">
        <f>IF(T!$A$4&gt;='[8]Podklady MZ'!F$2,'[8]Podklady MZ'!F39,"")</f>
        <v>500.412209115358</v>
      </c>
      <c r="G34" s="664">
        <f>IF(T!$A$4&gt;='[8]Podklady MZ'!G$2,'[8]Podklady MZ'!G39,"")</f>
        <v>507.74480043678903</v>
      </c>
      <c r="H34" s="527" t="s">
        <v>253</v>
      </c>
      <c r="I34" s="528" t="s">
        <v>253</v>
      </c>
      <c r="J34" s="527" t="s">
        <v>253</v>
      </c>
      <c r="K34" s="527" t="s">
        <v>253</v>
      </c>
      <c r="L34" s="527" t="s">
        <v>253</v>
      </c>
      <c r="M34" s="664">
        <f>IF(T!$A$4&gt;='[8]Podklady MZ'!M$2,'[8]Podklady MZ'!M39,"")</f>
        <v>518.61110973668372</v>
      </c>
      <c r="N34" s="663">
        <f>IF(T!$A$4&gt;='[8]Podklady MZ'!N$2,'[8]Podklady MZ'!N39,"")</f>
        <v>537.69364107236481</v>
      </c>
      <c r="O34" s="663">
        <f>IF(T!$A$4&gt;='[8]Podklady MZ'!O$2,'[8]Podklady MZ'!O39,"")</f>
        <v>501.97172948010854</v>
      </c>
      <c r="P34" s="589" t="s">
        <v>253</v>
      </c>
    </row>
    <row r="35" spans="1:16" ht="9.9499999999999993" customHeight="1" x14ac:dyDescent="0.2">
      <c r="A35" s="878"/>
      <c r="B35" s="510"/>
      <c r="C35" s="530"/>
      <c r="D35" s="533"/>
      <c r="E35" s="533"/>
      <c r="F35" s="533"/>
      <c r="G35" s="550"/>
      <c r="H35" s="533"/>
      <c r="I35" s="534"/>
      <c r="J35" s="533"/>
      <c r="K35" s="533"/>
      <c r="L35" s="533"/>
      <c r="M35" s="550"/>
      <c r="N35" s="533"/>
      <c r="O35" s="533"/>
      <c r="P35" s="590"/>
    </row>
    <row r="36" spans="1:16" ht="9.9499999999999993" customHeight="1" x14ac:dyDescent="0.2">
      <c r="A36" s="557"/>
      <c r="B36" s="515"/>
      <c r="C36" s="519"/>
      <c r="D36" s="558"/>
      <c r="E36" s="559"/>
      <c r="F36" s="559"/>
      <c r="G36" s="560"/>
      <c r="H36" s="561"/>
      <c r="I36" s="562"/>
      <c r="J36" s="559"/>
      <c r="K36" s="559"/>
      <c r="L36" s="559"/>
      <c r="M36" s="560"/>
      <c r="N36" s="561"/>
      <c r="O36" s="561"/>
      <c r="P36" s="596"/>
    </row>
    <row r="37" spans="1:16" ht="14.1" customHeight="1" x14ac:dyDescent="0.2">
      <c r="D37" s="500"/>
      <c r="E37" s="500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742"/>
    </row>
    <row r="38" spans="1:16" ht="14.1" customHeight="1" x14ac:dyDescent="0.2">
      <c r="D38" s="500"/>
      <c r="E38" s="500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</row>
    <row r="39" spans="1:16" ht="14.1" customHeight="1" x14ac:dyDescent="0.2">
      <c r="D39" s="500"/>
      <c r="E39" s="686">
        <v>2</v>
      </c>
      <c r="F39" s="686">
        <v>3</v>
      </c>
      <c r="G39" s="686">
        <v>4</v>
      </c>
      <c r="H39" s="686">
        <v>5</v>
      </c>
      <c r="I39" s="686">
        <v>6</v>
      </c>
      <c r="J39" s="686">
        <v>7</v>
      </c>
      <c r="K39" s="686">
        <v>8</v>
      </c>
      <c r="L39" s="686">
        <v>9</v>
      </c>
      <c r="M39" s="686">
        <v>10</v>
      </c>
      <c r="N39" s="686">
        <v>11</v>
      </c>
      <c r="O39" s="686">
        <v>12</v>
      </c>
      <c r="P39" s="686"/>
    </row>
    <row r="40" spans="1:16" ht="14.1" customHeight="1" x14ac:dyDescent="0.2">
      <c r="D40" s="500"/>
      <c r="E40" s="500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</row>
    <row r="41" spans="1:16" ht="14.1" customHeight="1" x14ac:dyDescent="0.2"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</row>
    <row r="42" spans="1:16" ht="14.1" customHeight="1" x14ac:dyDescent="0.2">
      <c r="D42" s="500"/>
      <c r="E42" s="500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</row>
    <row r="43" spans="1:16" x14ac:dyDescent="0.2"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</row>
    <row r="44" spans="1:16" x14ac:dyDescent="0.2">
      <c r="D44" s="500"/>
      <c r="E44" s="500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</row>
    <row r="45" spans="1:16" x14ac:dyDescent="0.2">
      <c r="D45" s="500"/>
      <c r="E45" s="500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</row>
    <row r="46" spans="1:16" x14ac:dyDescent="0.2"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</row>
    <row r="47" spans="1:16" x14ac:dyDescent="0.2"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</row>
    <row r="48" spans="1:16" x14ac:dyDescent="0.2">
      <c r="D48" s="500"/>
      <c r="E48" s="500"/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</row>
    <row r="49" spans="4:16" x14ac:dyDescent="0.2">
      <c r="D49" s="500"/>
      <c r="E49" s="500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</row>
    <row r="50" spans="4:16" x14ac:dyDescent="0.2"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</row>
    <row r="51" spans="4:16" x14ac:dyDescent="0.2">
      <c r="D51" s="500"/>
      <c r="E51" s="500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7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9" t="s">
        <v>54</v>
      </c>
      <c r="P1" s="829"/>
    </row>
    <row r="2" spans="1:17" ht="15.95" customHeight="1" x14ac:dyDescent="0.25">
      <c r="A2" s="879" t="s">
        <v>229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7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7" ht="14.1" customHeight="1" x14ac:dyDescent="0.2">
      <c r="D4" s="497"/>
      <c r="E4" s="497"/>
      <c r="F4" s="497"/>
      <c r="G4" s="497"/>
      <c r="P4" s="593"/>
    </row>
    <row r="5" spans="1:17" ht="18" customHeight="1" x14ac:dyDescent="0.2">
      <c r="A5" s="499" t="s">
        <v>119</v>
      </c>
      <c r="B5" s="882" t="s">
        <v>278</v>
      </c>
      <c r="C5" s="883"/>
      <c r="D5" s="499" t="s">
        <v>13</v>
      </c>
      <c r="E5" s="499" t="s">
        <v>58</v>
      </c>
      <c r="F5" s="517" t="s">
        <v>59</v>
      </c>
      <c r="G5" s="499" t="s">
        <v>60</v>
      </c>
      <c r="H5" s="499" t="s">
        <v>61</v>
      </c>
      <c r="I5" s="517" t="s">
        <v>62</v>
      </c>
      <c r="J5" s="499" t="s">
        <v>63</v>
      </c>
      <c r="K5" s="499" t="s">
        <v>64</v>
      </c>
      <c r="L5" s="517" t="s">
        <v>65</v>
      </c>
      <c r="M5" s="499" t="s">
        <v>66</v>
      </c>
      <c r="N5" s="499" t="s">
        <v>67</v>
      </c>
      <c r="O5" s="499" t="s">
        <v>68</v>
      </c>
      <c r="P5" s="587" t="s">
        <v>2</v>
      </c>
      <c r="Q5" s="13"/>
    </row>
    <row r="6" spans="1:17" ht="5.0999999999999996" customHeight="1" x14ac:dyDescent="0.2">
      <c r="A6" s="881" t="s">
        <v>6</v>
      </c>
      <c r="B6" s="518"/>
      <c r="C6" s="519"/>
      <c r="D6" s="498"/>
      <c r="E6" s="498"/>
      <c r="F6" s="520"/>
      <c r="G6" s="498"/>
      <c r="H6" s="498"/>
      <c r="I6" s="520"/>
      <c r="J6" s="498"/>
      <c r="K6" s="498"/>
      <c r="L6" s="520"/>
      <c r="M6" s="498"/>
      <c r="N6" s="498"/>
      <c r="O6" s="498"/>
      <c r="P6" s="588"/>
      <c r="Q6" s="13"/>
    </row>
    <row r="7" spans="1:17" ht="14.1" customHeight="1" x14ac:dyDescent="0.2">
      <c r="A7" s="877"/>
      <c r="B7" s="98" t="s">
        <v>240</v>
      </c>
      <c r="C7" s="567" t="s">
        <v>231</v>
      </c>
      <c r="D7" s="529">
        <f>IF(T!$A$4&gt;=D$50,INDEX([2]DS!$B36:$AK36,1,3*MONTH(D$5&amp;$A$3)-1)/1000,"")</f>
        <v>385.63213875298783</v>
      </c>
      <c r="E7" s="529">
        <f>IF(T!$A$4&gt;=E$50,INDEX([2]DS!$B36:$AK36,1,3*MONTH(E$5&amp;$A$3)-1)/1000,"")</f>
        <v>353.33978032210234</v>
      </c>
      <c r="F7" s="569">
        <f>IF(T!$A$4&gt;=F$50,INDEX([2]DS!$B36:$AK36,1,3*MONTH(F$5&amp;$A$3)-1)/1000,"")</f>
        <v>346.37501366394571</v>
      </c>
      <c r="G7" s="542">
        <f>IF(T!$A$4&gt;=G$50,INDEX([2]DS!$B36:$AK36,1,3*MONTH(G$5&amp;$A$3)-1)/1000,"")</f>
        <v>288.19805184514018</v>
      </c>
      <c r="H7" s="529">
        <f>IF(T!$A$4&gt;=H$50,INDEX([2]DS!$B36:$AK36,1,3*MONTH(H$5&amp;$A$3)-1)/1000,"")</f>
        <v>245.68114266191338</v>
      </c>
      <c r="I7" s="544">
        <f>IF(T!$A$4&gt;=I$50,INDEX([2]DS!$B36:$AK36,1,3*MONTH(I$5&amp;$A$3)-1)/1000,"")</f>
        <v>222.39487171832147</v>
      </c>
      <c r="J7" s="529">
        <f>IF(T!$A$4&gt;=J$50,INDEX([2]DS!$B36:$AK36,1,3*MONTH(J$5&amp;$A$3)-1)/1000,"")</f>
        <v>224.67789046928047</v>
      </c>
      <c r="K7" s="529">
        <f>IF(T!$A$4&gt;=K$50,INDEX([2]DS!$B36:$AK36,1,3*MONTH(K$5&amp;$A$3)-1)/1000,"")</f>
        <v>205.69359563343002</v>
      </c>
      <c r="L7" s="544">
        <f>IF(T!$A$4&gt;=L$50,INDEX([2]DS!$B36:$AK36,1,3*MONTH(L$5&amp;$A$3)-1)/1000,"")</f>
        <v>233.9718208013642</v>
      </c>
      <c r="M7" s="529">
        <f>IF(T!$A$4&gt;=M$50,INDEX([2]DS!$B36:$AK36,1,3*MONTH(M$5&amp;$A$3)-1)/1000,"")</f>
        <v>333.36066300000005</v>
      </c>
      <c r="N7" s="529">
        <f>IF(T!$A$4&gt;=N$50,INDEX([2]DS!$B36:$AK36,1,3*MONTH(N$5&amp;$A$3)-1)/1000,"")</f>
        <v>348.47508770337453</v>
      </c>
      <c r="O7" s="529">
        <f>IF(T!$A$4&gt;=O$50,INDEX([2]DS!$B36:$AK36,1,3*MONTH(O$5&amp;$A$3)-1)/1000,"")</f>
        <v>334.80062352483196</v>
      </c>
      <c r="P7" s="589">
        <f>SUM(D7:O7)</f>
        <v>3522.6006800966916</v>
      </c>
    </row>
    <row r="8" spans="1:17" ht="14.1" customHeight="1" x14ac:dyDescent="0.2">
      <c r="A8" s="877"/>
      <c r="B8" s="98" t="s">
        <v>240</v>
      </c>
      <c r="C8" s="567" t="s">
        <v>284</v>
      </c>
      <c r="D8" s="542">
        <f>IF(T!$A$4&gt;=D$50,INDEX([2]DS!$B36:$AK36,1,3*MONTH(D$5&amp;$A$3))/1000,"")</f>
        <v>4099.1532515729996</v>
      </c>
      <c r="E8" s="559">
        <f>IF(T!$A$4&gt;=E$50,INDEX([2]DS!$B36:$AK36,1,3*MONTH(E$5&amp;$A$3))/1000,"")</f>
        <v>3757.3962138940001</v>
      </c>
      <c r="F8" s="569">
        <f>IF(T!$A$4&gt;=F$50,INDEX([2]DS!$B36:$AK36,1,3*MONTH(F$5&amp;$A$3))/1000,"")</f>
        <v>3682.5863261610011</v>
      </c>
      <c r="G8" s="542">
        <f>IF(T!$A$4&gt;=G$50,INDEX([2]DS!$B36:$AK36,1,3*MONTH(G$5&amp;$A$3))/1000,"")</f>
        <v>3066.2293641399992</v>
      </c>
      <c r="H8" s="529">
        <f>IF(T!$A$4&gt;=H$50,INDEX([2]DS!$B36:$AK36,1,3*MONTH(H$5&amp;$A$3))/1000,"")</f>
        <v>2629.4975017899997</v>
      </c>
      <c r="I8" s="544">
        <f>IF(T!$A$4&gt;=I$50,INDEX([2]DS!$B36:$AK36,1,3*MONTH(I$5&amp;$A$3))/1000,"")</f>
        <v>2382.0311126899996</v>
      </c>
      <c r="J8" s="529">
        <f>IF(T!$A$4&gt;=J$50,INDEX([2]DS!$B36:$AK36,1,3*MONTH(J$5&amp;$A$3))/1000,"")</f>
        <v>2399.6039095899991</v>
      </c>
      <c r="K8" s="529">
        <f>IF(T!$A$4&gt;=K$50,INDEX([2]DS!$B36:$AK36,1,3*MONTH(K$5&amp;$A$3))/1000,"")</f>
        <v>2203.55301422</v>
      </c>
      <c r="L8" s="544">
        <f>IF(T!$A$4&gt;=L$50,INDEX([2]DS!$B36:$AK36,1,3*MONTH(L$5&amp;$A$3))/1000,"")</f>
        <v>2502.5875773899998</v>
      </c>
      <c r="M8" s="529">
        <f>IF(T!$A$4&gt;=M$50,INDEX([2]DS!$B36:$AK36,1,3*MONTH(M$5&amp;$A$3))/1000,"")</f>
        <v>3560.2102086799996</v>
      </c>
      <c r="N8" s="529">
        <f>IF(T!$A$4&gt;=N$50,INDEX([2]DS!$B36:$AK36,1,3*MONTH(N$5&amp;$A$3))/1000,"")</f>
        <v>3713.5100819700001</v>
      </c>
      <c r="O8" s="529">
        <f>IF(T!$A$4&gt;=O$50,INDEX([2]DS!$B36:$AK36,1,3*MONTH(O$5&amp;$A$3))/1000,"")</f>
        <v>3565.7105310299999</v>
      </c>
      <c r="P8" s="589">
        <f t="shared" ref="P8" si="0">SUM(D8:O8)</f>
        <v>37562.069093127997</v>
      </c>
    </row>
    <row r="9" spans="1:17" ht="14.1" customHeight="1" x14ac:dyDescent="0.2">
      <c r="A9" s="877"/>
      <c r="B9" s="728" t="s">
        <v>238</v>
      </c>
      <c r="C9" s="729" t="s">
        <v>232</v>
      </c>
      <c r="D9" s="730">
        <f>IF(T!$A$4&gt;=D$50,D7/D$40,"")</f>
        <v>0.35664386219026406</v>
      </c>
      <c r="E9" s="730">
        <f>IF(T!$A$4&gt;=E$50,E7/E$40,"")</f>
        <v>0.35695684033317382</v>
      </c>
      <c r="F9" s="731">
        <f>IF(T!$A$4&gt;=F$50,F7/F$40,"")</f>
        <v>0.4001869268131576</v>
      </c>
      <c r="G9" s="730">
        <f>IF(T!$A$4&gt;=G$50,G7/G$40,"")</f>
        <v>0.46273929977048311</v>
      </c>
      <c r="H9" s="732">
        <f>IF(T!$A$4&gt;=H$50,H7/H$40,"")</f>
        <v>0.60696214474447441</v>
      </c>
      <c r="I9" s="733">
        <f>IF(T!$A$4&gt;=I$50,I7/I$40,"")</f>
        <v>0.70734496784431988</v>
      </c>
      <c r="J9" s="732">
        <f>IF(T!$A$4&gt;=J$50,J7/J$40,"")</f>
        <v>0.75384497152438046</v>
      </c>
      <c r="K9" s="732">
        <f>IF(T!$A$4&gt;=K$50,K7/K$40,"")</f>
        <v>0.74209799566954038</v>
      </c>
      <c r="L9" s="733">
        <f>IF(T!$A$4&gt;=L$50,L7/L$40,"")</f>
        <v>0.66348249319691932</v>
      </c>
      <c r="M9" s="732">
        <f>IF(T!$A$4&gt;=M$50,M7/M$40,"")</f>
        <v>0.48169752112590658</v>
      </c>
      <c r="N9" s="732">
        <f>IF(T!$A$4&gt;=N$50,N7/N$40,"")</f>
        <v>0.43234242686661922</v>
      </c>
      <c r="O9" s="732">
        <f>IF(T!$A$4&gt;=O$50,O7/O$40,"")</f>
        <v>0.37077601315802416</v>
      </c>
      <c r="P9" s="734">
        <f>P7/P$40</f>
        <v>0.46303855733089511</v>
      </c>
    </row>
    <row r="10" spans="1:17" ht="14.1" customHeight="1" x14ac:dyDescent="0.2">
      <c r="A10" s="877"/>
      <c r="B10" s="98" t="s">
        <v>0</v>
      </c>
      <c r="C10" s="567"/>
      <c r="D10" s="669">
        <f>IF(T!$A$4&gt;=D$50,INDEX([2]DS!$B36:$AK36,1,3*MONTH(D$5&amp;$A$3)-2),"")</f>
        <v>1590</v>
      </c>
      <c r="E10" s="679">
        <f>IF(T!$A$4&gt;=E$50,INDEX([2]DS!$B36:$AK36,1,3*MONTH(E$5&amp;$A$3)-2),"")</f>
        <v>1592</v>
      </c>
      <c r="F10" s="670">
        <f>IF(T!$A$4&gt;=F$50,INDEX([2]DS!$B36:$AK36,1,3*MONTH(F$5&amp;$A$3)-2),"")</f>
        <v>1593</v>
      </c>
      <c r="G10" s="669">
        <f>IF(T!$A$4&gt;=G$50,INDEX([2]DS!$B36:$AK36,1,3*MONTH(G$5&amp;$A$3)-2),"")</f>
        <v>1589</v>
      </c>
      <c r="H10" s="668">
        <f>IF(T!$A$4&gt;=H$50,INDEX([2]DS!$B36:$AK36,1,3*MONTH(H$5&amp;$A$3)-2),"")</f>
        <v>1593</v>
      </c>
      <c r="I10" s="671">
        <f>IF(T!$A$4&gt;=I$50,INDEX([2]DS!$B36:$AK36,1,3*MONTH(I$5&amp;$A$3)-2),"")</f>
        <v>1593</v>
      </c>
      <c r="J10" s="668">
        <f>IF(T!$A$4&gt;=J$50,INDEX([2]DS!$B36:$AK36,1,3*MONTH(J$5&amp;$A$3)-2),"")</f>
        <v>1591</v>
      </c>
      <c r="K10" s="668">
        <f>IF(T!$A$4&gt;=K$50,INDEX([2]DS!$B36:$AK36,1,3*MONTH(K$5&amp;$A$3)-2),"")</f>
        <v>1594</v>
      </c>
      <c r="L10" s="671">
        <f>IF(T!$A$4&gt;=L$50,INDEX([2]DS!$B36:$AK36,1,3*MONTH(L$5&amp;$A$3)-2),"")</f>
        <v>1595</v>
      </c>
      <c r="M10" s="668">
        <f>IF(T!$A$4&gt;=M$50,INDEX([2]DS!$B36:$AK36,1,3*MONTH(M$5&amp;$A$3)-2),"")</f>
        <v>1600</v>
      </c>
      <c r="N10" s="668">
        <f>IF(T!$A$4&gt;=N$50,INDEX([2]DS!$B36:$AK36,1,3*MONTH(N$5&amp;$A$3)-2),"")</f>
        <v>1602</v>
      </c>
      <c r="O10" s="668">
        <f>IF(T!$A$4&gt;=O$50,INDEX([2]DS!$B36:$AK36,1,3*MONTH(O$5&amp;$A$3)-2),"")</f>
        <v>1606</v>
      </c>
      <c r="P10" s="683">
        <f>O10</f>
        <v>1606</v>
      </c>
    </row>
    <row r="11" spans="1:17" ht="14.1" customHeight="1" x14ac:dyDescent="0.2">
      <c r="A11" s="877"/>
      <c r="B11" s="568" t="s">
        <v>239</v>
      </c>
      <c r="C11" s="567" t="s">
        <v>232</v>
      </c>
      <c r="D11" s="672">
        <f>IF(T!$A$4&gt;=D$50,D10/D$42,"")</f>
        <v>5.5806156787923972E-4</v>
      </c>
      <c r="E11" s="680">
        <f>IF(T!$A$4&gt;=E$50,E10/E$42,"")</f>
        <v>5.588321811514892E-4</v>
      </c>
      <c r="F11" s="673">
        <f>IF(T!$A$4&gt;=F$50,F10/F$42,"")</f>
        <v>5.5946246649546806E-4</v>
      </c>
      <c r="G11" s="672">
        <f>IF(T!$A$4&gt;=G$50,G10/G$42,"")</f>
        <v>5.583151181122835E-4</v>
      </c>
      <c r="H11" s="387">
        <f>IF(T!$A$4&gt;=H$50,H10/H$42,"")</f>
        <v>5.5994111655000348E-4</v>
      </c>
      <c r="I11" s="674">
        <f>IF(T!$A$4&gt;=I$50,I10/I$42,"")</f>
        <v>5.6025167363317756E-4</v>
      </c>
      <c r="J11" s="387">
        <f>IF(T!$A$4&gt;=J$50,J10/J$42,"")</f>
        <v>5.5991770511868951E-4</v>
      </c>
      <c r="K11" s="387">
        <f>IF(T!$A$4&gt;=K$50,K10/K$42,"")</f>
        <v>5.6146787568946252E-4</v>
      </c>
      <c r="L11" s="674">
        <f>IF(T!$A$4&gt;=L$50,L10/L$42,"")</f>
        <v>5.618100215636423E-4</v>
      </c>
      <c r="M11" s="387">
        <f>IF(T!$A$4&gt;=M$50,M10/M$42,"")</f>
        <v>5.6328646672578831E-4</v>
      </c>
      <c r="N11" s="387">
        <f>IF(T!$A$4&gt;=N$50,N10/N$42,"")</f>
        <v>5.6361198586677862E-4</v>
      </c>
      <c r="O11" s="387">
        <f>IF(T!$A$4&gt;=O$50,O10/O$42,"")</f>
        <v>5.6463129857463996E-4</v>
      </c>
      <c r="P11" s="681">
        <f>IF(T!$A$4&gt;=O$50,P10/P$42,"")</f>
        <v>5.6463129857463996E-4</v>
      </c>
    </row>
    <row r="12" spans="1:17" ht="5.0999999999999996" customHeight="1" x14ac:dyDescent="0.2">
      <c r="A12" s="878"/>
      <c r="B12" s="578"/>
      <c r="C12" s="576"/>
      <c r="D12" s="546"/>
      <c r="E12" s="546"/>
      <c r="F12" s="577"/>
      <c r="G12" s="546"/>
      <c r="H12" s="548"/>
      <c r="I12" s="549"/>
      <c r="J12" s="548"/>
      <c r="K12" s="548"/>
      <c r="L12" s="549"/>
      <c r="M12" s="548"/>
      <c r="N12" s="548"/>
      <c r="O12" s="548"/>
      <c r="P12" s="590"/>
    </row>
    <row r="13" spans="1:17" ht="5.0999999999999996" customHeight="1" x14ac:dyDescent="0.2">
      <c r="A13" s="881" t="s">
        <v>7</v>
      </c>
      <c r="B13" s="518"/>
      <c r="C13" s="519"/>
      <c r="D13" s="498"/>
      <c r="E13" s="498"/>
      <c r="F13" s="520"/>
      <c r="G13" s="498"/>
      <c r="H13" s="498"/>
      <c r="I13" s="520"/>
      <c r="J13" s="498"/>
      <c r="K13" s="498"/>
      <c r="L13" s="520"/>
      <c r="M13" s="498"/>
      <c r="N13" s="498"/>
      <c r="O13" s="682"/>
      <c r="P13" s="588"/>
    </row>
    <row r="14" spans="1:17" ht="14.1" customHeight="1" x14ac:dyDescent="0.2">
      <c r="A14" s="877"/>
      <c r="B14" s="98" t="s">
        <v>240</v>
      </c>
      <c r="C14" s="567" t="s">
        <v>231</v>
      </c>
      <c r="D14" s="542">
        <f>IF(T!$A$4&gt;=D$50,INDEX([2]DS!$B37:$AK37,1,3*MONTH(D$5&amp;$A$3)-1)/1000,"")</f>
        <v>109.44037237872847</v>
      </c>
      <c r="E14" s="542">
        <f>IF(T!$A$4&gt;=E$50,INDEX([2]DS!$B37:$AK37,1,3*MONTH(E$5&amp;$A$3)-1)/1000,"")</f>
        <v>101.46819909431994</v>
      </c>
      <c r="F14" s="569">
        <f>IF(T!$A$4&gt;=F$50,INDEX([2]DS!$B37:$AK37,1,3*MONTH(F$5&amp;$A$3)-1)/1000,"")</f>
        <v>85.97057093222827</v>
      </c>
      <c r="G14" s="542">
        <f>IF(T!$A$4&gt;=G$50,INDEX([2]DS!$B37:$AK37,1,3*MONTH(G$5&amp;$A$3)-1)/1000,"")</f>
        <v>61.6787553775373</v>
      </c>
      <c r="H14" s="529">
        <f>IF(T!$A$4&gt;=H$50,INDEX([2]DS!$B37:$AK37,1,3*MONTH(H$5&amp;$A$3)-1)/1000,"")</f>
        <v>35.649345603170651</v>
      </c>
      <c r="I14" s="544">
        <f>IF(T!$A$4&gt;=I$50,INDEX([2]DS!$B37:$AK37,1,3*MONTH(I$5&amp;$A$3)-1)/1000,"")</f>
        <v>27.487439111932243</v>
      </c>
      <c r="J14" s="529">
        <f>IF(T!$A$4&gt;=J$50,INDEX([2]DS!$B37:$AK37,1,3*MONTH(J$5&amp;$A$3)-1)/1000,"")</f>
        <v>24.088636561259719</v>
      </c>
      <c r="K14" s="529">
        <f>IF(T!$A$4&gt;=K$50,INDEX([2]DS!$B37:$AK37,1,3*MONTH(K$5&amp;$A$3)-1)/1000,"")</f>
        <v>22.941962259085244</v>
      </c>
      <c r="L14" s="544">
        <f>IF(T!$A$4&gt;=L$50,INDEX([2]DS!$B37:$AK37,1,3*MONTH(L$5&amp;$A$3)-1)/1000,"")</f>
        <v>32.39212342452474</v>
      </c>
      <c r="M14" s="529">
        <f>IF(T!$A$4&gt;=M$50,INDEX([2]DS!$B37:$AK37,1,3*MONTH(M$5&amp;$A$3)-1)/1000,"")</f>
        <v>69.602643999999998</v>
      </c>
      <c r="N14" s="529">
        <f>IF(T!$A$4&gt;=N$50,INDEX([2]DS!$B37:$AK37,1,3*MONTH(N$5&amp;$A$3)-1)/1000,"")</f>
        <v>79.859399264702489</v>
      </c>
      <c r="O14" s="529">
        <f>IF(T!$A$4&gt;=O$50,INDEX([2]DS!$B37:$AK37,1,3*MONTH(O$5&amp;$A$3)-1)/1000,"")</f>
        <v>90.020725756356157</v>
      </c>
      <c r="P14" s="589">
        <f>SUM(D14:O14)</f>
        <v>740.60017376384519</v>
      </c>
    </row>
    <row r="15" spans="1:17" ht="14.1" customHeight="1" x14ac:dyDescent="0.2">
      <c r="A15" s="877"/>
      <c r="B15" s="98" t="s">
        <v>240</v>
      </c>
      <c r="C15" s="567" t="s">
        <v>284</v>
      </c>
      <c r="D15" s="542">
        <f>IF(T!$A$4&gt;=D$50,INDEX([2]DS!$B37:$AK37,1,3*MONTH(D$5&amp;$A$3))/1000,"")</f>
        <v>1162.9244275710003</v>
      </c>
      <c r="E15" s="542">
        <f>IF(T!$A$4&gt;=E$50,INDEX([2]DS!$B37:$AK37,1,3*MONTH(E$5&amp;$A$3))/1000,"")</f>
        <v>1078.7178574569998</v>
      </c>
      <c r="F15" s="569">
        <f>IF(T!$A$4&gt;=F$50,INDEX([2]DS!$B37:$AK37,1,3*MONTH(F$5&amp;$A$3))/1000,"")</f>
        <v>913.84377809900013</v>
      </c>
      <c r="G15" s="542">
        <f>IF(T!$A$4&gt;=G$50,INDEX([2]DS!$B37:$AK37,1,3*MONTH(G$5&amp;$A$3))/1000,"")</f>
        <v>656.13119702499978</v>
      </c>
      <c r="H15" s="529">
        <f>IF(T!$A$4&gt;=H$50,INDEX([2]DS!$B37:$AK37,1,3*MONTH(H$5&amp;$A$3))/1000,"")</f>
        <v>381.52784663000011</v>
      </c>
      <c r="I15" s="544">
        <f>IF(T!$A$4&gt;=I$50,INDEX([2]DS!$B37:$AK37,1,3*MONTH(I$5&amp;$A$3))/1000,"")</f>
        <v>294.28688717999995</v>
      </c>
      <c r="J15" s="529">
        <f>IF(T!$A$4&gt;=J$50,INDEX([2]DS!$B37:$AK37,1,3*MONTH(J$5&amp;$A$3))/1000,"")</f>
        <v>257.07861575400005</v>
      </c>
      <c r="K15" s="529">
        <f>IF(T!$A$4&gt;=K$50,INDEX([2]DS!$B37:$AK37,1,3*MONTH(K$5&amp;$A$3))/1000,"")</f>
        <v>245.75075500999998</v>
      </c>
      <c r="L15" s="544">
        <f>IF(T!$A$4&gt;=L$50,INDEX([2]DS!$B37:$AK37,1,3*MONTH(L$5&amp;$A$3))/1000,"")</f>
        <v>346.47301228000009</v>
      </c>
      <c r="M15" s="529">
        <f>IF(T!$A$4&gt;=M$50,INDEX([2]DS!$B37:$AK37,1,3*MONTH(M$5&amp;$A$3))/1000,"")</f>
        <v>743.38139478000005</v>
      </c>
      <c r="N15" s="529">
        <f>IF(T!$A$4&gt;=N$50,INDEX([2]DS!$B37:$AK37,1,3*MONTH(N$5&amp;$A$3))/1000,"")</f>
        <v>850.9097519500001</v>
      </c>
      <c r="O15" s="529">
        <f>IF(T!$A$4&gt;=O$50,INDEX([2]DS!$B37:$AK37,1,3*MONTH(O$5&amp;$A$3))/1000,"")</f>
        <v>958.49335903000008</v>
      </c>
      <c r="P15" s="589">
        <f t="shared" ref="P15" si="1">SUM(D15:O15)</f>
        <v>7889.5188827659995</v>
      </c>
    </row>
    <row r="16" spans="1:17" ht="14.1" customHeight="1" x14ac:dyDescent="0.2">
      <c r="A16" s="877"/>
      <c r="B16" s="728" t="s">
        <v>238</v>
      </c>
      <c r="C16" s="729" t="s">
        <v>232</v>
      </c>
      <c r="D16" s="730">
        <f>IF(T!$A$4&gt;=D$50,D14/D$40,"")</f>
        <v>0.10121365198166593</v>
      </c>
      <c r="E16" s="730">
        <f>IF(T!$A$4&gt;=E$50,E14/E$40,"")</f>
        <v>0.10250690627018599</v>
      </c>
      <c r="F16" s="731">
        <f>IF(T!$A$4&gt;=F$50,F14/F$40,"")</f>
        <v>9.9326733224239391E-2</v>
      </c>
      <c r="G16" s="730">
        <f>IF(T!$A$4&gt;=G$50,G14/G$40,"")</f>
        <v>9.9033230417021695E-2</v>
      </c>
      <c r="H16" s="732">
        <f>IF(T!$A$4&gt;=H$50,H14/H$40,"")</f>
        <v>8.8072706889896143E-2</v>
      </c>
      <c r="I16" s="733">
        <f>IF(T!$A$4&gt;=I$50,I14/I$40,"")</f>
        <v>8.7426034532749705E-2</v>
      </c>
      <c r="J16" s="732">
        <f>IF(T!$A$4&gt;=J$50,J14/J$40,"")</f>
        <v>8.0822805949688326E-2</v>
      </c>
      <c r="K16" s="732">
        <f>IF(T!$A$4&gt;=K$50,K14/K$40,"")</f>
        <v>8.276963683173813E-2</v>
      </c>
      <c r="L16" s="733">
        <f>IF(T!$A$4&gt;=L$50,L14/L$40,"")</f>
        <v>9.1855535149644382E-2</v>
      </c>
      <c r="M16" s="732">
        <f>IF(T!$A$4&gt;=M$50,M14/M$40,"")</f>
        <v>0.10057401727272468</v>
      </c>
      <c r="N16" s="732">
        <f>IF(T!$A$4&gt;=N$50,N14/N$40,"")</f>
        <v>9.9079124174297289E-2</v>
      </c>
      <c r="O16" s="732">
        <f>IF(T!$A$4&gt;=O$50,O14/O$40,"")</f>
        <v>9.9693738458817432E-2</v>
      </c>
      <c r="P16" s="734">
        <f t="shared" ref="P16" si="2">P14/P$40</f>
        <v>9.7350357636678861E-2</v>
      </c>
    </row>
    <row r="17" spans="1:16" ht="14.1" customHeight="1" x14ac:dyDescent="0.2">
      <c r="A17" s="877"/>
      <c r="B17" s="98" t="s">
        <v>0</v>
      </c>
      <c r="C17" s="567"/>
      <c r="D17" s="669">
        <f>IF(T!$A$4&gt;=D$50,INDEX([2]DS!$B37:$AK37,1,3*MONTH(D$5&amp;$A$3)-2),"")</f>
        <v>6845</v>
      </c>
      <c r="E17" s="669">
        <f>IF(T!$A$4&gt;=E$50,INDEX([2]DS!$B37:$AK37,1,3*MONTH(E$5&amp;$A$3)-2),"")</f>
        <v>6843</v>
      </c>
      <c r="F17" s="670">
        <f>IF(T!$A$4&gt;=F$50,INDEX([2]DS!$B37:$AK37,1,3*MONTH(F$5&amp;$A$3)-2),"")</f>
        <v>6746</v>
      </c>
      <c r="G17" s="669">
        <f>IF(T!$A$4&gt;=G$50,INDEX([2]DS!$B37:$AK37,1,3*MONTH(G$5&amp;$A$3)-2),"")</f>
        <v>6744</v>
      </c>
      <c r="H17" s="668">
        <f>IF(T!$A$4&gt;=H$50,INDEX([2]DS!$B37:$AK37,1,3*MONTH(H$5&amp;$A$3)-2),"")</f>
        <v>6746</v>
      </c>
      <c r="I17" s="671">
        <f>IF(T!$A$4&gt;=I$50,INDEX([2]DS!$B37:$AK37,1,3*MONTH(I$5&amp;$A$3)-2),"")</f>
        <v>6758</v>
      </c>
      <c r="J17" s="668">
        <f>IF(T!$A$4&gt;=J$50,INDEX([2]DS!$B37:$AK37,1,3*MONTH(J$5&amp;$A$3)-2),"")</f>
        <v>6768</v>
      </c>
      <c r="K17" s="668">
        <f>IF(T!$A$4&gt;=K$50,INDEX([2]DS!$B37:$AK37,1,3*MONTH(K$5&amp;$A$3)-2),"")</f>
        <v>6778</v>
      </c>
      <c r="L17" s="671">
        <f>IF(T!$A$4&gt;=L$50,INDEX([2]DS!$B37:$AK37,1,3*MONTH(L$5&amp;$A$3)-2),"")</f>
        <v>6792</v>
      </c>
      <c r="M17" s="668">
        <f>IF(T!$A$4&gt;=M$50,INDEX([2]DS!$B37:$AK37,1,3*MONTH(M$5&amp;$A$3)-2),"")</f>
        <v>6799</v>
      </c>
      <c r="N17" s="668">
        <f>IF(T!$A$4&gt;=N$50,INDEX([2]DS!$B37:$AK37,1,3*MONTH(N$5&amp;$A$3)-2),"")</f>
        <v>6807</v>
      </c>
      <c r="O17" s="668">
        <f>IF(T!$A$4&gt;=O$50,INDEX([2]DS!$B37:$AK37,1,3*MONTH(O$5&amp;$A$3)-2),"")</f>
        <v>6814</v>
      </c>
      <c r="P17" s="683">
        <f>O17</f>
        <v>6814</v>
      </c>
    </row>
    <row r="18" spans="1:16" ht="14.1" customHeight="1" x14ac:dyDescent="0.2">
      <c r="A18" s="877"/>
      <c r="B18" s="568" t="s">
        <v>239</v>
      </c>
      <c r="C18" s="567" t="s">
        <v>232</v>
      </c>
      <c r="D18" s="672">
        <f>IF(T!$A$4&gt;=D$50,D17/D$42,"")</f>
        <v>2.4024725988260349E-3</v>
      </c>
      <c r="E18" s="680">
        <f>IF(T!$A$4&gt;=E$50,E17/E$42,"")</f>
        <v>2.4020657133289199E-3</v>
      </c>
      <c r="F18" s="673">
        <f>IF(T!$A$4&gt;=F$50,F17/F$42,"")</f>
        <v>2.369198869415209E-3</v>
      </c>
      <c r="G18" s="672">
        <f>IF(T!$A$4&gt;=G$50,G17/G$42,"")</f>
        <v>2.3695891482374072E-3</v>
      </c>
      <c r="H18" s="387">
        <f>IF(T!$A$4&gt;=H$50,H17/H$42,"")</f>
        <v>2.3712258457290166E-3</v>
      </c>
      <c r="I18" s="674">
        <f>IF(T!$A$4&gt;=I$50,I17/I$42,"")</f>
        <v>2.3767613373590797E-3</v>
      </c>
      <c r="J18" s="387">
        <f>IF(T!$A$4&gt;=J$50,J17/J$42,"")</f>
        <v>2.3818497977644818E-3</v>
      </c>
      <c r="K18" s="387">
        <f>IF(T!$A$4&gt;=K$50,K17/K$42,"")</f>
        <v>2.3874713057861837E-3</v>
      </c>
      <c r="L18" s="674">
        <f>IF(T!$A$4&gt;=L$50,L17/L$42,"")</f>
        <v>2.392359665492325E-3</v>
      </c>
      <c r="M18" s="387">
        <f>IF(T!$A$4&gt;=M$50,M17/M$42,"")</f>
        <v>2.3936154295428965E-3</v>
      </c>
      <c r="N18" s="387">
        <f>IF(T!$A$4&gt;=N$50,N17/N$42,"")</f>
        <v>2.3948232133552821E-3</v>
      </c>
      <c r="O18" s="387">
        <f>IF(T!$A$4&gt;=O$50,O17/O$42,"")</f>
        <v>2.3956398932052283E-3</v>
      </c>
      <c r="P18" s="681">
        <f>IF(T!$A$4&gt;=O$50,P17/P$42,"")</f>
        <v>2.3956398932052283E-3</v>
      </c>
    </row>
    <row r="19" spans="1:16" ht="5.0999999999999996" customHeight="1" x14ac:dyDescent="0.2">
      <c r="A19" s="878"/>
      <c r="B19" s="578"/>
      <c r="C19" s="576"/>
      <c r="D19" s="546"/>
      <c r="E19" s="546"/>
      <c r="F19" s="577"/>
      <c r="G19" s="546"/>
      <c r="H19" s="548"/>
      <c r="I19" s="549"/>
      <c r="J19" s="548"/>
      <c r="K19" s="548"/>
      <c r="L19" s="549"/>
      <c r="M19" s="548"/>
      <c r="N19" s="548"/>
      <c r="O19" s="548"/>
      <c r="P19" s="590"/>
    </row>
    <row r="20" spans="1:16" ht="5.0999999999999996" customHeight="1" x14ac:dyDescent="0.2">
      <c r="A20" s="881" t="s">
        <v>8</v>
      </c>
      <c r="B20" s="518"/>
      <c r="C20" s="519"/>
      <c r="D20" s="498"/>
      <c r="E20" s="498"/>
      <c r="F20" s="520"/>
      <c r="G20" s="498"/>
      <c r="H20" s="498"/>
      <c r="I20" s="520"/>
      <c r="J20" s="498"/>
      <c r="K20" s="498"/>
      <c r="L20" s="520"/>
      <c r="M20" s="498"/>
      <c r="N20" s="498"/>
      <c r="O20" s="682"/>
      <c r="P20" s="588"/>
    </row>
    <row r="21" spans="1:16" ht="14.1" customHeight="1" x14ac:dyDescent="0.2">
      <c r="A21" s="877"/>
      <c r="B21" s="98" t="s">
        <v>240</v>
      </c>
      <c r="C21" s="567" t="s">
        <v>231</v>
      </c>
      <c r="D21" s="542">
        <f>IF(T!$A$4&gt;=D$50,INDEX([2]DS!$B38:$AK38,1,3*MONTH(D$5&amp;$A$3)-1)/1000,"")</f>
        <v>185.45573098381678</v>
      </c>
      <c r="E21" s="542">
        <f>IF(T!$A$4&gt;=E$50,INDEX([2]DS!$B38:$AK38,1,3*MONTH(E$5&amp;$A$3)-1)/1000,"")</f>
        <v>168.97767665120313</v>
      </c>
      <c r="F21" s="569">
        <f>IF(T!$A$4&gt;=F$50,INDEX([2]DS!$B38:$AK38,1,3*MONTH(F$5&amp;$A$3)-1)/1000,"")</f>
        <v>136.93737206553737</v>
      </c>
      <c r="G21" s="542">
        <f>IF(T!$A$4&gt;=G$50,INDEX([2]DS!$B38:$AK38,1,3*MONTH(G$5&amp;$A$3)-1)/1000,"")</f>
        <v>84.908576362727246</v>
      </c>
      <c r="H21" s="529">
        <f>IF(T!$A$4&gt;=H$50,INDEX([2]DS!$B38:$AK38,1,3*MONTH(H$5&amp;$A$3)-1)/1000,"")</f>
        <v>37.021409665043308</v>
      </c>
      <c r="I21" s="544">
        <f>IF(T!$A$4&gt;=I$50,INDEX([2]DS!$B38:$AK38,1,3*MONTH(I$5&amp;$A$3)-1)/1000,"")</f>
        <v>18.340041647020101</v>
      </c>
      <c r="J21" s="529">
        <f>IF(T!$A$4&gt;=J$50,INDEX([2]DS!$B38:$AK38,1,3*MONTH(J$5&amp;$A$3)-1)/1000,"")</f>
        <v>13.582468971809638</v>
      </c>
      <c r="K21" s="529">
        <f>IF(T!$A$4&gt;=K$50,INDEX([2]DS!$B38:$AK38,1,3*MONTH(K$5&amp;$A$3)-1)/1000,"")</f>
        <v>13.482332620699514</v>
      </c>
      <c r="L21" s="544">
        <f>IF(T!$A$4&gt;=L$50,INDEX([2]DS!$B38:$AK38,1,3*MONTH(L$5&amp;$A$3)-1)/1000,"")</f>
        <v>25.943329980122488</v>
      </c>
      <c r="M21" s="529">
        <f>IF(T!$A$4&gt;=M$50,INDEX([2]DS!$B38:$AK38,1,3*MONTH(M$5&amp;$A$3)-1)/1000,"")</f>
        <v>90.214113088000019</v>
      </c>
      <c r="N21" s="529">
        <f>IF(T!$A$4&gt;=N$50,INDEX([2]DS!$B38:$AK38,1,3*MONTH(N$5&amp;$A$3)-1)/1000,"")</f>
        <v>119.46252210205587</v>
      </c>
      <c r="O21" s="529">
        <f>IF(T!$A$4&gt;=O$50,INDEX([2]DS!$B38:$AK38,1,3*MONTH(O$5&amp;$A$3)-1)/1000,"")</f>
        <v>162.91205517919349</v>
      </c>
      <c r="P21" s="589">
        <f>SUM(D21:O21)</f>
        <v>1057.2376293172288</v>
      </c>
    </row>
    <row r="22" spans="1:16" ht="14.1" customHeight="1" x14ac:dyDescent="0.2">
      <c r="A22" s="877"/>
      <c r="B22" s="98" t="s">
        <v>240</v>
      </c>
      <c r="C22" s="567" t="s">
        <v>284</v>
      </c>
      <c r="D22" s="542">
        <f>IF(T!$A$4&gt;=D$50,INDEX([2]DS!$B38:$AK38,1,3*MONTH(D$5&amp;$A$3))/1000,"")</f>
        <v>1970.9617956427305</v>
      </c>
      <c r="E22" s="542">
        <f>IF(T!$A$4&gt;=E$50,INDEX([2]DS!$B38:$AK38,1,3*MONTH(E$5&amp;$A$3))/1000,"")</f>
        <v>1796.5965963848589</v>
      </c>
      <c r="F22" s="569">
        <f>IF(T!$A$4&gt;=F$50,INDEX([2]DS!$B38:$AK38,1,3*MONTH(F$5&amp;$A$3))/1000,"")</f>
        <v>1455.6892118568792</v>
      </c>
      <c r="G22" s="542">
        <f>IF(T!$A$4&gt;=G$50,INDEX([2]DS!$B38:$AK38,1,3*MONTH(G$5&amp;$A$3))/1000,"")</f>
        <v>903.30827032261004</v>
      </c>
      <c r="H22" s="529">
        <f>IF(T!$A$4&gt;=H$50,INDEX([2]DS!$B38:$AK38,1,3*MONTH(H$5&amp;$A$3))/1000,"")</f>
        <v>396.22632977909848</v>
      </c>
      <c r="I22" s="544">
        <f>IF(T!$A$4&gt;=I$50,INDEX([2]DS!$B38:$AK38,1,3*MONTH(I$5&amp;$A$3))/1000,"")</f>
        <v>196.31039852340263</v>
      </c>
      <c r="J22" s="529">
        <f>IF(T!$A$4&gt;=J$50,INDEX([2]DS!$B38:$AK38,1,3*MONTH(J$5&amp;$A$3))/1000,"")</f>
        <v>144.91134782842477</v>
      </c>
      <c r="K22" s="529">
        <f>IF(T!$A$4&gt;=K$50,INDEX([2]DS!$B38:$AK38,1,3*MONTH(K$5&amp;$A$3))/1000,"")</f>
        <v>144.42388025778556</v>
      </c>
      <c r="L22" s="544">
        <f>IF(T!$A$4&gt;=L$50,INDEX([2]DS!$B38:$AK38,1,3*MONTH(L$5&amp;$A$3))/1000,"")</f>
        <v>277.50072203007676</v>
      </c>
      <c r="M22" s="529">
        <f>IF(T!$A$4&gt;=M$50,INDEX([2]DS!$B38:$AK38,1,3*MONTH(M$5&amp;$A$3))/1000,"")</f>
        <v>963.56114617889511</v>
      </c>
      <c r="N22" s="529">
        <f>IF(T!$A$4&gt;=N$50,INDEX([2]DS!$B38:$AK38,1,3*MONTH(N$5&amp;$A$3))/1000,"")</f>
        <v>1273.1052562783586</v>
      </c>
      <c r="O22" s="529">
        <f>IF(T!$A$4&gt;=O$50,INDEX([2]DS!$B38:$AK38,1,3*MONTH(O$5&amp;$A$3))/1000,"")</f>
        <v>1734.8640812080796</v>
      </c>
      <c r="P22" s="589">
        <f t="shared" ref="P22" si="3">SUM(D22:O22)</f>
        <v>11257.4590362912</v>
      </c>
    </row>
    <row r="23" spans="1:16" ht="14.1" customHeight="1" x14ac:dyDescent="0.2">
      <c r="A23" s="877"/>
      <c r="B23" s="728" t="s">
        <v>238</v>
      </c>
      <c r="C23" s="729" t="s">
        <v>232</v>
      </c>
      <c r="D23" s="730">
        <f>IF(T!$A$4&gt;=D$50,D21/D$40,"")</f>
        <v>0.17151487523127137</v>
      </c>
      <c r="E23" s="730">
        <f>IF(T!$A$4&gt;=E$50,E21/E$40,"")</f>
        <v>0.17070746319383825</v>
      </c>
      <c r="F23" s="731">
        <f>IF(T!$A$4&gt;=F$50,F21/F$40,"")</f>
        <v>0.15821160283214028</v>
      </c>
      <c r="G23" s="730">
        <f>IF(T!$A$4&gt;=G$50,G21/G$40,"")</f>
        <v>0.13633171674494632</v>
      </c>
      <c r="H23" s="732">
        <f>IF(T!$A$4&gt;=H$50,H21/H$40,"")</f>
        <v>9.146242958777151E-2</v>
      </c>
      <c r="I23" s="733">
        <f>IF(T!$A$4&gt;=I$50,I21/I$40,"")</f>
        <v>5.8331993309206298E-2</v>
      </c>
      <c r="J23" s="732">
        <f>IF(T!$A$4&gt;=J$50,J21/J$40,"")</f>
        <v>4.5572245288125382E-2</v>
      </c>
      <c r="K23" s="732">
        <f>IF(T!$A$4&gt;=K$50,K21/K$40,"")</f>
        <v>4.8641339483420892E-2</v>
      </c>
      <c r="L23" s="733">
        <f>IF(T!$A$4&gt;=L$50,L21/L$40,"")</f>
        <v>7.3568454517671938E-2</v>
      </c>
      <c r="M23" s="732">
        <f>IF(T!$A$4&gt;=M$50,M21/M$40,"")</f>
        <v>0.13035705609051362</v>
      </c>
      <c r="N23" s="732">
        <f>IF(T!$A$4&gt;=N$50,N21/N$40,"")</f>
        <v>0.14821351237932359</v>
      </c>
      <c r="O23" s="732">
        <f>IF(T!$A$4&gt;=O$50,O21/O$40,"")</f>
        <v>0.18041747258048724</v>
      </c>
      <c r="P23" s="734">
        <f t="shared" ref="P23" si="4">P21/P$40</f>
        <v>0.13897169480519939</v>
      </c>
    </row>
    <row r="24" spans="1:16" ht="14.1" customHeight="1" x14ac:dyDescent="0.2">
      <c r="A24" s="877"/>
      <c r="B24" s="98" t="s">
        <v>0</v>
      </c>
      <c r="C24" s="567"/>
      <c r="D24" s="669">
        <f>IF(T!$A$4&gt;=D$50,INDEX([2]DS!$B38:$AK38,1,3*MONTH(D$5&amp;$A$3)-2),"")</f>
        <v>197927</v>
      </c>
      <c r="E24" s="669">
        <f>IF(T!$A$4&gt;=E$50,INDEX([2]DS!$B38:$AK38,1,3*MONTH(E$5&amp;$A$3)-2),"")</f>
        <v>197876</v>
      </c>
      <c r="F24" s="670">
        <f>IF(T!$A$4&gt;=F$50,INDEX([2]DS!$B38:$AK38,1,3*MONTH(F$5&amp;$A$3)-2),"")</f>
        <v>197840</v>
      </c>
      <c r="G24" s="669">
        <f>IF(T!$A$4&gt;=G$50,INDEX([2]DS!$B38:$AK38,1,3*MONTH(G$5&amp;$A$3)-2),"")</f>
        <v>197680</v>
      </c>
      <c r="H24" s="668">
        <f>IF(T!$A$4&gt;=H$50,INDEX([2]DS!$B38:$AK38,1,3*MONTH(H$5&amp;$A$3)-2),"")</f>
        <v>197545</v>
      </c>
      <c r="I24" s="671">
        <f>IF(T!$A$4&gt;=I$50,INDEX([2]DS!$B38:$AK38,1,3*MONTH(I$5&amp;$A$3)-2),"")</f>
        <v>197387</v>
      </c>
      <c r="J24" s="668">
        <f>IF(T!$A$4&gt;=J$50,INDEX([2]DS!$B38:$AK38,1,3*MONTH(J$5&amp;$A$3)-2),"")</f>
        <v>197112</v>
      </c>
      <c r="K24" s="668">
        <f>IF(T!$A$4&gt;=K$50,INDEX([2]DS!$B38:$AK38,1,3*MONTH(K$5&amp;$A$3)-2),"")</f>
        <v>198099</v>
      </c>
      <c r="L24" s="671">
        <f>IF(T!$A$4&gt;=L$50,INDEX([2]DS!$B38:$AK38,1,3*MONTH(L$5&amp;$A$3)-2),"")</f>
        <v>198280</v>
      </c>
      <c r="M24" s="668">
        <f>IF(T!$A$4&gt;=M$50,INDEX([2]DS!$B38:$AK38,1,3*MONTH(M$5&amp;$A$3)-2),"")</f>
        <v>198880</v>
      </c>
      <c r="N24" s="668">
        <f>IF(T!$A$4&gt;=N$50,INDEX([2]DS!$B38:$AK38,1,3*MONTH(N$5&amp;$A$3)-2),"")</f>
        <v>199334</v>
      </c>
      <c r="O24" s="668">
        <f>IF(T!$A$4&gt;=O$50,INDEX([2]DS!$B38:$AK38,1,3*MONTH(O$5&amp;$A$3)-2),"")</f>
        <v>199725</v>
      </c>
      <c r="P24" s="683">
        <f>O24</f>
        <v>199725</v>
      </c>
    </row>
    <row r="25" spans="1:16" ht="14.1" customHeight="1" x14ac:dyDescent="0.2">
      <c r="A25" s="877"/>
      <c r="B25" s="568" t="s">
        <v>239</v>
      </c>
      <c r="C25" s="567" t="s">
        <v>232</v>
      </c>
      <c r="D25" s="672">
        <f>IF(T!$A$4&gt;=D$50,D24/D$42,"")</f>
        <v>6.946883770165678E-2</v>
      </c>
      <c r="E25" s="680">
        <f>IF(T!$A$4&gt;=E$50,E24/E$42,"")</f>
        <v>6.9459470274831694E-2</v>
      </c>
      <c r="F25" s="673">
        <f>IF(T!$A$4&gt;=F$50,F24/F$42,"")</f>
        <v>6.9481515612971376E-2</v>
      </c>
      <c r="G25" s="672">
        <f>IF(T!$A$4&gt;=G$50,G24/G$42,"")</f>
        <v>6.9457352138726378E-2</v>
      </c>
      <c r="H25" s="387">
        <f>IF(T!$A$4&gt;=H$50,H24/H$42,"")</f>
        <v>6.943726796539261E-2</v>
      </c>
      <c r="I25" s="674">
        <f>IF(T!$A$4&gt;=I$50,I24/I$42,"")</f>
        <v>6.9420211615462663E-2</v>
      </c>
      <c r="J25" s="387">
        <f>IF(T!$A$4&gt;=J$50,J24/J$42,"")</f>
        <v>6.9369263790920885E-2</v>
      </c>
      <c r="K25" s="387">
        <f>IF(T!$A$4&gt;=K$50,K24/K$42,"")</f>
        <v>6.977805815947731E-2</v>
      </c>
      <c r="L25" s="674">
        <f>IF(T!$A$4&gt;=L$50,L24/L$42,"")</f>
        <v>6.9840558668112229E-2</v>
      </c>
      <c r="M25" s="387">
        <f>IF(T!$A$4&gt;=M$50,M24/M$42,"")</f>
        <v>7.0016507814015486E-2</v>
      </c>
      <c r="N25" s="387">
        <f>IF(T!$A$4&gt;=N$50,N24/N$42,"")</f>
        <v>7.0129233202726862E-2</v>
      </c>
      <c r="O25" s="387">
        <f>IF(T!$A$4&gt;=O$50,O24/O$42,"")</f>
        <v>7.0218546767011183E-2</v>
      </c>
      <c r="P25" s="681">
        <f>IF(T!$A$4&gt;=O$50,P24/P$42,"")</f>
        <v>7.0218546767011183E-2</v>
      </c>
    </row>
    <row r="26" spans="1:16" ht="5.0999999999999996" customHeight="1" x14ac:dyDescent="0.2">
      <c r="A26" s="878"/>
      <c r="B26" s="578"/>
      <c r="C26" s="576"/>
      <c r="D26" s="546"/>
      <c r="E26" s="546"/>
      <c r="F26" s="577"/>
      <c r="G26" s="546"/>
      <c r="H26" s="548"/>
      <c r="I26" s="549"/>
      <c r="J26" s="548"/>
      <c r="K26" s="548"/>
      <c r="L26" s="549"/>
      <c r="M26" s="548"/>
      <c r="N26" s="548"/>
      <c r="O26" s="548"/>
      <c r="P26" s="590"/>
    </row>
    <row r="27" spans="1:16" ht="5.0999999999999996" customHeight="1" x14ac:dyDescent="0.2">
      <c r="A27" s="881" t="s">
        <v>9</v>
      </c>
      <c r="B27" s="518"/>
      <c r="C27" s="519"/>
      <c r="D27" s="498"/>
      <c r="E27" s="498"/>
      <c r="F27" s="520"/>
      <c r="G27" s="498"/>
      <c r="H27" s="498"/>
      <c r="I27" s="520"/>
      <c r="J27" s="498"/>
      <c r="K27" s="498"/>
      <c r="L27" s="520"/>
      <c r="M27" s="498"/>
      <c r="N27" s="498"/>
      <c r="O27" s="682"/>
      <c r="P27" s="588"/>
    </row>
    <row r="28" spans="1:16" ht="14.1" customHeight="1" x14ac:dyDescent="0.2">
      <c r="A28" s="877"/>
      <c r="B28" s="98" t="s">
        <v>240</v>
      </c>
      <c r="C28" s="567" t="s">
        <v>231</v>
      </c>
      <c r="D28" s="542">
        <f>IF(T!$A$4&gt;=D$50,INDEX([2]DS!$B39:$AK39,1,3*MONTH(D$5&amp;$A$3)-1)/1000,"")</f>
        <v>380.09252846704175</v>
      </c>
      <c r="E28" s="542">
        <f>IF(T!$A$4&gt;=E$50,INDEX([2]DS!$B39:$AK39,1,3*MONTH(E$5&amp;$A$3)-1)/1000,"")</f>
        <v>345.72292906950554</v>
      </c>
      <c r="F28" s="569">
        <f>IF(T!$A$4&gt;=F$50,INDEX([2]DS!$B39:$AK39,1,3*MONTH(F$5&amp;$A$3)-1)/1000,"")</f>
        <v>279.45456243630036</v>
      </c>
      <c r="G28" s="542">
        <f>IF(T!$A$4&gt;=G$50,INDEX([2]DS!$B39:$AK39,1,3*MONTH(G$5&amp;$A$3)-1)/1000,"")</f>
        <v>174.77195921512549</v>
      </c>
      <c r="H28" s="529">
        <f>IF(T!$A$4&gt;=H$50,INDEX([2]DS!$B39:$AK39,1,3*MONTH(H$5&amp;$A$3)-1)/1000,"")</f>
        <v>77.136066298959577</v>
      </c>
      <c r="I28" s="544">
        <f>IF(T!$A$4&gt;=I$50,INDEX([2]DS!$B39:$AK39,1,3*MONTH(I$5&amp;$A$3)-1)/1000,"")</f>
        <v>39.043001396776461</v>
      </c>
      <c r="J28" s="529">
        <f>IF(T!$A$4&gt;=J$50,INDEX([2]DS!$B39:$AK39,1,3*MONTH(J$5&amp;$A$3)-1)/1000,"")</f>
        <v>29.129814545295432</v>
      </c>
      <c r="K28" s="529">
        <f>IF(T!$A$4&gt;=K$50,INDEX([2]DS!$B39:$AK39,1,3*MONTH(K$5&amp;$A$3)-1)/1000,"")</f>
        <v>28.914014484539642</v>
      </c>
      <c r="L28" s="544">
        <f>IF(T!$A$4&gt;=L$50,INDEX([2]DS!$B39:$AK39,1,3*MONTH(L$5&amp;$A$3)-1)/1000,"")</f>
        <v>53.366764975053222</v>
      </c>
      <c r="M28" s="529">
        <f>IF(T!$A$4&gt;=M$50,INDEX([2]DS!$B39:$AK39,1,3*MONTH(M$5&amp;$A$3)-1)/1000,"")</f>
        <v>185.52726591199999</v>
      </c>
      <c r="N28" s="529">
        <f>IF(T!$A$4&gt;=N$50,INDEX([2]DS!$B39:$AK39,1,3*MONTH(N$5&amp;$A$3)-1)/1000,"")</f>
        <v>242.91110670985461</v>
      </c>
      <c r="O28" s="529">
        <f>IF(T!$A$4&gt;=O$50,INDEX([2]DS!$B39:$AK39,1,3*MONTH(O$5&amp;$A$3)-1)/1000,"")</f>
        <v>335.21252807149835</v>
      </c>
      <c r="P28" s="589">
        <f>SUM(D28:O28)</f>
        <v>2171.2825415819507</v>
      </c>
    </row>
    <row r="29" spans="1:16" ht="14.1" customHeight="1" x14ac:dyDescent="0.2">
      <c r="A29" s="877"/>
      <c r="B29" s="98" t="s">
        <v>240</v>
      </c>
      <c r="C29" s="567" t="s">
        <v>284</v>
      </c>
      <c r="D29" s="542">
        <f>IF(T!$A$4&gt;=D$50,INDEX([2]DS!$B39:$AK39,1,3*MONTH(D$5&amp;$A$3))/1000,"")</f>
        <v>4040.0918949251254</v>
      </c>
      <c r="E29" s="542">
        <f>IF(T!$A$4&gt;=E$50,INDEX([2]DS!$B39:$AK39,1,3*MONTH(E$5&amp;$A$3))/1000,"")</f>
        <v>3676.2133806149886</v>
      </c>
      <c r="F29" s="569">
        <f>IF(T!$A$4&gt;=F$50,INDEX([2]DS!$B39:$AK39,1,3*MONTH(F$5&amp;$A$3))/1000,"")</f>
        <v>2970.9536981429555</v>
      </c>
      <c r="G29" s="542">
        <f>IF(T!$A$4&gt;=G$50,INDEX([2]DS!$B39:$AK39,1,3*MONTH(G$5&amp;$A$3))/1000,"")</f>
        <v>1859.4300816773416</v>
      </c>
      <c r="H29" s="529">
        <f>IF(T!$A$4&gt;=H$50,INDEX([2]DS!$B39:$AK39,1,3*MONTH(H$5&amp;$A$3))/1000,"")</f>
        <v>825.57538601090027</v>
      </c>
      <c r="I29" s="544">
        <f>IF(T!$A$4&gt;=I$50,INDEX([2]DS!$B39:$AK39,1,3*MONTH(I$5&amp;$A$3))/1000,"")</f>
        <v>417.97597447660297</v>
      </c>
      <c r="J29" s="529">
        <f>IF(T!$A$4&gt;=J$50,INDEX([2]DS!$B39:$AK39,1,3*MONTH(J$5&amp;$A$3))/1000,"")</f>
        <v>310.81410196012069</v>
      </c>
      <c r="K29" s="529">
        <f>IF(T!$A$4&gt;=K$50,INDEX([2]DS!$B39:$AK39,1,3*MONTH(K$5&amp;$A$3))/1000,"")</f>
        <v>309.73479730122267</v>
      </c>
      <c r="L29" s="544">
        <f>IF(T!$A$4&gt;=L$50,INDEX([2]DS!$B39:$AK39,1,3*MONTH(L$5&amp;$A$3))/1000,"")</f>
        <v>570.83982296990575</v>
      </c>
      <c r="M29" s="529">
        <f>IF(T!$A$4&gt;=M$50,INDEX([2]DS!$B39:$AK39,1,3*MONTH(M$5&amp;$A$3))/1000,"")</f>
        <v>1981.6876088210665</v>
      </c>
      <c r="N29" s="529">
        <f>IF(T!$A$4&gt;=N$50,INDEX([2]DS!$B39:$AK39,1,3*MONTH(N$5&amp;$A$3))/1000,"")</f>
        <v>2589.0517452556419</v>
      </c>
      <c r="O29" s="529">
        <f>IF(T!$A$4&gt;=O$50,INDEX([2]DS!$B39:$AK39,1,3*MONTH(O$5&amp;$A$3))/1000,"")</f>
        <v>3570.581641435037</v>
      </c>
      <c r="P29" s="589">
        <f t="shared" ref="P29" si="5">SUM(D29:O29)</f>
        <v>23122.950133590908</v>
      </c>
    </row>
    <row r="30" spans="1:16" ht="14.1" customHeight="1" x14ac:dyDescent="0.2">
      <c r="A30" s="877"/>
      <c r="B30" s="728" t="s">
        <v>238</v>
      </c>
      <c r="C30" s="729" t="s">
        <v>232</v>
      </c>
      <c r="D30" s="730">
        <f>IF(T!$A$4&gt;=D$50,D28/D$40,"")</f>
        <v>0.35152066884388633</v>
      </c>
      <c r="E30" s="730">
        <f>IF(T!$A$4&gt;=E$50,E28/E$40,"")</f>
        <v>0.34926201708418608</v>
      </c>
      <c r="F30" s="731">
        <f>IF(T!$A$4&gt;=F$50,F28/F$40,"")</f>
        <v>0.32286988989858412</v>
      </c>
      <c r="G30" s="730">
        <f>IF(T!$A$4&gt;=G$50,G28/G$40,"")</f>
        <v>0.28061901705768372</v>
      </c>
      <c r="H30" s="732">
        <f>IF(T!$A$4&gt;=H$50,H28/H$40,"")</f>
        <v>0.1905668124573833</v>
      </c>
      <c r="I30" s="733">
        <f>IF(T!$A$4&gt;=I$50,I28/I$40,"")</f>
        <v>0.1241794397243443</v>
      </c>
      <c r="J30" s="732">
        <f>IF(T!$A$4&gt;=J$50,J28/J$40,"")</f>
        <v>9.7737094515809322E-2</v>
      </c>
      <c r="K30" s="732">
        <f>IF(T!$A$4&gt;=K$50,K28/K$40,"")</f>
        <v>0.10431550933640082</v>
      </c>
      <c r="L30" s="733">
        <f>IF(T!$A$4&gt;=L$50,L28/L$40,"")</f>
        <v>0.15133409723542182</v>
      </c>
      <c r="M30" s="732">
        <f>IF(T!$A$4&gt;=M$50,M28/M$40,"")</f>
        <v>0.26808209249055065</v>
      </c>
      <c r="N30" s="732">
        <f>IF(T!$A$4&gt;=N$50,N28/N$40,"")</f>
        <v>0.30137241109525048</v>
      </c>
      <c r="O30" s="732">
        <f>IF(T!$A$4&gt;=O$50,O28/O$40,"")</f>
        <v>0.37123217815558818</v>
      </c>
      <c r="P30" s="734">
        <f t="shared" ref="P30" si="6">P28/P$40</f>
        <v>0.28541058919691942</v>
      </c>
    </row>
    <row r="31" spans="1:16" ht="14.1" customHeight="1" x14ac:dyDescent="0.2">
      <c r="A31" s="877"/>
      <c r="B31" s="98" t="s">
        <v>0</v>
      </c>
      <c r="C31" s="567"/>
      <c r="D31" s="669">
        <f>IF(T!$A$4&gt;=D$50,INDEX([2]DS!$B39:$AK39,1,3*MONTH(D$5&amp;$A$3)-2),"")</f>
        <v>2642786</v>
      </c>
      <c r="E31" s="669">
        <f>IF(T!$A$4&gt;=E$50,INDEX([2]DS!$B39:$AK39,1,3*MONTH(E$5&amp;$A$3)-2),"")</f>
        <v>2642487</v>
      </c>
      <c r="F31" s="670">
        <f>IF(T!$A$4&gt;=F$50,INDEX([2]DS!$B39:$AK39,1,3*MONTH(F$5&amp;$A$3)-2),"")</f>
        <v>2641197</v>
      </c>
      <c r="G31" s="669">
        <f>IF(T!$A$4&gt;=G$50,INDEX([2]DS!$B39:$AK39,1,3*MONTH(G$5&amp;$A$3)-2),"")</f>
        <v>2640050</v>
      </c>
      <c r="H31" s="668">
        <f>IF(T!$A$4&gt;=H$50,INDEX([2]DS!$B39:$AK39,1,3*MONTH(H$5&amp;$A$3)-2),"")</f>
        <v>2639058</v>
      </c>
      <c r="I31" s="671">
        <f>IF(T!$A$4&gt;=I$50,INDEX([2]DS!$B39:$AK39,1,3*MONTH(I$5&amp;$A$3)-2),"")</f>
        <v>2637627</v>
      </c>
      <c r="J31" s="668">
        <f>IF(T!$A$4&gt;=J$50,INDEX([2]DS!$B39:$AK39,1,3*MONTH(J$5&amp;$A$3)-2),"")</f>
        <v>2636018</v>
      </c>
      <c r="K31" s="668">
        <f>IF(T!$A$4&gt;=K$50,INDEX([2]DS!$B39:$AK39,1,3*MONTH(K$5&amp;$A$3)-2),"")</f>
        <v>2632516</v>
      </c>
      <c r="L31" s="671">
        <f>IF(T!$A$4&gt;=L$50,INDEX([2]DS!$B39:$AK39,1,3*MONTH(L$5&amp;$A$3)-2),"")</f>
        <v>2632371</v>
      </c>
      <c r="M31" s="668">
        <f>IF(T!$A$4&gt;=M$50,INDEX([2]DS!$B39:$AK39,1,3*MONTH(M$5&amp;$A$3)-2),"")</f>
        <v>2633194</v>
      </c>
      <c r="N31" s="668">
        <f>IF(T!$A$4&gt;=N$50,INDEX([2]DS!$B39:$AK39,1,3*MONTH(N$5&amp;$A$3)-2),"")</f>
        <v>2634638</v>
      </c>
      <c r="O31" s="668">
        <f>IF(T!$A$4&gt;=O$50,INDEX([2]DS!$B39:$AK39,1,3*MONTH(O$5&amp;$A$3)-2),"")</f>
        <v>2636189</v>
      </c>
      <c r="P31" s="683">
        <f>O31</f>
        <v>2636189</v>
      </c>
    </row>
    <row r="32" spans="1:16" ht="14.1" customHeight="1" x14ac:dyDescent="0.2">
      <c r="A32" s="877"/>
      <c r="B32" s="568" t="s">
        <v>239</v>
      </c>
      <c r="C32" s="567" t="s">
        <v>232</v>
      </c>
      <c r="D32" s="672">
        <f>IF(T!$A$4&gt;=D$50,D31/D$42,"")</f>
        <v>0.92757062813163793</v>
      </c>
      <c r="E32" s="680">
        <f>IF(T!$A$4&gt;=E$50,E31/E$42,"")</f>
        <v>0.92757963183068792</v>
      </c>
      <c r="F32" s="673">
        <f>IF(T!$A$4&gt;=F$50,F31/F$42,"")</f>
        <v>0.92758982305111792</v>
      </c>
      <c r="G32" s="672">
        <f>IF(T!$A$4&gt;=G$50,G31/G$42,"")</f>
        <v>0.92761474359492391</v>
      </c>
      <c r="H32" s="387">
        <f>IF(T!$A$4&gt;=H$50,H31/H$42,"")</f>
        <v>0.92763156507232836</v>
      </c>
      <c r="I32" s="674">
        <f>IF(T!$A$4&gt;=I$50,I31/I$42,"")</f>
        <v>0.92764277537354511</v>
      </c>
      <c r="J32" s="387">
        <f>IF(T!$A$4&gt;=J$50,J31/J$42,"")</f>
        <v>0.92768896870619599</v>
      </c>
      <c r="K32" s="387">
        <f>IF(T!$A$4&gt;=K$50,K31/K$42,"")</f>
        <v>0.927273002659047</v>
      </c>
      <c r="L32" s="674">
        <f>IF(T!$A$4&gt;=L$50,L31/L$42,"")</f>
        <v>0.9272052716448318</v>
      </c>
      <c r="M32" s="387">
        <f>IF(T!$A$4&gt;=M$50,M31/M$42,"")</f>
        <v>0.92702659028971579</v>
      </c>
      <c r="N32" s="387">
        <f>IF(T!$A$4&gt;=N$50,N31/N$42,"")</f>
        <v>0.92691233159805109</v>
      </c>
      <c r="O32" s="387">
        <f>IF(T!$A$4&gt;=O$50,O31/O$42,"")</f>
        <v>0.92682118204120889</v>
      </c>
      <c r="P32" s="681">
        <f>IF(T!$A$4&gt;=O$50,P31/P$42,"")</f>
        <v>0.92682118204120889</v>
      </c>
    </row>
    <row r="33" spans="1:16" ht="5.0999999999999996" customHeight="1" x14ac:dyDescent="0.2">
      <c r="A33" s="878"/>
      <c r="B33" s="578"/>
      <c r="C33" s="576"/>
      <c r="D33" s="546"/>
      <c r="E33" s="546"/>
      <c r="F33" s="577"/>
      <c r="G33" s="546"/>
      <c r="H33" s="548"/>
      <c r="I33" s="549"/>
      <c r="J33" s="548"/>
      <c r="K33" s="548"/>
      <c r="L33" s="549"/>
      <c r="M33" s="548"/>
      <c r="N33" s="548"/>
      <c r="O33" s="548"/>
      <c r="P33" s="590"/>
    </row>
    <row r="34" spans="1:16" ht="5.0999999999999996" customHeight="1" x14ac:dyDescent="0.2">
      <c r="A34" s="886" t="s">
        <v>162</v>
      </c>
      <c r="B34" s="518"/>
      <c r="C34" s="580"/>
      <c r="D34" s="581"/>
      <c r="E34" s="581"/>
      <c r="F34" s="582"/>
      <c r="G34" s="581"/>
      <c r="H34" s="581"/>
      <c r="I34" s="582"/>
      <c r="J34" s="581"/>
      <c r="K34" s="581"/>
      <c r="L34" s="582"/>
      <c r="M34" s="581"/>
      <c r="N34" s="581"/>
      <c r="O34" s="581"/>
      <c r="P34" s="591"/>
    </row>
    <row r="35" spans="1:16" ht="14.1" customHeight="1" x14ac:dyDescent="0.2">
      <c r="A35" s="887"/>
      <c r="B35" s="98" t="s">
        <v>240</v>
      </c>
      <c r="C35" s="567" t="s">
        <v>231</v>
      </c>
      <c r="D35" s="542">
        <f>IF(T!$A$4&gt;=D$50,INDEX([2]DS!$B40:$AK40,1,3*MONTH(D$5&amp;$A$3)-1)/1000,"")</f>
        <v>20.659968092408928</v>
      </c>
      <c r="E35" s="542">
        <f>IF(T!$A$4&gt;=E$50,INDEX([2]DS!$B40:$AK40,1,3*MONTH(E$5&amp;$A$3)-1)/1000,"")</f>
        <v>20.358369064683973</v>
      </c>
      <c r="F35" s="569">
        <f>IF(T!$A$4&gt;=F$50,INDEX([2]DS!$B40:$AK40,1,3*MONTH(F$5&amp;$A$3)-1)/1000,"")</f>
        <v>16.79553672233488</v>
      </c>
      <c r="G35" s="542">
        <f>IF(T!$A$4&gt;=G$50,INDEX([2]DS!$B40:$AK40,1,3*MONTH(G$5&amp;$A$3)-1)/1000,"")</f>
        <v>13.251335840089334</v>
      </c>
      <c r="H35" s="529">
        <f>IF(T!$A$4&gt;=H$50,INDEX([2]DS!$B40:$AK40,1,3*MONTH(H$5&amp;$A$3)-1)/1000,"")</f>
        <v>9.2838074360848868</v>
      </c>
      <c r="I35" s="544">
        <f>IF(T!$A$4&gt;=I$50,INDEX([2]DS!$B40:$AK40,1,3*MONTH(I$5&amp;$A$3)-1)/1000,"")</f>
        <v>7.1425826043619889</v>
      </c>
      <c r="J35" s="529">
        <f>IF(T!$A$4&gt;=J$50,INDEX([2]DS!$B40:$AK40,1,3*MONTH(J$5&amp;$A$3)-1)/1000,"")</f>
        <v>6.5637565002587888</v>
      </c>
      <c r="K35" s="529">
        <f>IF(T!$A$4&gt;=K$50,INDEX([2]DS!$B40:$AK40,1,3*MONTH(K$5&amp;$A$3)-1)/1000,"")</f>
        <v>6.1465765959707772</v>
      </c>
      <c r="L35" s="544">
        <f>IF(T!$A$4&gt;=L$50,INDEX([2]DS!$B40:$AK40,1,3*MONTH(L$5&amp;$A$3)-1)/1000,"")</f>
        <v>6.9680021695609975</v>
      </c>
      <c r="M35" s="529">
        <f>IF(T!$A$4&gt;=M$50,INDEX([2]DS!$B40:$AK40,1,3*MONTH(M$5&amp;$A$3)-1)/1000,"")</f>
        <v>13.349244900063427</v>
      </c>
      <c r="N35" s="529">
        <f>IF(T!$A$4&gt;=N$50,INDEX([2]DS!$B40:$AK40,1,3*MONTH(N$5&amp;$A$3)-1)/1000,"")</f>
        <v>15.308287072100779</v>
      </c>
      <c r="O35" s="529">
        <f>IF(T!$A$4&gt;=O$50,INDEX([2]DS!$B40:$AK40,1,3*MONTH(O$5&amp;$A$3)-1)/1000,"")</f>
        <v>-19.973216812698801</v>
      </c>
      <c r="P35" s="589">
        <f>SUM(D35:O35)</f>
        <v>115.85425018521994</v>
      </c>
    </row>
    <row r="36" spans="1:16" ht="14.1" customHeight="1" x14ac:dyDescent="0.2">
      <c r="A36" s="887"/>
      <c r="B36" s="98" t="s">
        <v>240</v>
      </c>
      <c r="C36" s="567" t="s">
        <v>284</v>
      </c>
      <c r="D36" s="542">
        <f>IF(T!$A$4&gt;=D$50,INDEX([2]DS!$B40:$AK40,1,3*MONTH(D$5&amp;$A$3))/1000,"")</f>
        <v>219.62695818</v>
      </c>
      <c r="E36" s="542">
        <f>IF(T!$A$4&gt;=E$50,INDEX([2]DS!$B40:$AK40,1,3*MONTH(E$5&amp;$A$3))/1000,"")</f>
        <v>216.47732603215218</v>
      </c>
      <c r="F36" s="569">
        <f>IF(T!$A$4&gt;=F$50,INDEX([2]DS!$B40:$AK40,1,3*MONTH(F$5&amp;$A$3))/1000,"")</f>
        <v>178.82983849000001</v>
      </c>
      <c r="G36" s="542">
        <f>IF(T!$A$4&gt;=G$50,INDEX([2]DS!$B40:$AK40,1,3*MONTH(G$5&amp;$A$3))/1000,"")</f>
        <v>141.00974815999996</v>
      </c>
      <c r="H36" s="529">
        <f>IF(T!$A$4&gt;=H$50,INDEX([2]DS!$B40:$AK40,1,3*MONTH(H$5&amp;$A$3))/1000,"")</f>
        <v>99.303309700000014</v>
      </c>
      <c r="I36" s="544">
        <f>IF(T!$A$4&gt;=I$50,INDEX([2]DS!$B40:$AK40,1,3*MONTH(I$5&amp;$A$3))/1000,"")</f>
        <v>76.709236539999992</v>
      </c>
      <c r="J36" s="529">
        <f>IF(T!$A$4&gt;=J$50,INDEX([2]DS!$B40:$AK40,1,3*MONTH(J$5&amp;$A$3))/1000,"")</f>
        <v>70.006053690000016</v>
      </c>
      <c r="K36" s="529">
        <f>IF(T!$A$4&gt;=K$50,INDEX([2]DS!$B40:$AK40,1,3*MONTH(K$5&amp;$A$3))/1000,"")</f>
        <v>65.895776350000006</v>
      </c>
      <c r="L36" s="544">
        <f>IF(T!$A$4&gt;=L$50,INDEX([2]DS!$B40:$AK40,1,3*MONTH(L$5&amp;$A$3))/1000,"")</f>
        <v>74.654790399999982</v>
      </c>
      <c r="M36" s="529">
        <f>IF(T!$A$4&gt;=M$50,INDEX([2]DS!$B40:$AK40,1,3*MONTH(M$5&amp;$A$3))/1000,"")</f>
        <v>142.73880907000006</v>
      </c>
      <c r="N36" s="529">
        <f>IF(T!$A$4&gt;=N$50,INDEX([2]DS!$B40:$AK40,1,3*MONTH(N$5&amp;$A$3))/1000,"")</f>
        <v>163.46614638</v>
      </c>
      <c r="O36" s="529">
        <f>IF(T!$A$4&gt;=O$50,INDEX([2]DS!$B40:$AK40,1,3*MONTH(O$5&amp;$A$3))/1000,"")</f>
        <v>-212.88994879999998</v>
      </c>
      <c r="P36" s="589">
        <f>SUM(D36:O36)</f>
        <v>1235.8280441921524</v>
      </c>
    </row>
    <row r="37" spans="1:16" ht="14.1" customHeight="1" x14ac:dyDescent="0.2">
      <c r="A37" s="887"/>
      <c r="B37" s="568" t="s">
        <v>238</v>
      </c>
      <c r="C37" s="575" t="s">
        <v>232</v>
      </c>
      <c r="D37" s="672">
        <f>IF(T!$A$4&gt;=D$50,D35/D$40,"")</f>
        <v>1.9106941752912325E-2</v>
      </c>
      <c r="E37" s="672">
        <f>IF(T!$A$4&gt;=E$50,E35/E$40,"")</f>
        <v>2.0566773118615787E-2</v>
      </c>
      <c r="F37" s="673">
        <f>IF(T!$A$4&gt;=F$50,F35/F$40,"")</f>
        <v>1.9404847231878602E-2</v>
      </c>
      <c r="G37" s="672">
        <f>IF(T!$A$4&gt;=G$50,G35/G$40,"")</f>
        <v>2.1276736009865037E-2</v>
      </c>
      <c r="H37" s="387">
        <f>IF(T!$A$4&gt;=H$50,H35/H$40,"")</f>
        <v>2.2935906320474524E-2</v>
      </c>
      <c r="I37" s="674">
        <f>IF(T!$A$4&gt;=I$50,I35/I$40,"")</f>
        <v>2.2717564589379919E-2</v>
      </c>
      <c r="J37" s="387">
        <f>IF(T!$A$4&gt;=J$50,J35/J$40,"")</f>
        <v>2.2022882721996567E-2</v>
      </c>
      <c r="K37" s="387">
        <f>IF(T!$A$4&gt;=K$50,K35/K$40,"")</f>
        <v>2.2175518678899945E-2</v>
      </c>
      <c r="L37" s="674">
        <f>IF(T!$A$4&gt;=L$50,L35/L$40,"")</f>
        <v>1.975941990034262E-2</v>
      </c>
      <c r="M37" s="387">
        <f>IF(T!$A$4&gt;=M$50,M35/M$40,"")</f>
        <v>1.9289313020304386E-2</v>
      </c>
      <c r="N37" s="387">
        <f>IF(T!$A$4&gt;=N$50,N35/N$40,"")</f>
        <v>1.8992525484509269E-2</v>
      </c>
      <c r="O37" s="387">
        <f>IF(T!$A$4&gt;=O$50,O35/O$40,"")</f>
        <v>-2.2119402352917102E-2</v>
      </c>
      <c r="P37" s="681">
        <f t="shared" ref="P37" si="7">P35/P$40</f>
        <v>1.5228801030307054E-2</v>
      </c>
    </row>
    <row r="38" spans="1:16" ht="5.0999999999999996" customHeight="1" thickBot="1" x14ac:dyDescent="0.25">
      <c r="A38" s="888"/>
      <c r="B38" s="583"/>
      <c r="C38" s="584"/>
      <c r="D38" s="585"/>
      <c r="E38" s="585"/>
      <c r="F38" s="585"/>
      <c r="G38" s="583"/>
      <c r="H38" s="585"/>
      <c r="I38" s="586"/>
      <c r="J38" s="585"/>
      <c r="K38" s="585"/>
      <c r="L38" s="585"/>
      <c r="M38" s="583"/>
      <c r="N38" s="585"/>
      <c r="O38" s="585"/>
      <c r="P38" s="592"/>
    </row>
    <row r="39" spans="1:16" ht="5.0999999999999996" customHeight="1" thickTop="1" x14ac:dyDescent="0.2">
      <c r="A39" s="889" t="s">
        <v>5</v>
      </c>
      <c r="B39" s="597"/>
      <c r="C39" s="598"/>
      <c r="D39" s="599"/>
      <c r="E39" s="599"/>
      <c r="F39" s="600"/>
      <c r="G39" s="599"/>
      <c r="H39" s="599"/>
      <c r="I39" s="600"/>
      <c r="J39" s="599"/>
      <c r="K39" s="599"/>
      <c r="L39" s="600"/>
      <c r="M39" s="599"/>
      <c r="N39" s="599"/>
      <c r="O39" s="599"/>
      <c r="P39" s="601"/>
    </row>
    <row r="40" spans="1:16" x14ac:dyDescent="0.2">
      <c r="A40" s="889"/>
      <c r="B40" s="563" t="s">
        <v>240</v>
      </c>
      <c r="C40" s="565" t="s">
        <v>231</v>
      </c>
      <c r="D40" s="521">
        <f>IF(T!$A$4&gt;=D$50,D7+D14+D21+D28+D35,"")</f>
        <v>1081.2807386749837</v>
      </c>
      <c r="E40" s="522">
        <f>IF(T!$A$4&gt;=E$50,E7+E14+E21+E28+E35,"")</f>
        <v>989.86695420181502</v>
      </c>
      <c r="F40" s="523">
        <f>IF(T!$A$4&gt;=F$50,F7+F14+F21+F28+F35,"")</f>
        <v>865.53305582034659</v>
      </c>
      <c r="G40" s="522">
        <f>IF(T!$A$4&gt;=G$50,G7+G14+G21+G28+G35,"")</f>
        <v>622.80867864061963</v>
      </c>
      <c r="H40" s="521">
        <f>IF(T!$A$4&gt;=H$50,H7+H14+H21+H28+H35,"")</f>
        <v>404.77177166517185</v>
      </c>
      <c r="I40" s="524">
        <f>IF(T!$A$4&gt;=I$50,I7+I14+I21+I28+I35,"")</f>
        <v>314.40793647841224</v>
      </c>
      <c r="J40" s="521">
        <f>IF(T!$A$4&gt;=J$50,J7+J14+J21+J28+J35,"")</f>
        <v>298.04256704790401</v>
      </c>
      <c r="K40" s="521">
        <f>IF(T!$A$4&gt;=K$50,K7+K14+K21+K28+K35,"")</f>
        <v>277.17848159372517</v>
      </c>
      <c r="L40" s="524">
        <f>IF(T!$A$4&gt;=L$50,L7+L14+L21+L28+L35,"")</f>
        <v>352.64204135062562</v>
      </c>
      <c r="M40" s="521">
        <f>IF(T!$A$4&gt;=M$50,M7+M14+M21+M28+M35,"")</f>
        <v>692.05393090006351</v>
      </c>
      <c r="N40" s="521">
        <f>IF(T!$A$4&gt;=N$50,N7+N14+N21+N28+N35,"")</f>
        <v>806.01640285208839</v>
      </c>
      <c r="O40" s="521">
        <f>IF(T!$A$4&gt;=O$50,O7+O14+O21+O28+O35,"")</f>
        <v>902.97271571918122</v>
      </c>
      <c r="P40" s="594">
        <f>SUM(D40:O40)</f>
        <v>7607.5752749449375</v>
      </c>
    </row>
    <row r="41" spans="1:16" x14ac:dyDescent="0.2">
      <c r="A41" s="889"/>
      <c r="B41" s="735" t="s">
        <v>240</v>
      </c>
      <c r="C41" s="736" t="s">
        <v>284</v>
      </c>
      <c r="D41" s="737">
        <f>IF(T!$A$4&gt;=D$50,D8+D15+D22+D29+D36,"")</f>
        <v>11492.758327891857</v>
      </c>
      <c r="E41" s="737">
        <f>IF(T!$A$4&gt;=E$50,E8+E15+E22+E29+E36,"")</f>
        <v>10525.401374383</v>
      </c>
      <c r="F41" s="738">
        <f>IF(T!$A$4&gt;=F$50,F8+F15+F22+F29+F36,"")</f>
        <v>9201.9028527498376</v>
      </c>
      <c r="G41" s="737">
        <f>IF(T!$A$4&gt;=G$50,G8+G15+G22+G29+G36,"")</f>
        <v>6626.1086613249508</v>
      </c>
      <c r="H41" s="739">
        <f>IF(T!$A$4&gt;=H$50,H8+H15+H22+H29+H36,"")</f>
        <v>4332.1303739099976</v>
      </c>
      <c r="I41" s="740">
        <f>IF(T!$A$4&gt;=I$50,I8+I15+I22+I29+I36,"")</f>
        <v>3367.313609410005</v>
      </c>
      <c r="J41" s="739">
        <f>IF(T!$A$4&gt;=J$50,J8+J15+J22+J29+J36,"")</f>
        <v>3182.4140288225449</v>
      </c>
      <c r="K41" s="739">
        <f>IF(T!$A$4&gt;=K$50,K8+K15+K22+K29+K36,"")</f>
        <v>2969.3582231390083</v>
      </c>
      <c r="L41" s="740">
        <f>IF(T!$A$4&gt;=L$50,L8+L15+L22+L29+L36,"")</f>
        <v>3772.0559250699825</v>
      </c>
      <c r="M41" s="739">
        <f>IF(T!$A$4&gt;=M$50,M8+M15+M22+M29+M36,"")</f>
        <v>7391.5791675299606</v>
      </c>
      <c r="N41" s="739">
        <f>IF(T!$A$4&gt;=N$50,N8+N15+N22+N29+N36,"")</f>
        <v>8590.0429818340017</v>
      </c>
      <c r="O41" s="739">
        <f>IF(T!$A$4&gt;=O$50,O8+O15+O22+O29+O36,"")</f>
        <v>9616.7596639031162</v>
      </c>
      <c r="P41" s="741">
        <f t="shared" ref="P41" si="8">SUM(D41:O41)</f>
        <v>81067.825189968265</v>
      </c>
    </row>
    <row r="42" spans="1:16" x14ac:dyDescent="0.2">
      <c r="A42" s="889"/>
      <c r="B42" s="563" t="s">
        <v>0</v>
      </c>
      <c r="C42" s="565"/>
      <c r="D42" s="675">
        <f>IF(T!$A$4&gt;=D$50,SUM(D10+D17+D24+D31),"")</f>
        <v>2849148</v>
      </c>
      <c r="E42" s="675">
        <f>IF(T!$A$4&gt;=E$50,SUM(E10+E17+E24+E31),"")</f>
        <v>2848798</v>
      </c>
      <c r="F42" s="676">
        <f>IF(T!$A$4&gt;=F$50,SUM(F10+F17+F24+F31),"")</f>
        <v>2847376</v>
      </c>
      <c r="G42" s="675">
        <f>IF(T!$A$4&gt;=G$50,SUM(G10+G17+G24+G31),"")</f>
        <v>2846063</v>
      </c>
      <c r="H42" s="677">
        <f>IF(T!$A$4&gt;=H$50,SUM(H10+H17+H24+H31),"")</f>
        <v>2844942</v>
      </c>
      <c r="I42" s="678">
        <f>IF(T!$A$4&gt;=I$50,SUM(I10+I17+I24+I31),"")</f>
        <v>2843365</v>
      </c>
      <c r="J42" s="677">
        <f>IF(T!$A$4&gt;=J$50,SUM(J10+J17+J24+J31),"")</f>
        <v>2841489</v>
      </c>
      <c r="K42" s="677">
        <f>IF(T!$A$4&gt;=K$50,SUM(K10+K17+K24+K31),"")</f>
        <v>2838987</v>
      </c>
      <c r="L42" s="678">
        <f>IF(T!$A$4&gt;=L$50,SUM(L10+L17+L24+L31),"")</f>
        <v>2839038</v>
      </c>
      <c r="M42" s="677">
        <f>IF(T!$A$4&gt;=M$50,SUM(M10+M17+M24+M31),"")</f>
        <v>2840473</v>
      </c>
      <c r="N42" s="677">
        <f>IF(T!$A$4&gt;=N$50,SUM(N10+N17+N24+N31),"")</f>
        <v>2842381</v>
      </c>
      <c r="O42" s="677">
        <f>IF(T!$A$4&gt;=O$50,SUM(O10+O17+O24+O31),"")</f>
        <v>2844334</v>
      </c>
      <c r="P42" s="684">
        <f>O42</f>
        <v>2844334</v>
      </c>
    </row>
    <row r="43" spans="1:16" ht="5.0999999999999996" customHeight="1" x14ac:dyDescent="0.2">
      <c r="A43" s="890"/>
      <c r="B43" s="608"/>
      <c r="C43" s="609"/>
      <c r="D43" s="603"/>
      <c r="E43" s="603"/>
      <c r="F43" s="604"/>
      <c r="G43" s="603"/>
      <c r="H43" s="605"/>
      <c r="I43" s="606"/>
      <c r="J43" s="605"/>
      <c r="K43" s="605"/>
      <c r="L43" s="606"/>
      <c r="M43" s="605"/>
      <c r="N43" s="605"/>
      <c r="O43" s="605"/>
      <c r="P43" s="607"/>
    </row>
    <row r="44" spans="1:16" ht="5.0999999999999996" customHeight="1" x14ac:dyDescent="0.2">
      <c r="B44" s="509"/>
      <c r="C44" s="579"/>
      <c r="G44" s="509"/>
      <c r="H44" s="504"/>
      <c r="I44" s="503"/>
      <c r="M44" s="509"/>
      <c r="N44" s="504"/>
      <c r="O44" s="504"/>
      <c r="P44" s="593"/>
    </row>
    <row r="45" spans="1:16" x14ac:dyDescent="0.2">
      <c r="P45" s="39"/>
    </row>
    <row r="46" spans="1:16" ht="5.0999999999999996" customHeight="1" x14ac:dyDescent="0.2">
      <c r="A46" s="39"/>
      <c r="B46" s="39"/>
      <c r="C46" s="760"/>
      <c r="D46" s="761"/>
      <c r="E46" s="39"/>
      <c r="F46" s="762"/>
      <c r="G46" s="39"/>
      <c r="H46" s="39"/>
      <c r="I46" s="39"/>
      <c r="J46" s="761"/>
      <c r="K46" s="39"/>
      <c r="L46" s="762"/>
      <c r="M46" s="39"/>
      <c r="N46" s="39"/>
      <c r="O46" s="39"/>
      <c r="P46" s="763"/>
    </row>
    <row r="47" spans="1:16" x14ac:dyDescent="0.2">
      <c r="A47" s="884" t="s">
        <v>285</v>
      </c>
      <c r="B47" s="884"/>
      <c r="C47" s="764" t="s">
        <v>286</v>
      </c>
      <c r="D47" s="768">
        <f>IF(T!$A$4&gt;=D$50,INDEX('[9]2015'!$B$6:$AW$6,1,4*D$50-3)/1000,"")</f>
        <v>32.793244577459717</v>
      </c>
      <c r="E47" s="770">
        <f>IF(T!$A$4&gt;=E$50,INDEX('[9]2015'!$B$6:$AW$6,1,4*E$50-3)/1000,"")</f>
        <v>26.878824805038349</v>
      </c>
      <c r="F47" s="771">
        <f>IF(T!$A$4&gt;=F$50,INDEX('[9]2015'!$B$6:$AW$6,1,4*F$50-3)/1000,"")</f>
        <v>20.451244841267822</v>
      </c>
      <c r="G47" s="770">
        <f>IF(T!$A$4&gt;=G$50,INDEX('[9]2015'!$B$6:$AW$6,1,4*G$50-3)/1000,"")</f>
        <v>15.537596976853051</v>
      </c>
      <c r="H47" s="770">
        <f>IF(T!$A$4&gt;=H$50,INDEX('[9]2015'!$B$6:$AW$6,1,4*H$50-3)/1000,"")</f>
        <v>11.702739657456808</v>
      </c>
      <c r="I47" s="770">
        <f>IF(T!$A$4&gt;=I$50,INDEX('[9]2015'!$B$6:$AW$6,1,4*I$50-3)/1000,"")</f>
        <v>9.6252015760092089</v>
      </c>
      <c r="J47" s="768">
        <f>IF(T!$A$4&gt;=J$50,INDEX('[9]2015'!$B$6:$AW$6,1,4*J$50-3)/1000,"")</f>
        <v>20.304203663778914</v>
      </c>
      <c r="K47" s="770">
        <f>IF(T!$A$4&gt;=K$50,INDEX('[9]2015'!$B$6:$AW$6,1,4*K$50-3)/1000,"")</f>
        <v>15.329106080412902</v>
      </c>
      <c r="L47" s="771">
        <f>IF(T!$A$4&gt;=L$50,INDEX('[9]2015'!$B$6:$AW$6,1,4*L$50-3)/1000,"")</f>
        <v>18.940810364605611</v>
      </c>
      <c r="M47" s="770">
        <f>IF(T!$A$4&gt;=M$50,INDEX('[9]2015'!$B$6:$AW$6,1,4*M$50-3)/1000,"")</f>
        <v>46.780123820423071</v>
      </c>
      <c r="N47" s="770">
        <f>IF(T!$A$4&gt;=N$50,INDEX('[9]2015'!$B$6:$AW$6,1,4*N$50-3)/1000,"")</f>
        <v>42.183805870904258</v>
      </c>
      <c r="O47" s="770">
        <f>IF(T!$A$4&gt;=O$50,INDEX('[9]2015'!$B$6:$AW$6,1,4*O$50-3)/1000,"")</f>
        <v>28.24329527078179</v>
      </c>
      <c r="P47" s="765">
        <f>SUM(D47:O47)</f>
        <v>288.77019750499153</v>
      </c>
    </row>
    <row r="48" spans="1:16" x14ac:dyDescent="0.2">
      <c r="A48" s="885" t="s">
        <v>285</v>
      </c>
      <c r="B48" s="885"/>
      <c r="C48" s="766" t="s">
        <v>284</v>
      </c>
      <c r="D48" s="769">
        <f>IF(T!$A$4&gt;=D$50,INDEX('[9]2015'!$B$6:$AW$6,1,4*D$50-2)/1000,"")</f>
        <v>348.5541000000004</v>
      </c>
      <c r="E48" s="772">
        <f>IF(T!$A$4&gt;=E$50,INDEX('[9]2015'!$B$6:$AW$6,1,4*E$50-2)/1000,"")</f>
        <v>285.80650999999995</v>
      </c>
      <c r="F48" s="773">
        <f>IF(T!$A$4&gt;=F$50,INDEX('[9]2015'!$B$6:$AW$6,1,4*F$50-2)/1000,"")</f>
        <v>217.42712999999995</v>
      </c>
      <c r="G48" s="772">
        <f>IF(T!$A$4&gt;=G$50,INDEX('[9]2015'!$B$6:$AW$6,1,4*G$50-2)/1000,"")</f>
        <v>165.30567000000008</v>
      </c>
      <c r="H48" s="772">
        <f>IF(T!$A$4&gt;=H$50,INDEX('[9]2015'!$B$6:$AW$6,1,4*H$50-2)/1000,"")</f>
        <v>125.25032000000007</v>
      </c>
      <c r="I48" s="772">
        <f>IF(T!$A$4&gt;=I$50,INDEX('[9]2015'!$B$6:$AW$6,1,4*I$50-2)/1000,"")</f>
        <v>103.08605000000003</v>
      </c>
      <c r="J48" s="769">
        <f>IF(T!$A$4&gt;=J$50,INDEX('[9]2015'!$B$6:$AW$6,1,4*J$50-2)/1000,"")</f>
        <v>216.80252999999968</v>
      </c>
      <c r="K48" s="772">
        <f>IF(T!$A$4&gt;=K$50,INDEX('[9]2015'!$B$6:$AW$6,1,4*K$50-2)/1000,"")</f>
        <v>164.21767999999989</v>
      </c>
      <c r="L48" s="773">
        <f>IF(T!$A$4&gt;=L$50,INDEX('[9]2015'!$B$6:$AW$6,1,4*L$50-2)/1000,"")</f>
        <v>202.60146999999998</v>
      </c>
      <c r="M48" s="772">
        <f>IF(T!$A$4&gt;=M$50,INDEX('[9]2015'!$B$6:$AW$6,1,4*M$50-2)/1000,"")</f>
        <v>499.64167999999978</v>
      </c>
      <c r="N48" s="772">
        <f>IF(T!$A$4&gt;=N$50,INDEX('[9]2015'!$B$6:$AW$6,1,4*N$50-2)/1000,"")</f>
        <v>449.5698900000001</v>
      </c>
      <c r="O48" s="772">
        <f>IF(T!$A$4&gt;=O$50,INDEX('[9]2015'!$B$6:$AW$6,1,4*O$50-2)/1000,"")</f>
        <v>300.79422999999997</v>
      </c>
      <c r="P48" s="767">
        <f>SUM(D48:O48)</f>
        <v>3079.0572600000005</v>
      </c>
    </row>
    <row r="49" spans="1:16" ht="5.0999999999999996" customHeight="1" x14ac:dyDescent="0.2">
      <c r="A49" s="39"/>
      <c r="B49" s="39"/>
      <c r="C49" s="760"/>
      <c r="D49" s="761"/>
      <c r="E49" s="39"/>
      <c r="F49" s="762"/>
      <c r="G49" s="39"/>
      <c r="H49" s="39"/>
      <c r="I49" s="39"/>
      <c r="J49" s="761"/>
      <c r="K49" s="39"/>
      <c r="L49" s="762"/>
      <c r="M49" s="39"/>
      <c r="N49" s="39"/>
      <c r="O49" s="39"/>
      <c r="P49" s="763"/>
    </row>
    <row r="50" spans="1:16" x14ac:dyDescent="0.2">
      <c r="D50" s="686">
        <v>1</v>
      </c>
      <c r="E50" s="686">
        <v>2</v>
      </c>
      <c r="F50" s="686">
        <v>3</v>
      </c>
      <c r="G50" s="686">
        <v>4</v>
      </c>
      <c r="H50" s="686">
        <v>5</v>
      </c>
      <c r="I50" s="686">
        <v>6</v>
      </c>
      <c r="J50" s="686">
        <v>7</v>
      </c>
      <c r="K50" s="686">
        <v>8</v>
      </c>
      <c r="L50" s="686">
        <v>9</v>
      </c>
      <c r="M50" s="686">
        <v>10</v>
      </c>
      <c r="N50" s="686">
        <v>11</v>
      </c>
      <c r="O50" s="686">
        <v>12</v>
      </c>
    </row>
  </sheetData>
  <mergeCells count="12">
    <mergeCell ref="A47:B47"/>
    <mergeCell ref="A48:B48"/>
    <mergeCell ref="A20:A26"/>
    <mergeCell ref="A27:A33"/>
    <mergeCell ref="A34:A38"/>
    <mergeCell ref="A39:A43"/>
    <mergeCell ref="O1:P1"/>
    <mergeCell ref="A2:P2"/>
    <mergeCell ref="A3:P3"/>
    <mergeCell ref="A6:A12"/>
    <mergeCell ref="A13:A19"/>
    <mergeCell ref="B5:C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9" t="s">
        <v>55</v>
      </c>
      <c r="P1" s="829"/>
    </row>
    <row r="2" spans="1:17" ht="15.95" customHeight="1" x14ac:dyDescent="0.25">
      <c r="A2" s="879" t="s">
        <v>169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7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7" ht="14.1" customHeight="1" x14ac:dyDescent="0.2">
      <c r="D4" s="497"/>
      <c r="E4" s="497"/>
      <c r="F4" s="497"/>
      <c r="G4" s="497"/>
      <c r="P4" s="593"/>
    </row>
    <row r="5" spans="1:17" ht="18" customHeight="1" x14ac:dyDescent="0.2">
      <c r="A5" s="499"/>
      <c r="B5" s="515"/>
      <c r="C5" s="516"/>
      <c r="D5" s="499" t="s">
        <v>13</v>
      </c>
      <c r="E5" s="499" t="s">
        <v>58</v>
      </c>
      <c r="F5" s="517" t="s">
        <v>59</v>
      </c>
      <c r="G5" s="499" t="s">
        <v>60</v>
      </c>
      <c r="H5" s="499" t="s">
        <v>61</v>
      </c>
      <c r="I5" s="517" t="s">
        <v>62</v>
      </c>
      <c r="J5" s="499" t="s">
        <v>63</v>
      </c>
      <c r="K5" s="499" t="s">
        <v>64</v>
      </c>
      <c r="L5" s="517" t="s">
        <v>65</v>
      </c>
      <c r="M5" s="499" t="s">
        <v>66</v>
      </c>
      <c r="N5" s="499" t="s">
        <v>67</v>
      </c>
      <c r="O5" s="499" t="s">
        <v>68</v>
      </c>
      <c r="P5" s="587" t="s">
        <v>2</v>
      </c>
      <c r="Q5" s="13"/>
    </row>
    <row r="6" spans="1:17" ht="9" customHeight="1" x14ac:dyDescent="0.2">
      <c r="A6" s="881" t="s">
        <v>160</v>
      </c>
      <c r="B6" s="518"/>
      <c r="C6" s="519"/>
      <c r="D6" s="498"/>
      <c r="E6" s="498"/>
      <c r="F6" s="520"/>
      <c r="G6" s="498"/>
      <c r="H6" s="498"/>
      <c r="I6" s="520"/>
      <c r="J6" s="498"/>
      <c r="K6" s="498"/>
      <c r="L6" s="520"/>
      <c r="M6" s="498"/>
      <c r="N6" s="498"/>
      <c r="O6" s="498"/>
      <c r="P6" s="588"/>
      <c r="Q6" s="13"/>
    </row>
    <row r="7" spans="1:17" ht="18" customHeight="1" x14ac:dyDescent="0.2">
      <c r="A7" s="877"/>
      <c r="B7" s="98" t="s">
        <v>135</v>
      </c>
      <c r="C7" s="567" t="s">
        <v>231</v>
      </c>
      <c r="D7" s="529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2">
        <f>IF(T!$A$4&gt;=E$42,(INDEX('[1]Přepravní soustava'!$C$13:$AL$13,1,MATCH(E$5,'[1]Přepravní soustava'!$C$1:$AL$1,0))+INDEX('[2]Z ZDS'!$C$31:$BB$31,1,MATCH(E$5,'[2]Z ZDS'!$C$1:$AX$1,0)))/1000,"")</f>
        <v>2481.910466691224</v>
      </c>
      <c r="F7" s="569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2">
        <f>IF(T!$A$4&gt;=G$42,(INDEX('[1]Přepravní soustava'!$C$13:$AL$13,1,MATCH(G$5,'[1]Přepravní soustava'!$C$1:$AL$1,0))+INDEX('[2]Z ZDS'!$C$31:$BB$31,1,MATCH(G$5,'[2]Z ZDS'!$C$1:$AX$1,0)))/1000,"")</f>
        <v>3359.6992668793901</v>
      </c>
      <c r="H7" s="529">
        <f>IF(T!$A$4&gt;=H$42,(INDEX('[1]Přepravní soustava'!$C$13:$AL$13,1,MATCH(H$5,'[1]Přepravní soustava'!$C$1:$AL$1,0))+INDEX('[2]Z ZDS'!$C$31:$BB$31,1,MATCH(H$5,'[2]Z ZDS'!$C$1:$AX$1,0)))/1000,"")</f>
        <v>3473.5485915948293</v>
      </c>
      <c r="I7" s="544">
        <f>IF(T!$A$4&gt;=I$42,(INDEX('[1]Přepravní soustava'!$C$13:$AL$13,1,MATCH(I$5,'[1]Přepravní soustava'!$C$1:$AL$1,0))+INDEX('[2]Z ZDS'!$C$31:$BB$31,1,MATCH(I$5,'[2]Z ZDS'!$C$1:$AX$1,0)))/1000,"")</f>
        <v>3085.6129205509801</v>
      </c>
      <c r="J7" s="529">
        <f>IF(T!$A$4&gt;=J$42,(INDEX('[1]Přepravní soustava'!$C$13:$AL$13,1,MATCH(J$5,'[1]Přepravní soustava'!$C$1:$AL$1,0))+INDEX('[2]Z ZDS'!$C$31:$BB$31,1,MATCH(J$5,'[2]Z ZDS'!$C$1:$AX$1,0)))/1000,"")</f>
        <v>2758.9885849240659</v>
      </c>
      <c r="K7" s="529">
        <f>IF(T!$A$4&gt;=K$42,(INDEX('[1]Přepravní soustava'!$C$13:$AL$13,1,MATCH(K$5,'[1]Přepravní soustava'!$C$1:$AL$1,0))+INDEX('[2]Z ZDS'!$C$31:$BB$31,1,MATCH(K$5,'[2]Z ZDS'!$C$1:$AX$1,0)))/1000,"")</f>
        <v>2526.8667075603475</v>
      </c>
      <c r="L7" s="544">
        <f>IF(T!$A$4&gt;=L$42,(INDEX('[1]Přepravní soustava'!$C$13:$AL$13,1,MATCH(L$5,'[1]Přepravní soustava'!$C$1:$AL$1,0))+INDEX('[2]Z ZDS'!$C$31:$BB$31,1,MATCH(L$5,'[2]Z ZDS'!$C$1:$AX$1,0)))/1000,"")</f>
        <v>2822.6575416679966</v>
      </c>
      <c r="M7" s="529">
        <f>IF(T!$A$4&gt;=M$42,(INDEX('[1]Přepravní soustava'!$C$13:$AL$13,1,MATCH(M$5,'[1]Přepravní soustava'!$C$1:$AL$1,0))+INDEX('[2]Z ZDS'!$C$31:$BB$31,1,MATCH(M$5,'[2]Z ZDS'!$C$1:$AX$1,0)))/1000,"")</f>
        <v>2973.0942169758187</v>
      </c>
      <c r="N7" s="529">
        <f>IF(T!$A$4&gt;=N$42,(INDEX('[1]Přepravní soustava'!$C$13:$AL$13,1,MATCH(N$5,'[1]Přepravní soustava'!$C$1:$AL$1,0))+INDEX('[2]Z ZDS'!$C$31:$BB$31,1,MATCH(N$5,'[2]Z ZDS'!$C$1:$AX$1,0)))/1000,"")</f>
        <v>2796.0153186301704</v>
      </c>
      <c r="O7" s="529">
        <f>IF(T!$A$4&gt;=O$42,(INDEX('[1]Přepravní soustava'!$C$13:$AL$13,1,MATCH(O$5,'[1]Přepravní soustava'!$C$1:$AL$1,0))+INDEX('[2]Z ZDS'!$C$31:$BB$31,1,MATCH(O$5,'[2]Z ZDS'!$C$1:$AX$1,0)))/1000,"")</f>
        <v>2810.4587529424284</v>
      </c>
      <c r="P7" s="589">
        <f>SUM(D7:O7)</f>
        <v>35681.594477160485</v>
      </c>
    </row>
    <row r="8" spans="1:17" ht="18" customHeight="1" x14ac:dyDescent="0.2">
      <c r="A8" s="877"/>
      <c r="B8" s="98" t="s">
        <v>136</v>
      </c>
      <c r="C8" s="567" t="s">
        <v>231</v>
      </c>
      <c r="D8" s="529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2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69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2">
        <f>IF(T!$A$4&gt;=G$42,-(INDEX('[1]Přepravní soustava'!$C$22:$AL$22,1,MATCH(G$5,'[1]Přepravní soustava'!$C$1:$AL$1,0))+INDEX('[2]Do ZDS'!$C$32:$BB$32,1,MATCH(G$5,'[2]Do ZDS'!$C$1:$AX$1,0)))/1000,"")</f>
        <v>-2717.2271621158748</v>
      </c>
      <c r="H8" s="529">
        <f>IF(T!$A$4&gt;=H$42,-(INDEX('[1]Přepravní soustava'!$C$22:$AL$22,1,MATCH(H$5,'[1]Přepravní soustava'!$C$1:$AL$1,0))+INDEX('[2]Do ZDS'!$C$32:$BB$32,1,MATCH(H$5,'[2]Do ZDS'!$C$1:$AX$1,0)))/1000,"")</f>
        <v>-2660.5040382198185</v>
      </c>
      <c r="I8" s="544">
        <f>IF(T!$A$4&gt;=I$42,-(INDEX('[1]Přepravní soustava'!$C$22:$AL$22,1,MATCH(I$5,'[1]Přepravní soustava'!$C$1:$AL$1,0))+INDEX('[2]Do ZDS'!$C$32:$BB$32,1,MATCH(I$5,'[2]Do ZDS'!$C$1:$AX$1,0)))/1000,"")</f>
        <v>-2207.6789693017681</v>
      </c>
      <c r="J8" s="529">
        <f>IF(T!$A$4&gt;=J$42,-(INDEX('[1]Přepravní soustava'!$C$22:$AL$22,1,MATCH(J$5,'[1]Přepravní soustava'!$C$1:$AL$1,0))+INDEX('[2]Do ZDS'!$C$32:$BB$32,1,MATCH(J$5,'[2]Do ZDS'!$C$1:$AX$1,0)))/1000,"")</f>
        <v>-1962.725291978041</v>
      </c>
      <c r="K8" s="529">
        <f>IF(T!$A$4&gt;=K$42,-(INDEX('[1]Přepravní soustava'!$C$22:$AL$22,1,MATCH(K$5,'[1]Přepravní soustava'!$C$1:$AL$1,0))+INDEX('[2]Do ZDS'!$C$32:$BB$32,1,MATCH(K$5,'[2]Do ZDS'!$C$1:$AX$1,0)))/1000,"")</f>
        <v>-1586.7007068893549</v>
      </c>
      <c r="L8" s="544">
        <f>IF(T!$A$4&gt;=L$42,-(INDEX('[1]Přepravní soustava'!$C$22:$AL$22,1,MATCH(L$5,'[1]Přepravní soustava'!$C$1:$AL$1,0))+INDEX('[2]Do ZDS'!$C$32:$BB$32,1,MATCH(L$5,'[2]Do ZDS'!$C$1:$AX$1,0)))/1000,"")</f>
        <v>-2117.9895279574953</v>
      </c>
      <c r="M8" s="529">
        <f>IF(T!$A$4&gt;=M$42,-(INDEX('[1]Přepravní soustava'!$C$22:$AL$22,1,MATCH(M$5,'[1]Přepravní soustava'!$C$1:$AL$1,0))+INDEX('[2]Do ZDS'!$C$32:$BB$32,1,MATCH(M$5,'[2]Do ZDS'!$C$1:$AX$1,0)))/1000,"")</f>
        <v>-2415.9297911246013</v>
      </c>
      <c r="N8" s="529">
        <f>IF(T!$A$4&gt;=N$42,-(INDEX('[1]Přepravní soustava'!$C$22:$AL$22,1,MATCH(N$5,'[1]Přepravní soustava'!$C$1:$AL$1,0))+INDEX('[2]Do ZDS'!$C$32:$BB$32,1,MATCH(N$5,'[2]Do ZDS'!$C$1:$AX$1,0)))/1000,"")</f>
        <v>-2331.0465947629259</v>
      </c>
      <c r="O8" s="529">
        <f>IF(T!$A$4&gt;=O$42,-(INDEX('[1]Přepravní soustava'!$C$22:$AL$22,1,MATCH(O$5,'[1]Přepravní soustava'!$C$1:$AL$1,0))+INDEX('[2]Do ZDS'!$C$32:$BB$32,1,MATCH(O$5,'[2]Do ZDS'!$C$1:$AX$1,0)))/1000,"")</f>
        <v>-2174.4978706760799</v>
      </c>
      <c r="P8" s="589">
        <f t="shared" ref="P8:P34" si="0">SUM(D8:O8)</f>
        <v>-28207.711205476844</v>
      </c>
    </row>
    <row r="9" spans="1:17" ht="18" customHeight="1" x14ac:dyDescent="0.2">
      <c r="A9" s="877"/>
      <c r="B9" s="753" t="s">
        <v>137</v>
      </c>
      <c r="C9" s="754" t="s">
        <v>231</v>
      </c>
      <c r="D9" s="755">
        <f>IF(T!$A$4&gt;=D$42,D7+D8,"")</f>
        <v>438.636603516381</v>
      </c>
      <c r="E9" s="755">
        <f>IF(T!$A$4&gt;=E$42,E7+E8,"")</f>
        <v>267.99208555172618</v>
      </c>
      <c r="F9" s="756">
        <f>IF(T!$A$4&gt;=F$42,F7+F8,"")</f>
        <v>334.61263391546436</v>
      </c>
      <c r="G9" s="755">
        <f>IF(T!$A$4&gt;=G$42,G7+G8,"")</f>
        <v>642.47210476351529</v>
      </c>
      <c r="H9" s="757">
        <f>IF(T!$A$4&gt;=H$42,H7+H8,"")</f>
        <v>813.04455337501076</v>
      </c>
      <c r="I9" s="758">
        <f>IF(T!$A$4&gt;=I$42,I7+I8,"")</f>
        <v>877.93395124921199</v>
      </c>
      <c r="J9" s="757">
        <f>IF(T!$A$4&gt;=J$42,J7+J8,"")</f>
        <v>796.26329294602488</v>
      </c>
      <c r="K9" s="757">
        <f>IF(T!$A$4&gt;=K$42,K7+K8,"")</f>
        <v>940.16600067099262</v>
      </c>
      <c r="L9" s="758">
        <f>IF(T!$A$4&gt;=L$42,L7+L8,"")</f>
        <v>704.66801371050133</v>
      </c>
      <c r="M9" s="757">
        <f>IF(T!$A$4&gt;=M$42,M7+M8,"")</f>
        <v>557.1644258512174</v>
      </c>
      <c r="N9" s="757">
        <f>IF(T!$A$4&gt;=N$42,N7+N8,"")</f>
        <v>464.96872386724453</v>
      </c>
      <c r="O9" s="757">
        <f>IF(T!$A$4&gt;=O$42,O7+O8,"")</f>
        <v>635.96088226634856</v>
      </c>
      <c r="P9" s="759">
        <f t="shared" si="0"/>
        <v>7473.8832716836387</v>
      </c>
    </row>
    <row r="10" spans="1:17" ht="18" customHeight="1" x14ac:dyDescent="0.2">
      <c r="A10" s="877"/>
      <c r="B10" s="98" t="s">
        <v>135</v>
      </c>
      <c r="C10" s="567" t="s">
        <v>284</v>
      </c>
      <c r="D10" s="542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2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69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2">
        <f>IF(T!$A$4&gt;=G$42,(INDEX('[1]Přepravní soustava'!$C$13:$AL$13,1,MATCH(G$5,'[1]Přepravní soustava'!$C$1:$AL$1,0)+1)+INDEX('[2]Z ZDS'!$C$31:$BB$31,1,MATCH(G$5,'[2]Z ZDS'!$C$1:$AX$1,0)+1))/1000,"")</f>
        <v>35762.949495565001</v>
      </c>
      <c r="H10" s="529">
        <f>IF(T!$A$4&gt;=H$42,(INDEX('[1]Přepravní soustava'!$C$13:$AL$13,1,MATCH(H$5,'[1]Přepravní soustava'!$C$1:$AL$1,0)+1)+INDEX('[2]Z ZDS'!$C$31:$BB$31,1,MATCH(H$5,'[2]Z ZDS'!$C$1:$AX$1,0)+1))/1000,"")</f>
        <v>37111.255682891991</v>
      </c>
      <c r="I10" s="544">
        <f>IF(T!$A$4&gt;=I$42,(INDEX('[1]Přepravní soustava'!$C$13:$AL$13,1,MATCH(I$5,'[1]Přepravní soustava'!$C$1:$AL$1,0)+1)+INDEX('[2]Z ZDS'!$C$31:$BB$31,1,MATCH(I$5,'[2]Z ZDS'!$C$1:$AX$1,0)+1))/1000,"")</f>
        <v>33002.955940426</v>
      </c>
      <c r="J10" s="529">
        <f>IF(T!$A$4&gt;=J$42,(INDEX('[1]Přepravní soustava'!$C$13:$AL$13,1,MATCH(J$5,'[1]Přepravní soustava'!$C$1:$AL$1,0)+1)+INDEX('[2]Z ZDS'!$C$31:$BB$31,1,MATCH(J$5,'[2]Z ZDS'!$C$1:$AX$1,0)+1))/1000,"")</f>
        <v>29461.640454332999</v>
      </c>
      <c r="K10" s="529">
        <f>IF(T!$A$4&gt;=K$42,(INDEX('[1]Přepravní soustava'!$C$13:$AL$13,1,MATCH(K$5,'[1]Přepravní soustava'!$C$1:$AL$1,0)+1)+INDEX('[2]Z ZDS'!$C$31:$BB$31,1,MATCH(K$5,'[2]Z ZDS'!$C$1:$AX$1,0)+1))/1000,"")</f>
        <v>27012.324774560999</v>
      </c>
      <c r="L10" s="544">
        <f>IF(T!$A$4&gt;=L$42,(INDEX('[1]Přepravní soustava'!$C$13:$AL$13,1,MATCH(L$5,'[1]Přepravní soustava'!$C$1:$AL$1,0)+1)+INDEX('[2]Z ZDS'!$C$31:$BB$31,1,MATCH(L$5,'[2]Z ZDS'!$C$1:$AX$1,0)+1))/1000,"")</f>
        <v>30150.124858183</v>
      </c>
      <c r="M10" s="529">
        <f>IF(T!$A$4&gt;=M$42,(INDEX('[1]Přepravní soustava'!$C$13:$AL$13,1,MATCH(M$5,'[1]Přepravní soustava'!$C$1:$AL$1,0)+1)+INDEX('[2]Z ZDS'!$C$31:$BB$31,1,MATCH(M$5,'[2]Z ZDS'!$C$1:$AX$1,0)+1))/1000,"")</f>
        <v>31717.108683520997</v>
      </c>
      <c r="N10" s="529">
        <f>IF(T!$A$4&gt;=N$42,(INDEX('[1]Přepravní soustava'!$C$13:$AL$13,1,MATCH(N$5,'[1]Přepravní soustava'!$C$1:$AL$1,0)+1)+INDEX('[2]Z ZDS'!$C$31:$BB$31,1,MATCH(N$5,'[2]Z ZDS'!$C$1:$AX$1,0)+1))/1000,"")</f>
        <v>29744.710274556997</v>
      </c>
      <c r="O10" s="529">
        <f>IF(T!$A$4&gt;=O$42,(INDEX('[1]Přepravní soustava'!$C$13:$AL$13,1,MATCH(O$5,'[1]Přepravní soustava'!$C$1:$AL$1,0)+1)+INDEX('[2]Z ZDS'!$C$31:$BB$31,1,MATCH(O$5,'[2]Z ZDS'!$C$1:$AX$1,0)+1))/1000,"")</f>
        <v>29897.315643066002</v>
      </c>
      <c r="P10" s="589">
        <f t="shared" si="0"/>
        <v>380347.65210284095</v>
      </c>
    </row>
    <row r="11" spans="1:17" ht="18" customHeight="1" x14ac:dyDescent="0.2">
      <c r="A11" s="877"/>
      <c r="B11" s="98" t="s">
        <v>136</v>
      </c>
      <c r="C11" s="567" t="s">
        <v>284</v>
      </c>
      <c r="D11" s="542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2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69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2">
        <f>IF(T!$A$4&gt;=G$42,-(INDEX('[1]Přepravní soustava'!$C$22:$AL$22,1,MATCH(G$5,'[1]Přepravní soustava'!$C$1:$AL$1,0)+1)+INDEX('[2]Do ZDS'!$C$32:$BB$32,1,MATCH(G$5,'[2]Do ZDS'!$C$1:$AX$1,0)+1))/1000,"")</f>
        <v>-28932.560779750002</v>
      </c>
      <c r="H11" s="529">
        <f>IF(T!$A$4&gt;=H$42,-(INDEX('[1]Přepravní soustava'!$C$22:$AL$22,1,MATCH(H$5,'[1]Přepravní soustava'!$C$1:$AL$1,0)+1)+INDEX('[2]Do ZDS'!$C$32:$BB$32,1,MATCH(H$5,'[2]Do ZDS'!$C$1:$AX$1,0)+1))/1000,"")</f>
        <v>-28414.832526760001</v>
      </c>
      <c r="I11" s="544">
        <f>IF(T!$A$4&gt;=I$42,-(INDEX('[1]Přepravní soustava'!$C$22:$AL$22,1,MATCH(I$5,'[1]Přepravní soustava'!$C$1:$AL$1,0)+1)+INDEX('[2]Do ZDS'!$C$32:$BB$32,1,MATCH(I$5,'[2]Do ZDS'!$C$1:$AX$1,0)+1))/1000,"")</f>
        <v>-23609.495381262001</v>
      </c>
      <c r="J11" s="529">
        <f>IF(T!$A$4&gt;=J$42,-(INDEX('[1]Přepravní soustava'!$C$22:$AL$22,1,MATCH(J$5,'[1]Přepravní soustava'!$C$1:$AL$1,0)+1)+INDEX('[2]Do ZDS'!$C$32:$BB$32,1,MATCH(J$5,'[2]Do ZDS'!$C$1:$AX$1,0)+1))/1000,"")</f>
        <v>-20952.435529431106</v>
      </c>
      <c r="K11" s="529">
        <f>IF(T!$A$4&gt;=K$42,-(INDEX('[1]Přepravní soustava'!$C$22:$AL$22,1,MATCH(K$5,'[1]Přepravní soustava'!$C$1:$AL$1,0)+1)+INDEX('[2]Do ZDS'!$C$32:$BB$32,1,MATCH(K$5,'[2]Do ZDS'!$C$1:$AX$1,0)+1))/1000,"")</f>
        <v>-16960.0314063552</v>
      </c>
      <c r="L11" s="544">
        <f>IF(T!$A$4&gt;=L$42,-(INDEX('[1]Přepravní soustava'!$C$22:$AL$22,1,MATCH(L$5,'[1]Přepravní soustava'!$C$1:$AL$1,0)+1)+INDEX('[2]Do ZDS'!$C$32:$BB$32,1,MATCH(L$5,'[2]Do ZDS'!$C$1:$AX$1,0)+1))/1000,"")</f>
        <v>-22618.074816473403</v>
      </c>
      <c r="M11" s="529">
        <f>IF(T!$A$4&gt;=M$42,-(INDEX('[1]Přepravní soustava'!$C$22:$AL$22,1,MATCH(M$5,'[1]Přepravní soustava'!$C$1:$AL$1,0)+1)+INDEX('[2]Do ZDS'!$C$32:$BB$32,1,MATCH(M$5,'[2]Do ZDS'!$C$1:$AX$1,0)+1))/1000,"")</f>
        <v>-25777.563879594501</v>
      </c>
      <c r="N11" s="529">
        <f>IF(T!$A$4&gt;=N$42,-(INDEX('[1]Přepravní soustava'!$C$22:$AL$22,1,MATCH(N$5,'[1]Přepravní soustava'!$C$1:$AL$1,0)+1)+INDEX('[2]Do ZDS'!$C$32:$BB$32,1,MATCH(N$5,'[2]Do ZDS'!$C$1:$AX$1,0)+1))/1000,"")</f>
        <v>-24808.730135231497</v>
      </c>
      <c r="O11" s="529">
        <f>IF(T!$A$4&gt;=O$42,-(INDEX('[1]Přepravní soustava'!$C$22:$AL$22,1,MATCH(O$5,'[1]Přepravní soustava'!$C$1:$AL$1,0)+1)+INDEX('[2]Do ZDS'!$C$32:$BB$32,1,MATCH(O$5,'[2]Do ZDS'!$C$1:$AX$1,0)+1))/1000,"")</f>
        <v>-23140.594133689101</v>
      </c>
      <c r="P11" s="589">
        <f t="shared" si="0"/>
        <v>-300691.15299501974</v>
      </c>
    </row>
    <row r="12" spans="1:17" ht="18" customHeight="1" x14ac:dyDescent="0.2">
      <c r="A12" s="877"/>
      <c r="B12" s="610" t="s">
        <v>137</v>
      </c>
      <c r="C12" s="567" t="s">
        <v>284</v>
      </c>
      <c r="D12" s="542">
        <f>IF(T!$A$4&gt;=D$42,D10+D11,"")</f>
        <v>4633.513772353388</v>
      </c>
      <c r="E12" s="542">
        <f>IF(T!$A$4&gt;=E$42,E10+E11,"")</f>
        <v>2830.2355777027078</v>
      </c>
      <c r="F12" s="569">
        <f>IF(T!$A$4&gt;=F$42,F10+F11,"")</f>
        <v>3546.6825392079918</v>
      </c>
      <c r="G12" s="542">
        <f>IF(T!$A$4&gt;=G$42,G10+G11,"")</f>
        <v>6830.3887158149992</v>
      </c>
      <c r="H12" s="529">
        <f>IF(T!$A$4&gt;=H$42,H10+H11,"")</f>
        <v>8696.4231561319903</v>
      </c>
      <c r="I12" s="544">
        <f>IF(T!$A$4&gt;=I$42,I10+I11,"")</f>
        <v>9393.4605591639993</v>
      </c>
      <c r="J12" s="529">
        <f>IF(T!$A$4&gt;=J$42,J10+J11,"")</f>
        <v>8509.2049249018928</v>
      </c>
      <c r="K12" s="529">
        <f>IF(T!$A$4&gt;=K$42,K10+K11,"")</f>
        <v>10052.293368205799</v>
      </c>
      <c r="L12" s="544">
        <f>IF(T!$A$4&gt;=L$42,L10+L11,"")</f>
        <v>7532.0500417095973</v>
      </c>
      <c r="M12" s="529">
        <f>IF(T!$A$4&gt;=M$42,M10+M11,"")</f>
        <v>5939.5448039264957</v>
      </c>
      <c r="N12" s="529">
        <f>IF(T!$A$4&gt;=N$42,N10+N11,"")</f>
        <v>4935.9801393255002</v>
      </c>
      <c r="O12" s="529">
        <f>IF(T!$A$4&gt;=O$42,O10+O11,"")</f>
        <v>6756.7215093769009</v>
      </c>
      <c r="P12" s="589">
        <f t="shared" si="0"/>
        <v>79656.499107821262</v>
      </c>
    </row>
    <row r="13" spans="1:17" ht="9" customHeight="1" x14ac:dyDescent="0.2">
      <c r="A13" s="878"/>
      <c r="B13" s="513"/>
      <c r="C13" s="501"/>
      <c r="D13" s="546"/>
      <c r="E13" s="546"/>
      <c r="F13" s="577"/>
      <c r="G13" s="546"/>
      <c r="H13" s="548"/>
      <c r="I13" s="549"/>
      <c r="J13" s="548"/>
      <c r="K13" s="548"/>
      <c r="L13" s="549"/>
      <c r="M13" s="548"/>
      <c r="N13" s="548"/>
      <c r="O13" s="548"/>
      <c r="P13" s="590"/>
    </row>
    <row r="14" spans="1:17" ht="9" customHeight="1" x14ac:dyDescent="0.2">
      <c r="A14" s="881" t="s">
        <v>166</v>
      </c>
      <c r="B14" s="518"/>
      <c r="C14" s="519"/>
      <c r="D14" s="498"/>
      <c r="E14" s="498"/>
      <c r="F14" s="520"/>
      <c r="G14" s="498"/>
      <c r="H14" s="498"/>
      <c r="I14" s="520"/>
      <c r="J14" s="498"/>
      <c r="K14" s="498"/>
      <c r="L14" s="520"/>
      <c r="M14" s="498"/>
      <c r="N14" s="498"/>
      <c r="O14" s="498"/>
      <c r="P14" s="589"/>
    </row>
    <row r="15" spans="1:17" ht="18" customHeight="1" x14ac:dyDescent="0.2">
      <c r="A15" s="877"/>
      <c r="B15" s="98" t="s">
        <v>142</v>
      </c>
      <c r="C15" s="567" t="s">
        <v>231</v>
      </c>
      <c r="D15" s="529">
        <f>IF(T!$A$4&gt;=D$42,INDEX('[1]Přepravní soustava'!$C$41:$AL$41,1,MATCH(D$5,'[1]Přepravní soustava'!$C$1:$AL$1,0))/1000,"")</f>
        <v>663.07631100000003</v>
      </c>
      <c r="E15" s="542">
        <f>IF(T!$A$4&gt;=E$42,INDEX('[1]Přepravní soustava'!$C$41:$AL$41,1,MATCH(E$5,'[1]Přepravní soustava'!$C$1:$AL$1,0))/1000,"")</f>
        <v>730.844382</v>
      </c>
      <c r="F15" s="569">
        <f>IF(T!$A$4&gt;=F$42,INDEX('[1]Přepravní soustava'!$C$41:$AL$41,1,MATCH(F$5,'[1]Přepravní soustava'!$C$1:$AL$1,0))/1000,"")</f>
        <v>531.26270799999998</v>
      </c>
      <c r="G15" s="542">
        <f>IF(T!$A$4&gt;=G$42,INDEX('[1]Přepravní soustava'!$C$41:$AL$41,1,MATCH(G$5,'[1]Přepravní soustava'!$C$1:$AL$1,0))/1000,"")</f>
        <v>40.534314999999999</v>
      </c>
      <c r="H15" s="529">
        <f>IF(T!$A$4&gt;=H$42,INDEX('[1]Přepravní soustava'!$C$41:$AL$41,1,MATCH(H$5,'[1]Přepravní soustava'!$C$1:$AL$1,0))/1000,"")</f>
        <v>0.36129300000000003</v>
      </c>
      <c r="I15" s="544">
        <f>IF(T!$A$4&gt;=I$42,INDEX('[1]Přepravní soustava'!$C$41:$AL$41,1,MATCH(I$5,'[1]Přepravní soustava'!$C$1:$AL$1,0))/1000,"")</f>
        <v>0.13611899999999999</v>
      </c>
      <c r="J15" s="529">
        <f>IF(T!$A$4&gt;=J$42,INDEX('[1]Přepravní soustava'!$C$41:$AL$41,1,MATCH(J$5,'[1]Přepravní soustava'!$C$1:$AL$1,0))/1000,"")</f>
        <v>0.27523999999999998</v>
      </c>
      <c r="K15" s="529">
        <f>IF(T!$A$4&gt;=K$42,INDEX('[1]Přepravní soustava'!$C$41:$AL$41,1,MATCH(K$5,'[1]Přepravní soustava'!$C$1:$AL$1,0))/1000,"")</f>
        <v>0</v>
      </c>
      <c r="L15" s="544">
        <f>IF(T!$A$4&gt;=L$42,INDEX('[1]Přepravní soustava'!$C$41:$AL$41,1,MATCH(L$5,'[1]Přepravní soustava'!$C$1:$AL$1,0))/1000,"")</f>
        <v>0.26440799999999998</v>
      </c>
      <c r="M15" s="529">
        <f>IF(T!$A$4&gt;=M$42,INDEX('[1]Přepravní soustava'!$C$41:$AL$41,1,MATCH(M$5,'[1]Přepravní soustava'!$C$1:$AL$1,0))/1000,"")</f>
        <v>171.67832999999999</v>
      </c>
      <c r="N15" s="529">
        <f>IF(T!$A$4&gt;=N$42,INDEX('[1]Přepravní soustava'!$C$41:$AL$41,1,MATCH(N$5,'[1]Přepravní soustava'!$C$1:$AL$1,0))/1000,"")</f>
        <v>372.35071700000003</v>
      </c>
      <c r="O15" s="529">
        <f>IF(T!$A$4&gt;=O$42,INDEX('[1]Přepravní soustava'!$C$41:$AL$41,1,MATCH(O$5,'[1]Přepravní soustava'!$C$1:$AL$1,0))/1000,"")</f>
        <v>292.54134999999997</v>
      </c>
      <c r="P15" s="589">
        <f t="shared" si="0"/>
        <v>2803.3251729999997</v>
      </c>
    </row>
    <row r="16" spans="1:17" ht="18" customHeight="1" x14ac:dyDescent="0.2">
      <c r="A16" s="877"/>
      <c r="B16" s="98" t="s">
        <v>143</v>
      </c>
      <c r="C16" s="567" t="s">
        <v>231</v>
      </c>
      <c r="D16" s="542">
        <f>IF(T!$A$4&gt;=D$42,-INDEX('[1]Přepravní soustava'!$C$45:$AL$45,1,MATCH(D$5,'[1]Přepravní soustava'!$C$1:$AL$1,0))/1000,"")</f>
        <v>-16.494135</v>
      </c>
      <c r="E16" s="542">
        <f>IF(T!$A$4&gt;=E$42,-INDEX('[1]Přepravní soustava'!$C$45:$AL$45,1,MATCH(E$5,'[1]Přepravní soustava'!$C$1:$AL$1,0))/1000,"")</f>
        <v>-9.5552060000000001</v>
      </c>
      <c r="F16" s="569">
        <f>IF(T!$A$4&gt;=F$42,-INDEX('[1]Přepravní soustava'!$C$45:$AL$45,1,MATCH(F$5,'[1]Přepravní soustava'!$C$1:$AL$1,0))/1000,"")</f>
        <v>-9.0375149999999991</v>
      </c>
      <c r="G16" s="542">
        <f>IF(T!$A$4&gt;=G$42,-INDEX('[1]Přepravní soustava'!$C$45:$AL$45,1,MATCH(G$5,'[1]Přepravní soustava'!$C$1:$AL$1,0))/1000,"")</f>
        <v>-52.046067999999998</v>
      </c>
      <c r="H16" s="529">
        <f>IF(T!$A$4&gt;=H$42,-INDEX('[1]Přepravní soustava'!$C$45:$AL$45,1,MATCH(H$5,'[1]Přepravní soustava'!$C$1:$AL$1,0))/1000,"")</f>
        <v>-406.77318200000002</v>
      </c>
      <c r="I16" s="544">
        <f>IF(T!$A$4&gt;=I$42,-INDEX('[1]Přepravní soustava'!$C$45:$AL$45,1,MATCH(I$5,'[1]Přepravní soustava'!$C$1:$AL$1,0))/1000,"")</f>
        <v>-560.69673699999998</v>
      </c>
      <c r="J16" s="529">
        <f>IF(T!$A$4&gt;=J$42,-INDEX('[1]Přepravní soustava'!$C$45:$AL$45,1,MATCH(J$5,'[1]Přepravní soustava'!$C$1:$AL$1,0))/1000,"")</f>
        <v>-503.12326200000001</v>
      </c>
      <c r="K16" s="529">
        <f>IF(T!$A$4&gt;=K$42,-INDEX('[1]Přepravní soustava'!$C$45:$AL$45,1,MATCH(K$5,'[1]Přepravní soustava'!$C$1:$AL$1,0))/1000,"")</f>
        <v>-663.18025499999999</v>
      </c>
      <c r="L16" s="544">
        <f>IF(T!$A$4&gt;=L$42,-INDEX('[1]Přepravní soustava'!$C$45:$AL$45,1,MATCH(L$5,'[1]Přepravní soustava'!$C$1:$AL$1,0))/1000,"")</f>
        <v>-350.663657</v>
      </c>
      <c r="M16" s="529">
        <f>IF(T!$A$4&gt;=M$42,-INDEX('[1]Přepravní soustava'!$C$45:$AL$45,1,MATCH(M$5,'[1]Přepravní soustava'!$C$1:$AL$1,0))/1000,"")</f>
        <v>-31.605976999999999</v>
      </c>
      <c r="N16" s="529">
        <f>IF(T!$A$4&gt;=N$42,-INDEX('[1]Přepravní soustava'!$C$45:$AL$45,1,MATCH(N$5,'[1]Přepravní soustava'!$C$1:$AL$1,0))/1000,"")</f>
        <v>-31.334178000000001</v>
      </c>
      <c r="O16" s="529">
        <f>IF(T!$A$4&gt;=O$42,-INDEX('[1]Přepravní soustava'!$C$45:$AL$45,1,MATCH(O$5,'[1]Přepravní soustava'!$C$1:$AL$1,0))/1000,"")</f>
        <v>-21.868192999999998</v>
      </c>
      <c r="P16" s="589">
        <f t="shared" si="0"/>
        <v>-2656.378365</v>
      </c>
    </row>
    <row r="17" spans="1:19" ht="18" customHeight="1" x14ac:dyDescent="0.2">
      <c r="A17" s="877"/>
      <c r="B17" s="610" t="s">
        <v>144</v>
      </c>
      <c r="C17" s="567" t="s">
        <v>231</v>
      </c>
      <c r="D17" s="542">
        <f>IF(T!$A$4&gt;=D$42,D15+D16,"")</f>
        <v>646.582176</v>
      </c>
      <c r="E17" s="542">
        <f>IF(T!$A$4&gt;=E$42,E15+E16,"")</f>
        <v>721.289176</v>
      </c>
      <c r="F17" s="569">
        <f>IF(T!$A$4&gt;=F$42,F15+F16,"")</f>
        <v>522.22519299999999</v>
      </c>
      <c r="G17" s="542">
        <f>IF(T!$A$4&gt;=G$42,G15+G16,"")</f>
        <v>-11.511752999999999</v>
      </c>
      <c r="H17" s="529">
        <f>IF(T!$A$4&gt;=H$42,H15+H16,"")</f>
        <v>-406.41188900000003</v>
      </c>
      <c r="I17" s="544">
        <f>IF(T!$A$4&gt;=I$42,I15+I16,"")</f>
        <v>-560.56061799999998</v>
      </c>
      <c r="J17" s="529">
        <f>IF(T!$A$4&gt;=J$42,J15+J16,"")</f>
        <v>-502.84802200000001</v>
      </c>
      <c r="K17" s="529">
        <f>IF(T!$A$4&gt;=K$42,K15+K16,"")</f>
        <v>-663.18025499999999</v>
      </c>
      <c r="L17" s="544">
        <f>IF(T!$A$4&gt;=L$42,L15+L16,"")</f>
        <v>-350.399249</v>
      </c>
      <c r="M17" s="529">
        <f>IF(T!$A$4&gt;=M$42,M15+M16,"")</f>
        <v>140.07235299999999</v>
      </c>
      <c r="N17" s="529">
        <f>IF(T!$A$4&gt;=N$42,N15+N16,"")</f>
        <v>341.01653900000002</v>
      </c>
      <c r="O17" s="529">
        <f>IF(T!$A$4&gt;=O$42,O15+O16,"")</f>
        <v>270.67315699999995</v>
      </c>
      <c r="P17" s="589">
        <f>SUM(D17:O17)</f>
        <v>146.9468080000002</v>
      </c>
      <c r="R17" s="66"/>
      <c r="S17" s="66"/>
    </row>
    <row r="18" spans="1:19" ht="18" customHeight="1" x14ac:dyDescent="0.2">
      <c r="A18" s="877"/>
      <c r="B18" s="753" t="s">
        <v>279</v>
      </c>
      <c r="C18" s="754" t="s">
        <v>231</v>
      </c>
      <c r="D18" s="755">
        <f>IF(T!$A$4&gt;=D$42,'[10]Stav zásob ČR'!C3,"")</f>
        <v>1506.0067398421697</v>
      </c>
      <c r="E18" s="755">
        <f>IF(T!$A$4&gt;=E$42,'[10]Stav zásob ČR'!D3,"")</f>
        <v>784.71756384216962</v>
      </c>
      <c r="F18" s="756">
        <f>IF(T!$A$4&gt;=F$42,'[10]Stav zásob ČR'!E3,"")</f>
        <v>262.49237084216952</v>
      </c>
      <c r="G18" s="755">
        <f>IF(T!$A$4&gt;=G$42,'[10]Stav zásob ČR'!F3,"")</f>
        <v>274.00412384216952</v>
      </c>
      <c r="H18" s="757">
        <f>IF(T!$A$4&gt;=H$42,'[10]Stav zásob ČR'!G3,"")</f>
        <v>680.41601284216961</v>
      </c>
      <c r="I18" s="758">
        <f>IF(T!$A$4&gt;=I$42,'[10]Stav zásob ČR'!H3,"")</f>
        <v>1240.9766308421695</v>
      </c>
      <c r="J18" s="757">
        <f>IF(T!$A$4&gt;=J$42,'[10]Stav zásob ČR'!I3,"")</f>
        <v>1743.8246528421696</v>
      </c>
      <c r="K18" s="757">
        <f>IF(T!$A$4&gt;=K$42,'[10]Stav zásob ČR'!J3,"")</f>
        <v>2407.0049078421694</v>
      </c>
      <c r="L18" s="758">
        <f>IF(T!$A$4&gt;=L$42,'[10]Stav zásob ČR'!K3,"")</f>
        <v>2757.4041568421703</v>
      </c>
      <c r="M18" s="757">
        <f>IF(T!$A$4&gt;=M$42,'[10]Stav zásob ČR'!L3,"")</f>
        <v>2617.3318038421703</v>
      </c>
      <c r="N18" s="757">
        <f>IF(T!$A$4&gt;=N$42,'[10]Stav zásob ČR'!M3,"")</f>
        <v>2276.3152648421701</v>
      </c>
      <c r="O18" s="757">
        <f>IF(T!$A$4&gt;=O$42,'[10]Stav zásob ČR'!N3,"")</f>
        <v>2005.6421078421704</v>
      </c>
      <c r="P18" s="759">
        <f>INDEX(D18:O18,,T!$A$4)</f>
        <v>2005.6421078421704</v>
      </c>
    </row>
    <row r="19" spans="1:19" ht="18" customHeight="1" x14ac:dyDescent="0.2">
      <c r="A19" s="877"/>
      <c r="B19" s="98" t="s">
        <v>142</v>
      </c>
      <c r="C19" s="567" t="s">
        <v>284</v>
      </c>
      <c r="D19" s="542">
        <f>IF(T!$A$4&gt;=D$42,INDEX('[1]Přepravní soustava'!$C$41:$AL$41,1,MATCH(D$5,'[1]Přepravní soustava'!$C$1:$AL$1,0)+1)/1000,"")</f>
        <v>7059.919245</v>
      </c>
      <c r="E19" s="542">
        <f>IF(T!$A$4&gt;=E$42,INDEX('[1]Přepravní soustava'!$C$41:$AL$41,1,MATCH(E$5,'[1]Přepravní soustava'!$C$1:$AL$1,0)+1)/1000,"")</f>
        <v>7781.4639450000004</v>
      </c>
      <c r="F19" s="569">
        <f>IF(T!$A$4&gt;=F$42,INDEX('[1]Přepravní soustava'!$C$41:$AL$41,1,MATCH(F$5,'[1]Přepravní soustava'!$C$1:$AL$1,0)+1)/1000,"")</f>
        <v>5653.0803719999994</v>
      </c>
      <c r="G19" s="542">
        <f>IF(T!$A$4&gt;=G$42,INDEX('[1]Přepravní soustava'!$C$41:$AL$41,1,MATCH(G$5,'[1]Přepravní soustava'!$C$1:$AL$1,0)+1)/1000,"")</f>
        <v>432.63230599999997</v>
      </c>
      <c r="H19" s="529">
        <f>IF(T!$A$4&gt;=H$42,INDEX('[1]Přepravní soustava'!$C$41:$AL$41,1,MATCH(H$5,'[1]Přepravní soustava'!$C$1:$AL$1,0)+1)/1000,"")</f>
        <v>3.8729299999999998</v>
      </c>
      <c r="I19" s="544">
        <f>IF(T!$A$4&gt;=I$42,INDEX('[1]Přepravní soustava'!$C$41:$AL$41,1,MATCH(I$5,'[1]Přepravní soustava'!$C$1:$AL$1,0)+1)/1000,"")</f>
        <v>1.4613450000000001</v>
      </c>
      <c r="J19" s="529">
        <f>IF(T!$A$4&gt;=J$42,INDEX('[1]Přepravní soustava'!$C$41:$AL$41,1,MATCH(J$5,'[1]Přepravní soustava'!$C$1:$AL$1,0)+1)/1000,"")</f>
        <v>2.9395630000000001</v>
      </c>
      <c r="K19" s="529">
        <f>IF(T!$A$4&gt;=K$42,INDEX('[1]Přepravní soustava'!$C$41:$AL$41,1,MATCH(K$5,'[1]Přepravní soustava'!$C$1:$AL$1,0)+1)/1000,"")</f>
        <v>0</v>
      </c>
      <c r="L19" s="544">
        <f>IF(T!$A$4&gt;=L$42,INDEX('[1]Přepravní soustava'!$C$41:$AL$41,1,MATCH(L$5,'[1]Přepravní soustava'!$C$1:$AL$1,0)+1)/1000,"")</f>
        <v>2.8285170000000002</v>
      </c>
      <c r="M19" s="529">
        <f>IF(T!$A$4&gt;=M$42,INDEX('[1]Přepravní soustava'!$C$41:$AL$41,1,MATCH(M$5,'[1]Přepravní soustava'!$C$1:$AL$1,0)+1)/1000,"")</f>
        <v>1834.3315910000001</v>
      </c>
      <c r="N19" s="529">
        <f>IF(T!$A$4&gt;=N$42,INDEX('[1]Přepravní soustava'!$C$41:$AL$41,1,MATCH(N$5,'[1]Přepravní soustava'!$C$1:$AL$1,0)+1)/1000,"")</f>
        <v>3980.4997770000004</v>
      </c>
      <c r="O19" s="529">
        <f>IF(T!$A$4&gt;=O$42,INDEX('[1]Přepravní soustava'!$C$41:$AL$41,1,MATCH(O$5,'[1]Přepravní soustava'!$C$1:$AL$1,0)+1)/1000,"")</f>
        <v>3124.3694860000001</v>
      </c>
      <c r="P19" s="589">
        <f t="shared" si="0"/>
        <v>29877.399077000002</v>
      </c>
    </row>
    <row r="20" spans="1:19" ht="18" customHeight="1" x14ac:dyDescent="0.2">
      <c r="A20" s="877"/>
      <c r="B20" s="98" t="s">
        <v>143</v>
      </c>
      <c r="C20" s="567" t="s">
        <v>284</v>
      </c>
      <c r="D20" s="542">
        <f>IF(T!$A$4&gt;=D$42,-INDEX('[1]Přepravní soustava'!$C$45:$AL$45,1,MATCH(D$5,'[1]Přepravní soustava'!$C$1:$AL$1,0)+1)/1000,"")</f>
        <v>-175.246745</v>
      </c>
      <c r="E20" s="542">
        <f>IF(T!$A$4&gt;=E$42,-INDEX('[1]Přepravní soustava'!$C$45:$AL$45,1,MATCH(E$5,'[1]Přepravní soustava'!$C$1:$AL$1,0)+1)/1000,"")</f>
        <v>-101.32244299999999</v>
      </c>
      <c r="F20" s="569">
        <f>IF(T!$A$4&gt;=F$42,-INDEX('[1]Přepravní soustava'!$C$45:$AL$45,1,MATCH(F$5,'[1]Přepravní soustava'!$C$1:$AL$1,0)+1)/1000,"")</f>
        <v>-95.956741000000008</v>
      </c>
      <c r="G20" s="542">
        <f>IF(T!$A$4&gt;=G$42,-INDEX('[1]Přepravní soustava'!$C$45:$AL$45,1,MATCH(G$5,'[1]Přepravní soustava'!$C$1:$AL$1,0)+1)/1000,"")</f>
        <v>-553.96945600000004</v>
      </c>
      <c r="H20" s="529">
        <f>IF(T!$A$4&gt;=H$42,-INDEX('[1]Přepravní soustava'!$C$45:$AL$45,1,MATCH(H$5,'[1]Přepravní soustava'!$C$1:$AL$1,0)+1)/1000,"")</f>
        <v>-4350.3506279999992</v>
      </c>
      <c r="I20" s="544">
        <f>IF(T!$A$4&gt;=I$42,-INDEX('[1]Přepravní soustava'!$C$45:$AL$45,1,MATCH(I$5,'[1]Přepravní soustava'!$C$1:$AL$1,0)+1)/1000,"")</f>
        <v>-6007.5311279999996</v>
      </c>
      <c r="J20" s="529">
        <f>IF(T!$A$4&gt;=J$42,-INDEX('[1]Přepravní soustava'!$C$45:$AL$45,1,MATCH(J$5,'[1]Přepravní soustava'!$C$1:$AL$1,0)+1)/1000,"")</f>
        <v>-5376.3324070000008</v>
      </c>
      <c r="K20" s="529">
        <f>IF(T!$A$4&gt;=K$42,-INDEX('[1]Přepravní soustava'!$C$45:$AL$45,1,MATCH(K$5,'[1]Přepravní soustava'!$C$1:$AL$1,0)+1)/1000,"")</f>
        <v>-7095.650619</v>
      </c>
      <c r="L20" s="544">
        <f>IF(T!$A$4&gt;=L$42,-INDEX('[1]Přepravní soustava'!$C$45:$AL$45,1,MATCH(L$5,'[1]Přepravní soustava'!$C$1:$AL$1,0)+1)/1000,"")</f>
        <v>-3748.1244029999998</v>
      </c>
      <c r="M20" s="529">
        <f>IF(T!$A$4&gt;=M$42,-INDEX('[1]Přepravní soustava'!$C$45:$AL$45,1,MATCH(M$5,'[1]Přepravní soustava'!$C$1:$AL$1,0)+1)/1000,"")</f>
        <v>-338.063063</v>
      </c>
      <c r="N20" s="529">
        <f>IF(T!$A$4&gt;=N$42,-INDEX('[1]Přepravní soustava'!$C$45:$AL$45,1,MATCH(N$5,'[1]Přepravní soustava'!$C$1:$AL$1,0)+1)/1000,"")</f>
        <v>-334.48983600000003</v>
      </c>
      <c r="O20" s="529">
        <f>IF(T!$A$4&gt;=O$42,-INDEX('[1]Přepravní soustava'!$C$45:$AL$45,1,MATCH(O$5,'[1]Přepravní soustava'!$C$1:$AL$1,0)+1)/1000,"")</f>
        <v>-232.908534</v>
      </c>
      <c r="P20" s="589">
        <f t="shared" si="0"/>
        <v>-28409.946003000001</v>
      </c>
    </row>
    <row r="21" spans="1:19" ht="18" customHeight="1" x14ac:dyDescent="0.2">
      <c r="A21" s="877"/>
      <c r="B21" s="610" t="s">
        <v>144</v>
      </c>
      <c r="C21" s="567" t="s">
        <v>284</v>
      </c>
      <c r="D21" s="542">
        <f>IF(T!$A$4&gt;=D$42,D19+D20,"")</f>
        <v>6884.6724999999997</v>
      </c>
      <c r="E21" s="542">
        <f>IF(T!$A$4&gt;=E$42,E19+E20,"")</f>
        <v>7680.1415020000004</v>
      </c>
      <c r="F21" s="569">
        <f>IF(T!$A$4&gt;=F$42,F19+F20,"")</f>
        <v>5557.1236309999995</v>
      </c>
      <c r="G21" s="542">
        <f>IF(T!$A$4&gt;=G$42,G19+G20,"")</f>
        <v>-121.33715000000007</v>
      </c>
      <c r="H21" s="529">
        <f>IF(T!$A$4&gt;=H$42,H19+H20,"")</f>
        <v>-4346.4776979999988</v>
      </c>
      <c r="I21" s="544">
        <f>IF(T!$A$4&gt;=I$42,I19+I20,"")</f>
        <v>-6006.0697829999999</v>
      </c>
      <c r="J21" s="529">
        <f>IF(T!$A$4&gt;=J$42,J19+J20,"")</f>
        <v>-5373.3928440000009</v>
      </c>
      <c r="K21" s="529">
        <f>IF(T!$A$4&gt;=K$42,K19+K20,"")</f>
        <v>-7095.650619</v>
      </c>
      <c r="L21" s="544">
        <f>IF(T!$A$4&gt;=L$42,L19+L20,"")</f>
        <v>-3745.2958859999999</v>
      </c>
      <c r="M21" s="529">
        <f>IF(T!$A$4&gt;=M$42,M19+M20,"")</f>
        <v>1496.2685280000001</v>
      </c>
      <c r="N21" s="529">
        <f>IF(T!$A$4&gt;=N$42,N19+N20,"")</f>
        <v>3646.0099410000003</v>
      </c>
      <c r="O21" s="529">
        <f>IF(T!$A$4&gt;=O$42,O19+O20,"")</f>
        <v>2891.4609519999999</v>
      </c>
      <c r="P21" s="589">
        <f t="shared" si="0"/>
        <v>1467.4530739999996</v>
      </c>
    </row>
    <row r="22" spans="1:19" ht="18" customHeight="1" x14ac:dyDescent="0.2">
      <c r="A22" s="877"/>
      <c r="B22" s="610" t="s">
        <v>279</v>
      </c>
      <c r="C22" s="567" t="s">
        <v>284</v>
      </c>
      <c r="D22" s="542">
        <f>IF(T!$A$4&gt;=D$42,'[10]Stav zásob ČR'!C4,"")</f>
        <v>16158.764895715989</v>
      </c>
      <c r="E22" s="542">
        <f>IF(T!$A$4&gt;=E$42,'[10]Stav zásob ČR'!D4,"")</f>
        <v>8478.6233937159905</v>
      </c>
      <c r="F22" s="569">
        <f>IF(T!$A$4&gt;=F$42,'[10]Stav zásob ČR'!E4,"")</f>
        <v>2921.4997627159905</v>
      </c>
      <c r="G22" s="542">
        <f>IF(T!$A$4&gt;=G$42,'[10]Stav zásob ČR'!F4,"")</f>
        <v>3042.8369127159904</v>
      </c>
      <c r="H22" s="529">
        <f>IF(T!$A$4&gt;=H$42,'[10]Stav zásob ČR'!G4,"")</f>
        <v>7389.314610715991</v>
      </c>
      <c r="I22" s="544">
        <f>IF(T!$A$4&gt;=I$42,'[10]Stav zásob ČR'!H4,"")</f>
        <v>13395.384393715993</v>
      </c>
      <c r="J22" s="529">
        <f>IF(T!$A$4&gt;=J$42,'[10]Stav zásob ČR'!I4,"")</f>
        <v>18768.777237715993</v>
      </c>
      <c r="K22" s="529">
        <f>IF(T!$A$4&gt;=K$42,'[10]Stav zásob ČR'!J4,"")</f>
        <v>25864.427856715996</v>
      </c>
      <c r="L22" s="544">
        <f>IF(T!$A$4&gt;=L$42,'[10]Stav zásob ČR'!K4,"")</f>
        <v>29609.723742405993</v>
      </c>
      <c r="M22" s="529">
        <f>IF(T!$A$4&gt;=M$42,'[10]Stav zásob ČR'!L4,"")</f>
        <v>28113.455214405993</v>
      </c>
      <c r="N22" s="529">
        <f>IF(T!$A$4&gt;=N$42,'[10]Stav zásob ČR'!M4,"")</f>
        <v>24467.445273406</v>
      </c>
      <c r="O22" s="529">
        <f>IF(T!$A$4&gt;=O$42,'[10]Stav zásob ČR'!N4,"")</f>
        <v>21575.984321405991</v>
      </c>
      <c r="P22" s="589">
        <f>INDEX(D22:O22,,T!$A$4)</f>
        <v>21575.984321405991</v>
      </c>
    </row>
    <row r="23" spans="1:19" ht="9" customHeight="1" x14ac:dyDescent="0.2">
      <c r="A23" s="878"/>
      <c r="B23" s="513"/>
      <c r="C23" s="501"/>
      <c r="D23" s="546"/>
      <c r="E23" s="546"/>
      <c r="F23" s="577"/>
      <c r="G23" s="546"/>
      <c r="H23" s="548"/>
      <c r="I23" s="549"/>
      <c r="J23" s="548"/>
      <c r="K23" s="548"/>
      <c r="L23" s="549"/>
      <c r="M23" s="548"/>
      <c r="N23" s="548"/>
      <c r="O23" s="548"/>
      <c r="P23" s="590"/>
    </row>
    <row r="24" spans="1:19" ht="9" customHeight="1" x14ac:dyDescent="0.2">
      <c r="A24" s="506"/>
      <c r="B24" s="464"/>
      <c r="C24" s="519"/>
      <c r="D24" s="498"/>
      <c r="E24" s="498"/>
      <c r="F24" s="520"/>
      <c r="G24" s="498"/>
      <c r="H24" s="498"/>
      <c r="I24" s="520"/>
      <c r="J24" s="498"/>
      <c r="K24" s="498"/>
      <c r="L24" s="520"/>
      <c r="M24" s="498"/>
      <c r="N24" s="498"/>
      <c r="O24" s="498"/>
      <c r="P24" s="589"/>
    </row>
    <row r="25" spans="1:19" ht="18" customHeight="1" x14ac:dyDescent="0.2">
      <c r="A25" s="822" t="s">
        <v>242</v>
      </c>
      <c r="B25" s="822"/>
      <c r="C25" s="567" t="s">
        <v>231</v>
      </c>
      <c r="D25" s="529">
        <f>IF(T!$A$4&gt;=D$42,INDEX('[3]Poklady MZ'!$C$17:$Z$17,1,MATCH(D$5,'[3]Poklady MZ'!$C$1:$Z$1,0))/1000,"")</f>
        <v>14.180403000000002</v>
      </c>
      <c r="E25" s="542">
        <f>IF(T!$A$4&gt;=E$42,INDEX('[3]Poklady MZ'!$C$17:$Z$17,1,MATCH(E$5,'[3]Poklady MZ'!$C$1:$Z$1,0))/1000,"")</f>
        <v>13.270028</v>
      </c>
      <c r="F25" s="569">
        <f>IF(T!$A$4&gt;=F$42,INDEX('[3]Poklady MZ'!$C$17:$Z$17,1,MATCH(F$5,'[3]Poklady MZ'!$C$1:$Z$1,0))/1000,"")</f>
        <v>14.707849999999999</v>
      </c>
      <c r="G25" s="542">
        <f>IF(T!$A$4&gt;=G$42,INDEX('[3]Poklady MZ'!$C$17:$Z$17,1,MATCH(G$5,'[3]Poklady MZ'!$C$1:$Z$1,0))/1000,"")</f>
        <v>13.986095999999998</v>
      </c>
      <c r="H25" s="529">
        <f>IF(T!$A$4&gt;=H$42,INDEX('[3]Poklady MZ'!$C$17:$Z$17,1,MATCH(H$5,'[3]Poklady MZ'!$C$1:$Z$1,0))/1000,"")</f>
        <v>14.309644999999996</v>
      </c>
      <c r="I25" s="544">
        <f>IF(T!$A$4&gt;=I$42,INDEX('[3]Poklady MZ'!$C$17:$Z$17,1,MATCH(I$5,'[3]Poklady MZ'!$C$1:$Z$1,0))/1000,"")</f>
        <v>13.031152000000001</v>
      </c>
      <c r="J25" s="529">
        <f>IF(T!$A$4&gt;=J$42,INDEX('[3]Poklady MZ'!$C$17:$Z$17,1,MATCH(J$5,'[3]Poklady MZ'!$C$1:$Z$1,0))/1000,"")</f>
        <v>12.773635999999998</v>
      </c>
      <c r="K25" s="529">
        <f>IF(T!$A$4&gt;=K$42,INDEX('[3]Poklady MZ'!$C$17:$Z$17,1,MATCH(K$5,'[3]Poklady MZ'!$C$1:$Z$1,0))/1000,"")</f>
        <v>12.639234</v>
      </c>
      <c r="L25" s="544">
        <f>IF(T!$A$4&gt;=L$42,INDEX('[3]Poklady MZ'!$C$17:$Z$17,1,MATCH(L$5,'[3]Poklady MZ'!$C$1:$Z$1,0))/1000,"")</f>
        <v>12.171968000000003</v>
      </c>
      <c r="M25" s="529">
        <f>IF(T!$A$4&gt;=M$42,INDEX('[3]Poklady MZ'!$C$17:$Z$17,1,MATCH(M$5,'[3]Poklady MZ'!$C$1:$Z$1,0))/1000,"")</f>
        <v>12.734544999999999</v>
      </c>
      <c r="N25" s="529">
        <f>IF(T!$A$4&gt;=N$42,INDEX('[3]Poklady MZ'!$C$17:$Z$17,1,MATCH(N$5,'[3]Poklady MZ'!$C$1:$Z$1,0))/1000,"")</f>
        <v>12.409220000000001</v>
      </c>
      <c r="O25" s="529">
        <f>IF(T!$A$4&gt;=O$42,INDEX('[3]Poklady MZ'!$C$17:$Z$17,1,MATCH(O$5,'[3]Poklady MZ'!$C$1:$Z$1,0))/1000,"")</f>
        <v>12.209621000000002</v>
      </c>
      <c r="P25" s="589">
        <f t="shared" si="0"/>
        <v>158.42339800000002</v>
      </c>
    </row>
    <row r="26" spans="1:19" ht="18" customHeight="1" x14ac:dyDescent="0.2">
      <c r="A26" s="822" t="s">
        <v>242</v>
      </c>
      <c r="B26" s="822"/>
      <c r="C26" s="567" t="s">
        <v>284</v>
      </c>
      <c r="D26" s="542">
        <f>IF(T!$A$4&gt;=D$42,INDEX('[3]Poklady MZ'!$C$17:$Z$17,1,MATCH(D$5,'[3]Poklady MZ'!$C$1:$Z$1,0)+1)/1000,"")</f>
        <v>154.08155320000003</v>
      </c>
      <c r="E26" s="542">
        <f>IF(T!$A$4&gt;=E$42,INDEX('[3]Poklady MZ'!$C$17:$Z$17,1,MATCH(E$5,'[3]Poklady MZ'!$C$1:$Z$1,0)+1)/1000,"")</f>
        <v>144.12608200000003</v>
      </c>
      <c r="F26" s="569">
        <f>IF(T!$A$4&gt;=F$42,INDEX('[3]Poklady MZ'!$C$17:$Z$17,1,MATCH(F$5,'[3]Poklady MZ'!$C$1:$Z$1,0)+1)/1000,"")</f>
        <v>159.14952839489999</v>
      </c>
      <c r="G26" s="542">
        <f>IF(T!$A$4&gt;=G$42,INDEX('[3]Poklady MZ'!$C$17:$Z$17,1,MATCH(G$5,'[3]Poklady MZ'!$C$1:$Z$1,0)+1)/1000,"")</f>
        <v>151.93253561999998</v>
      </c>
      <c r="H26" s="529">
        <f>IF(T!$A$4&gt;=H$42,INDEX('[3]Poklady MZ'!$C$17:$Z$17,1,MATCH(H$5,'[3]Poklady MZ'!$C$1:$Z$1,0)+1)/1000,"")</f>
        <v>156.03802252</v>
      </c>
      <c r="I26" s="544">
        <f>IF(T!$A$4&gt;=I$42,INDEX('[3]Poklady MZ'!$C$17:$Z$17,1,MATCH(I$5,'[3]Poklady MZ'!$C$1:$Z$1,0)+1)/1000,"")</f>
        <v>142.2199755</v>
      </c>
      <c r="J26" s="529">
        <f>IF(T!$A$4&gt;=J$42,INDEX('[3]Poklady MZ'!$C$17:$Z$17,1,MATCH(J$5,'[3]Poklady MZ'!$C$1:$Z$1,0)+1)/1000,"")</f>
        <v>139.30307854400002</v>
      </c>
      <c r="K26" s="529">
        <f>IF(T!$A$4&gt;=K$42,INDEX('[3]Poklady MZ'!$C$17:$Z$17,1,MATCH(K$5,'[3]Poklady MZ'!$C$1:$Z$1,0)+1)/1000,"")</f>
        <v>137.82901914999999</v>
      </c>
      <c r="L26" s="544">
        <f>IF(T!$A$4&gt;=L$42,INDEX('[3]Poklady MZ'!$C$17:$Z$17,1,MATCH(L$5,'[3]Poklady MZ'!$C$1:$Z$1,0)+1)/1000,"")</f>
        <v>132.15821990379999</v>
      </c>
      <c r="M26" s="529">
        <f>IF(T!$A$4&gt;=M$42,INDEX('[3]Poklady MZ'!$C$17:$Z$17,1,MATCH(M$5,'[3]Poklady MZ'!$C$1:$Z$1,0)+1)/1000,"")</f>
        <v>138.22867505200003</v>
      </c>
      <c r="N26" s="529">
        <f>IF(T!$A$4&gt;=N$42,INDEX('[3]Poklady MZ'!$C$17:$Z$17,1,MATCH(N$5,'[3]Poklady MZ'!$C$1:$Z$1,0)+1)/1000,"")</f>
        <v>134.93603679560002</v>
      </c>
      <c r="O26" s="529">
        <f>IF(T!$A$4&gt;=O$42,INDEX('[3]Poklady MZ'!$C$17:$Z$17,1,MATCH(O$5,'[3]Poklady MZ'!$C$1:$Z$1,0)+1)/1000,"")</f>
        <v>132.21012091600002</v>
      </c>
      <c r="P26" s="589">
        <f t="shared" si="0"/>
        <v>1722.2128475963002</v>
      </c>
    </row>
    <row r="27" spans="1:19" ht="9" customHeight="1" x14ac:dyDescent="0.2">
      <c r="A27" s="505"/>
      <c r="B27" s="612"/>
      <c r="C27" s="572"/>
      <c r="D27" s="546"/>
      <c r="E27" s="546"/>
      <c r="F27" s="577"/>
      <c r="G27" s="546"/>
      <c r="H27" s="548"/>
      <c r="I27" s="549"/>
      <c r="J27" s="548"/>
      <c r="K27" s="548"/>
      <c r="L27" s="549"/>
      <c r="M27" s="548"/>
      <c r="N27" s="548"/>
      <c r="O27" s="548"/>
      <c r="P27" s="590"/>
    </row>
    <row r="28" spans="1:19" ht="9" customHeight="1" x14ac:dyDescent="0.2">
      <c r="A28" s="506"/>
      <c r="B28" s="464"/>
      <c r="C28" s="519"/>
      <c r="D28" s="498"/>
      <c r="E28" s="498"/>
      <c r="F28" s="520"/>
      <c r="G28" s="498"/>
      <c r="H28" s="498"/>
      <c r="I28" s="520"/>
      <c r="J28" s="498"/>
      <c r="K28" s="498"/>
      <c r="L28" s="520"/>
      <c r="M28" s="498"/>
      <c r="N28" s="498"/>
      <c r="O28" s="498"/>
      <c r="P28" s="589"/>
    </row>
    <row r="29" spans="1:19" ht="18" customHeight="1" x14ac:dyDescent="0.2">
      <c r="A29" s="822" t="s">
        <v>241</v>
      </c>
      <c r="B29" s="822"/>
      <c r="C29" s="567" t="s">
        <v>231</v>
      </c>
      <c r="D29" s="529">
        <f>IF(T!$A$4&gt;=D$42,-INDEX('[1]Přepravní soustava'!$C$49:$AL$49,1,MATCH(D$5,'[1]Přepravní soustava'!$C$1:$AL$1,0))/1000,"")</f>
        <v>-18.117960132158839</v>
      </c>
      <c r="E29" s="542">
        <f>IF(T!$A$4&gt;=E$42,-INDEX('[1]Přepravní soustava'!$C$49:$AL$49,1,MATCH(E$5,'[1]Přepravní soustava'!$C$1:$AL$1,0))/1000,"")</f>
        <v>-12.684402622247585</v>
      </c>
      <c r="F29" s="569">
        <f>IF(T!$A$4&gt;=F$42,-INDEX('[1]Přepravní soustava'!$C$49:$AL$49,1,MATCH(F$5,'[1]Přepravní soustava'!$C$1:$AL$1,0))/1000,"")</f>
        <v>-6.0139529915014425</v>
      </c>
      <c r="G29" s="542">
        <f>IF(T!$A$4&gt;=G$42,-INDEX('[1]Přepravní soustava'!$C$49:$AL$49,1,MATCH(G$5,'[1]Přepravní soustava'!$C$1:$AL$1,0))/1000,"")</f>
        <v>-22.13701290711484</v>
      </c>
      <c r="H29" s="529">
        <f>IF(T!$A$4&gt;=H$42,-INDEX('[1]Přepravní soustava'!$C$49:$AL$49,1,MATCH(H$5,'[1]Přepravní soustava'!$C$1:$AL$1,0))/1000,"")</f>
        <v>-16.169176930368703</v>
      </c>
      <c r="I29" s="544">
        <f>IF(T!$A$4&gt;=I$42,-INDEX('[1]Přepravní soustava'!$C$49:$AL$49,1,MATCH(I$5,'[1]Přepravní soustava'!$C$1:$AL$1,0))/1000,"")</f>
        <v>-15.995512653756887</v>
      </c>
      <c r="J29" s="529">
        <f>IF(T!$A$4&gt;=J$42,-INDEX('[1]Přepravní soustava'!$C$49:$AL$49,1,MATCH(J$5,'[1]Přepravní soustava'!$C$1:$AL$1,0))/1000,"")</f>
        <v>-8.1451462685563012</v>
      </c>
      <c r="K29" s="529">
        <f>IF(T!$A$4&gt;=K$42,-INDEX('[1]Přepravní soustava'!$C$49:$AL$49,1,MATCH(K$5,'[1]Přepravní soustava'!$C$1:$AL$1,0))/1000,"")</f>
        <v>-12.446211500637698</v>
      </c>
      <c r="L29" s="544">
        <f>IF(T!$A$4&gt;=L$42,-INDEX('[1]Přepravní soustava'!$C$49:$AL$49,1,MATCH(L$5,'[1]Přepravní soustava'!$C$1:$AL$1,0))/1000,"")</f>
        <v>-13.798279558220063</v>
      </c>
      <c r="M29" s="529">
        <f>IF(T!$A$4&gt;=M$42,-INDEX('[1]Přepravní soustava'!$C$49:$AL$49,1,MATCH(M$5,'[1]Přepravní soustava'!$C$1:$AL$1,0))/1000,"")</f>
        <v>-17.919107084652861</v>
      </c>
      <c r="N29" s="529">
        <f>IF(T!$A$4&gt;=N$42,-INDEX('[1]Přepravní soustava'!$C$49:$AL$49,1,MATCH(N$5,'[1]Přepravní soustava'!$C$1:$AL$1,0))/1000,"")</f>
        <v>-12.377146913891497</v>
      </c>
      <c r="O29" s="529">
        <f>IF(T!$A$4&gt;=O$42,-INDEX('[1]Přepravní soustava'!$C$49:$AL$49,1,MATCH(O$5,'[1]Přepravní soustava'!$C$1:$AL$1,0))/1000,"")</f>
        <v>-15.869609953045815</v>
      </c>
      <c r="P29" s="589">
        <f t="shared" si="0"/>
        <v>-171.67351951615254</v>
      </c>
    </row>
    <row r="30" spans="1:19" ht="18" customHeight="1" x14ac:dyDescent="0.2">
      <c r="A30" s="822" t="s">
        <v>241</v>
      </c>
      <c r="B30" s="822"/>
      <c r="C30" s="567" t="s">
        <v>284</v>
      </c>
      <c r="D30" s="542">
        <f>IF(T!$A$4&gt;=D$42,-INDEX('[1]Přepravní soustava'!$C$49:$AL$49,1,MATCH(D$5,'[1]Přepravní soustava'!$C$1:$AL$1,0)+1)/1000,"")</f>
        <v>-179.50949799999512</v>
      </c>
      <c r="E30" s="542">
        <f>IF(T!$A$4&gt;=E$42,-INDEX('[1]Přepravní soustava'!$C$49:$AL$49,1,MATCH(E$5,'[1]Přepravní soustava'!$C$1:$AL$1,0)+1)/1000,"")</f>
        <v>-129.10178000000303</v>
      </c>
      <c r="F30" s="569">
        <f>IF(T!$A$4&gt;=F$42,-INDEX('[1]Přepravní soustava'!$C$49:$AL$49,1,MATCH(F$5,'[1]Přepravní soustava'!$C$1:$AL$1,0)+1)/1000,"")</f>
        <v>-61.052843999995297</v>
      </c>
      <c r="G30" s="542">
        <f>IF(T!$A$4&gt;=G$42,-INDEX('[1]Přepravní soustava'!$C$49:$AL$49,1,MATCH(G$5,'[1]Přepravní soustava'!$C$1:$AL$1,0)+1)/1000,"")</f>
        <v>-234.87534299999791</v>
      </c>
      <c r="H30" s="529">
        <f>IF(T!$A$4&gt;=H$42,-INDEX('[1]Přepravní soustava'!$C$49:$AL$49,1,MATCH(H$5,'[1]Přepravní soustava'!$C$1:$AL$1,0)+1)/1000,"")</f>
        <v>-173.85355899999476</v>
      </c>
      <c r="I30" s="544">
        <f>IF(T!$A$4&gt;=I$42,-INDEX('[1]Přepravní soustava'!$C$49:$AL$49,1,MATCH(I$5,'[1]Přepravní soustava'!$C$1:$AL$1,0)+1)/1000,"")</f>
        <v>-162.29760973799975</v>
      </c>
      <c r="J30" s="529">
        <f>IF(T!$A$4&gt;=J$42,-INDEX('[1]Přepravní soustava'!$C$49:$AL$49,1,MATCH(J$5,'[1]Přepravní soustava'!$C$1:$AL$1,0)+1)/1000,"")</f>
        <v>-92.700816999996078</v>
      </c>
      <c r="K30" s="529">
        <f>IF(T!$A$4&gt;=K$42,-INDEX('[1]Přepravní soustava'!$C$49:$AL$49,1,MATCH(K$5,'[1]Přepravní soustava'!$C$1:$AL$1,0)+1)/1000,"")</f>
        <v>-125.44286900000181</v>
      </c>
      <c r="L30" s="544">
        <f>IF(T!$A$4&gt;=L$42,-INDEX('[1]Přepravní soustava'!$C$49:$AL$49,1,MATCH(L$5,'[1]Přepravní soustava'!$C$1:$AL$1,0)+1)/1000,"")</f>
        <v>-146.85614100000029</v>
      </c>
      <c r="M30" s="529">
        <f>IF(T!$A$4&gt;=M$42,-INDEX('[1]Přepravní soustava'!$C$49:$AL$49,1,MATCH(M$5,'[1]Přepravní soustava'!$C$1:$AL$1,0)+1)/1000,"")</f>
        <v>-182.46283699999941</v>
      </c>
      <c r="N30" s="529">
        <f>IF(T!$A$4&gt;=N$42,-INDEX('[1]Přepravní soustava'!$C$49:$AL$49,1,MATCH(N$5,'[1]Přepravní soustava'!$C$1:$AL$1,0)+1)/1000,"")</f>
        <v>-126.88313999999932</v>
      </c>
      <c r="O30" s="529">
        <f>IF(T!$A$4&gt;=O$42,-INDEX('[1]Přepravní soustava'!$C$49:$AL$49,1,MATCH(O$5,'[1]Přepravní soustava'!$C$1:$AL$1,0)+1)/1000,"")</f>
        <v>-163.63326499999638</v>
      </c>
      <c r="P30" s="589">
        <f t="shared" si="0"/>
        <v>-1778.6697027379789</v>
      </c>
    </row>
    <row r="31" spans="1:19" ht="9" customHeight="1" x14ac:dyDescent="0.2">
      <c r="A31" s="505"/>
      <c r="B31" s="612"/>
      <c r="C31" s="572"/>
      <c r="D31" s="546"/>
      <c r="E31" s="546"/>
      <c r="F31" s="577"/>
      <c r="G31" s="546"/>
      <c r="H31" s="548"/>
      <c r="I31" s="549"/>
      <c r="J31" s="548"/>
      <c r="K31" s="548"/>
      <c r="L31" s="549"/>
      <c r="M31" s="548"/>
      <c r="N31" s="548"/>
      <c r="O31" s="548"/>
      <c r="P31" s="590"/>
    </row>
    <row r="32" spans="1:19" ht="9" customHeight="1" x14ac:dyDescent="0.2">
      <c r="A32" s="891"/>
      <c r="B32" s="613"/>
      <c r="C32" s="598"/>
      <c r="D32" s="599"/>
      <c r="E32" s="599"/>
      <c r="F32" s="600"/>
      <c r="G32" s="599"/>
      <c r="H32" s="599"/>
      <c r="I32" s="600"/>
      <c r="J32" s="599"/>
      <c r="K32" s="599"/>
      <c r="L32" s="600"/>
      <c r="M32" s="599"/>
      <c r="N32" s="599"/>
      <c r="O32" s="599"/>
      <c r="P32" s="594"/>
    </row>
    <row r="33" spans="1:16" ht="18" customHeight="1" x14ac:dyDescent="0.2">
      <c r="A33" s="889"/>
      <c r="B33" s="614" t="s">
        <v>85</v>
      </c>
      <c r="C33" s="565" t="s">
        <v>231</v>
      </c>
      <c r="D33" s="521">
        <f>IF(T!$A$4&gt;=D$42,D9+D17+D25+D29,"")</f>
        <v>1081.281222384222</v>
      </c>
      <c r="E33" s="522">
        <f>IF(T!$A$4&gt;=E$42,E9+E17+E25+E29,"")</f>
        <v>989.8668869294786</v>
      </c>
      <c r="F33" s="523">
        <f>IF(T!$A$4&gt;=F$42,F9+F17+F25+F29,"")</f>
        <v>865.53172392396289</v>
      </c>
      <c r="G33" s="522">
        <f>IF(T!$A$4&gt;=G$42,G9+G17+G25+G29,"")</f>
        <v>622.80943485640046</v>
      </c>
      <c r="H33" s="521">
        <f>IF(T!$A$4&gt;=H$42,H9+H17+H25+H29,"")</f>
        <v>404.77313244464204</v>
      </c>
      <c r="I33" s="524">
        <f>IF(T!$A$4&gt;=I$42,I9+I17+I25+I29,"")</f>
        <v>314.40897259545517</v>
      </c>
      <c r="J33" s="521">
        <f>IF(T!$A$4&gt;=J$42,J9+J17+J25+J29,"")</f>
        <v>298.04376067746858</v>
      </c>
      <c r="K33" s="521">
        <f>IF(T!$A$4&gt;=K$42,K9+K17+K25+K29,"")</f>
        <v>277.17876817035494</v>
      </c>
      <c r="L33" s="524">
        <f>IF(T!$A$4&gt;=L$42,L9+L17+L25+L29,"")</f>
        <v>352.64245315228123</v>
      </c>
      <c r="M33" s="521">
        <f>IF(T!$A$4&gt;=M$42,M9+M17+M25+M29,"")</f>
        <v>692.05221676656458</v>
      </c>
      <c r="N33" s="521">
        <f>IF(T!$A$4&gt;=N$42,N9+N17+N25+N29,"")</f>
        <v>806.01733595335304</v>
      </c>
      <c r="O33" s="521">
        <f>IF(T!$A$4&gt;=O$42,O9+O17+O25+O29,"")</f>
        <v>902.97405031330266</v>
      </c>
      <c r="P33" s="594">
        <f t="shared" si="0"/>
        <v>7607.5799581674864</v>
      </c>
    </row>
    <row r="34" spans="1:16" ht="18" customHeight="1" x14ac:dyDescent="0.2">
      <c r="A34" s="889"/>
      <c r="B34" s="614" t="s">
        <v>85</v>
      </c>
      <c r="C34" s="565" t="s">
        <v>284</v>
      </c>
      <c r="D34" s="522">
        <f>IF(T!$A$4&gt;=D$42,D12+D21+D26+D30,"")</f>
        <v>11492.758327553393</v>
      </c>
      <c r="E34" s="522">
        <f>IF(T!$A$4&gt;=E$42,E12+E21+E26+E30,"")</f>
        <v>10525.401381702706</v>
      </c>
      <c r="F34" s="523">
        <f>IF(T!$A$4&gt;=F$42,F12+F21+F26+F30,"")</f>
        <v>9201.9028546028949</v>
      </c>
      <c r="G34" s="522">
        <f>IF(T!$A$4&gt;=G$42,G12+G21+G26+G30,"")</f>
        <v>6626.1087584350007</v>
      </c>
      <c r="H34" s="521">
        <f>IF(T!$A$4&gt;=H$42,H12+H21+H26+H30,"")</f>
        <v>4332.1299216519965</v>
      </c>
      <c r="I34" s="524">
        <f>IF(T!$A$4&gt;=I$42,I12+I21+I26+I30,"")</f>
        <v>3367.3131419259998</v>
      </c>
      <c r="J34" s="521">
        <f>IF(T!$A$4&gt;=J$42,J12+J21+J26+J30,"")</f>
        <v>3182.4143424458957</v>
      </c>
      <c r="K34" s="521">
        <f>IF(T!$A$4&gt;=K$42,K12+K21+K26+K30,"")</f>
        <v>2969.0288993557974</v>
      </c>
      <c r="L34" s="524">
        <f>IF(T!$A$4&gt;=L$42,L12+L21+L26+L30,"")</f>
        <v>3772.056234613397</v>
      </c>
      <c r="M34" s="521">
        <f>IF(T!$A$4&gt;=M$42,M12+M21+M26+M30,"")</f>
        <v>7391.5791699784968</v>
      </c>
      <c r="N34" s="521">
        <f>IF(T!$A$4&gt;=N$42,N12+N21+N26+N30,"")</f>
        <v>8590.0429771211002</v>
      </c>
      <c r="O34" s="521">
        <f>IF(T!$A$4&gt;=O$42,O12+O21+O26+O30,"")</f>
        <v>9616.7593172929028</v>
      </c>
      <c r="P34" s="594">
        <f t="shared" si="0"/>
        <v>81067.495326679593</v>
      </c>
    </row>
    <row r="35" spans="1:16" ht="9" customHeight="1" x14ac:dyDescent="0.2">
      <c r="A35" s="890"/>
      <c r="B35" s="615"/>
      <c r="C35" s="602"/>
      <c r="D35" s="603"/>
      <c r="E35" s="603"/>
      <c r="F35" s="604"/>
      <c r="G35" s="603"/>
      <c r="H35" s="605"/>
      <c r="I35" s="606"/>
      <c r="J35" s="605"/>
      <c r="K35" s="605"/>
      <c r="L35" s="606"/>
      <c r="M35" s="605"/>
      <c r="N35" s="605"/>
      <c r="O35" s="605"/>
      <c r="P35" s="607"/>
    </row>
    <row r="36" spans="1:16" x14ac:dyDescent="0.2">
      <c r="A36" s="39"/>
      <c r="B36" s="504"/>
      <c r="C36" s="579"/>
      <c r="G36" s="509"/>
      <c r="H36" s="504"/>
      <c r="I36" s="503"/>
      <c r="M36" s="509"/>
      <c r="N36" s="504"/>
      <c r="O36" s="504"/>
      <c r="P36" s="611"/>
    </row>
    <row r="37" spans="1:16" x14ac:dyDescent="0.2">
      <c r="P37" s="593"/>
    </row>
    <row r="42" spans="1:16" x14ac:dyDescent="0.2">
      <c r="E42" s="686">
        <v>2</v>
      </c>
      <c r="F42" s="686">
        <v>3</v>
      </c>
      <c r="G42" s="686">
        <v>4</v>
      </c>
      <c r="H42" s="686">
        <v>5</v>
      </c>
      <c r="I42" s="686">
        <v>6</v>
      </c>
      <c r="J42" s="686">
        <v>7</v>
      </c>
      <c r="K42" s="686">
        <v>8</v>
      </c>
      <c r="L42" s="686">
        <v>9</v>
      </c>
      <c r="M42" s="686">
        <v>10</v>
      </c>
      <c r="N42" s="686">
        <v>11</v>
      </c>
      <c r="O42" s="686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829" t="s">
        <v>56</v>
      </c>
      <c r="Q1" s="829"/>
    </row>
    <row r="2" spans="1:18" ht="15" customHeight="1" x14ac:dyDescent="0.25">
      <c r="A2" s="892" t="s">
        <v>48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</row>
    <row r="3" spans="1:18" ht="15" customHeight="1" x14ac:dyDescent="0.25">
      <c r="A3" s="895">
        <f>T!$I$21</f>
        <v>2015</v>
      </c>
      <c r="B3" s="896"/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</row>
    <row r="4" spans="1:18" ht="9.9499999999999993" customHeight="1" x14ac:dyDescent="0.25">
      <c r="A4" s="9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690"/>
      <c r="P5" s="893" t="s">
        <v>78</v>
      </c>
      <c r="Q5" s="54"/>
    </row>
    <row r="6" spans="1:18" ht="15" customHeight="1" thickBot="1" x14ac:dyDescent="0.25">
      <c r="A6" s="118" t="s">
        <v>119</v>
      </c>
      <c r="B6" s="120" t="s">
        <v>13</v>
      </c>
      <c r="C6" s="110" t="s">
        <v>58</v>
      </c>
      <c r="D6" s="110" t="s">
        <v>59</v>
      </c>
      <c r="E6" s="110" t="s">
        <v>60</v>
      </c>
      <c r="F6" s="110" t="s">
        <v>61</v>
      </c>
      <c r="G6" s="110" t="s">
        <v>62</v>
      </c>
      <c r="H6" s="110" t="s">
        <v>63</v>
      </c>
      <c r="I6" s="110" t="s">
        <v>64</v>
      </c>
      <c r="J6" s="110" t="s">
        <v>65</v>
      </c>
      <c r="K6" s="110" t="s">
        <v>66</v>
      </c>
      <c r="L6" s="110" t="s">
        <v>67</v>
      </c>
      <c r="M6" s="111" t="s">
        <v>68</v>
      </c>
      <c r="N6" s="112" t="s">
        <v>2</v>
      </c>
      <c r="O6" s="52"/>
      <c r="P6" s="894"/>
      <c r="Q6" s="111" t="s">
        <v>79</v>
      </c>
      <c r="R6" s="16"/>
    </row>
    <row r="7" spans="1:18" ht="15" customHeight="1" x14ac:dyDescent="0.2">
      <c r="A7" s="633" t="s">
        <v>6</v>
      </c>
      <c r="B7" s="634">
        <f>IF(T!$A$4&gt;=MONTH(B$6&amp;$A$3),'[11]Podklady MZ'!B3,"")</f>
        <v>281</v>
      </c>
      <c r="C7" s="635">
        <f>IF(T!$A$4&gt;=MONTH(C$6&amp;$A$3),'[11]Podklady MZ'!C3,"")</f>
        <v>10</v>
      </c>
      <c r="D7" s="635">
        <f>IF(T!$A$4&gt;=MONTH(D$6&amp;$A$3),'[11]Podklady MZ'!D3,"")</f>
        <v>3</v>
      </c>
      <c r="E7" s="635">
        <f>IF(T!$A$4&gt;=MONTH(E$6&amp;$A$3),'[11]Podklady MZ'!E3,"")</f>
        <v>2</v>
      </c>
      <c r="F7" s="635">
        <f>IF(T!$A$4&gt;=MONTH(F$6&amp;$A$3),'[11]Podklady MZ'!F3,"")</f>
        <v>1</v>
      </c>
      <c r="G7" s="635">
        <f>IF(T!$A$4&gt;=MONTH(G$6&amp;$A$3),'[11]Podklady MZ'!G3,"")</f>
        <v>3</v>
      </c>
      <c r="H7" s="635">
        <f>IF(T!$A$4&gt;=MONTH(H$6&amp;$A$3),'[11]Podklady MZ'!H3,"")</f>
        <v>6</v>
      </c>
      <c r="I7" s="635">
        <f>IF(T!$A$4&gt;=MONTH(I$6&amp;$A$3),'[11]Podklady MZ'!I3,"")</f>
        <v>2</v>
      </c>
      <c r="J7" s="635">
        <f>IF(T!$A$4&gt;=MONTH(J$6&amp;$A$3),'[11]Podklady MZ'!J3,"")</f>
        <v>2</v>
      </c>
      <c r="K7" s="635">
        <f>IF(T!$A$4&gt;=MONTH(K$6&amp;$A$3),'[11]Podklady MZ'!K3,"")</f>
        <v>6</v>
      </c>
      <c r="L7" s="635">
        <f>IF(T!$A$4&gt;=MONTH(L$6&amp;$A$3),'[11]Podklady MZ'!L3,"")</f>
        <v>5</v>
      </c>
      <c r="M7" s="636">
        <f>IF(T!$A$4&gt;=MONTH(M$6&amp;$A$3),'[11]Podklady MZ'!M3,"")</f>
        <v>8</v>
      </c>
      <c r="N7" s="637">
        <f>SUM(B7:M7)</f>
        <v>329</v>
      </c>
      <c r="O7" s="53"/>
      <c r="P7" s="638">
        <f>'5'!D11</f>
        <v>1606</v>
      </c>
      <c r="Q7" s="639">
        <f>N7/P7</f>
        <v>0.20485678704856788</v>
      </c>
    </row>
    <row r="8" spans="1:18" ht="15" customHeight="1" x14ac:dyDescent="0.2">
      <c r="A8" s="633" t="s">
        <v>7</v>
      </c>
      <c r="B8" s="634">
        <f>IF(T!$A$4&gt;=MONTH(B$6&amp;$A$3),'[11]Podklady MZ'!B4,"")</f>
        <v>1043</v>
      </c>
      <c r="C8" s="635">
        <f>IF(T!$A$4&gt;=MONTH(C$6&amp;$A$3),'[11]Podklady MZ'!C4,"")</f>
        <v>27</v>
      </c>
      <c r="D8" s="635">
        <f>IF(T!$A$4&gt;=MONTH(D$6&amp;$A$3),'[11]Podklady MZ'!D4,"")</f>
        <v>19</v>
      </c>
      <c r="E8" s="635">
        <f>IF(T!$A$4&gt;=MONTH(E$6&amp;$A$3),'[11]Podklady MZ'!E4,"")</f>
        <v>33</v>
      </c>
      <c r="F8" s="635">
        <f>IF(T!$A$4&gt;=MONTH(F$6&amp;$A$3),'[11]Podklady MZ'!F4,"")</f>
        <v>20</v>
      </c>
      <c r="G8" s="635">
        <f>IF(T!$A$4&gt;=MONTH(G$6&amp;$A$3),'[11]Podklady MZ'!G4,"")</f>
        <v>18</v>
      </c>
      <c r="H8" s="635">
        <f>IF(T!$A$4&gt;=MONTH(H$6&amp;$A$3),'[11]Podklady MZ'!H4,"")</f>
        <v>59</v>
      </c>
      <c r="I8" s="635">
        <f>IF(T!$A$4&gt;=MONTH(I$6&amp;$A$3),'[11]Podklady MZ'!I4,"")</f>
        <v>19</v>
      </c>
      <c r="J8" s="635">
        <f>IF(T!$A$4&gt;=MONTH(J$6&amp;$A$3),'[11]Podklady MZ'!J4,"")</f>
        <v>28</v>
      </c>
      <c r="K8" s="635">
        <f>IF(T!$A$4&gt;=MONTH(K$6&amp;$A$3),'[11]Podklady MZ'!K4,"")</f>
        <v>18</v>
      </c>
      <c r="L8" s="635">
        <f>IF(T!$A$4&gt;=MONTH(L$6&amp;$A$3),'[11]Podklady MZ'!L4,"")</f>
        <v>26</v>
      </c>
      <c r="M8" s="636">
        <f>IF(T!$A$4&gt;=MONTH(M$6&amp;$A$3),'[11]Podklady MZ'!M4,"")</f>
        <v>16</v>
      </c>
      <c r="N8" s="637">
        <f t="shared" ref="N8:N10" si="0">SUM(B8:M8)</f>
        <v>1326</v>
      </c>
      <c r="O8" s="53"/>
      <c r="P8" s="638">
        <f>'5'!D12</f>
        <v>6814</v>
      </c>
      <c r="Q8" s="639">
        <f>N8/P8</f>
        <v>0.19459935427061931</v>
      </c>
    </row>
    <row r="9" spans="1:18" ht="15" customHeight="1" x14ac:dyDescent="0.2">
      <c r="A9" s="633" t="s">
        <v>8</v>
      </c>
      <c r="B9" s="634">
        <f>IF(T!$A$4&gt;=MONTH(B$6&amp;$A$3),'[11]Podklady MZ'!B5,"")</f>
        <v>10986</v>
      </c>
      <c r="C9" s="635">
        <f>IF(T!$A$4&gt;=MONTH(C$6&amp;$A$3),'[11]Podklady MZ'!C5,"")</f>
        <v>829</v>
      </c>
      <c r="D9" s="635">
        <f>IF(T!$A$4&gt;=MONTH(D$6&amp;$A$3),'[11]Podklady MZ'!D5,"")</f>
        <v>873</v>
      </c>
      <c r="E9" s="635">
        <f>IF(T!$A$4&gt;=MONTH(E$6&amp;$A$3),'[11]Podklady MZ'!E5,"")</f>
        <v>840</v>
      </c>
      <c r="F9" s="635">
        <f>IF(T!$A$4&gt;=MONTH(F$6&amp;$A$3),'[11]Podklady MZ'!F5,"")</f>
        <v>1284</v>
      </c>
      <c r="G9" s="635">
        <f>IF(T!$A$4&gt;=MONTH(G$6&amp;$A$3),'[11]Podklady MZ'!G5,"")</f>
        <v>725</v>
      </c>
      <c r="H9" s="635">
        <f>IF(T!$A$4&gt;=MONTH(H$6&amp;$A$3),'[11]Podklady MZ'!H5,"")</f>
        <v>1062</v>
      </c>
      <c r="I9" s="635">
        <f>IF(T!$A$4&gt;=MONTH(I$6&amp;$A$3),'[11]Podklady MZ'!I5,"")</f>
        <v>982</v>
      </c>
      <c r="J9" s="635">
        <f>IF(T!$A$4&gt;=MONTH(J$6&amp;$A$3),'[11]Podklady MZ'!J5,"")</f>
        <v>857</v>
      </c>
      <c r="K9" s="635">
        <f>IF(T!$A$4&gt;=MONTH(K$6&amp;$A$3),'[11]Podklady MZ'!K5,"")</f>
        <v>829</v>
      </c>
      <c r="L9" s="635">
        <f>IF(T!$A$4&gt;=MONTH(L$6&amp;$A$3),'[11]Podklady MZ'!L5,"")</f>
        <v>1276</v>
      </c>
      <c r="M9" s="636">
        <f>IF(T!$A$4&gt;=MONTH(M$6&amp;$A$3),'[11]Podklady MZ'!M5,"")</f>
        <v>1099</v>
      </c>
      <c r="N9" s="637">
        <f t="shared" si="0"/>
        <v>21642</v>
      </c>
      <c r="O9" s="53"/>
      <c r="P9" s="638">
        <f>'5'!D13</f>
        <v>199725</v>
      </c>
      <c r="Q9" s="639">
        <f t="shared" ref="Q9:Q10" si="1">N9/P9</f>
        <v>0.10835899361622231</v>
      </c>
    </row>
    <row r="10" spans="1:18" ht="15" customHeight="1" x14ac:dyDescent="0.2">
      <c r="A10" s="119" t="s">
        <v>9</v>
      </c>
      <c r="B10" s="121">
        <f>IF(T!$A$4&gt;=MONTH(B$6&amp;$A$3),'[11]Podklady MZ'!B6,"")</f>
        <v>17564</v>
      </c>
      <c r="C10" s="113">
        <f>IF(T!$A$4&gt;=MONTH(C$6&amp;$A$3),'[11]Podklady MZ'!C6,"")</f>
        <v>10538</v>
      </c>
      <c r="D10" s="113">
        <f>IF(T!$A$4&gt;=MONTH(D$6&amp;$A$3),'[11]Podklady MZ'!D6,"")</f>
        <v>10953</v>
      </c>
      <c r="E10" s="113">
        <f>IF(T!$A$4&gt;=MONTH(E$6&amp;$A$3),'[11]Podklady MZ'!E6,"")</f>
        <v>11210</v>
      </c>
      <c r="F10" s="113">
        <f>IF(T!$A$4&gt;=MONTH(F$6&amp;$A$3),'[11]Podklady MZ'!F6,"")</f>
        <v>19688</v>
      </c>
      <c r="G10" s="113">
        <f>IF(T!$A$4&gt;=MONTH(G$6&amp;$A$3),'[11]Podklady MZ'!G6,"")</f>
        <v>11609</v>
      </c>
      <c r="H10" s="113">
        <f>IF(T!$A$4&gt;=MONTH(H$6&amp;$A$3),'[11]Podklady MZ'!H6,"")</f>
        <v>11190</v>
      </c>
      <c r="I10" s="113">
        <f>IF(T!$A$4&gt;=MONTH(I$6&amp;$A$3),'[11]Podklady MZ'!I6,"")</f>
        <v>11846</v>
      </c>
      <c r="J10" s="113">
        <f>IF(T!$A$4&gt;=MONTH(J$6&amp;$A$3),'[11]Podklady MZ'!J6,"")</f>
        <v>12336</v>
      </c>
      <c r="K10" s="113">
        <f>IF(T!$A$4&gt;=MONTH(K$6&amp;$A$3),'[11]Podklady MZ'!K6,"")</f>
        <v>13353</v>
      </c>
      <c r="L10" s="113">
        <f>IF(T!$A$4&gt;=MONTH(L$6&amp;$A$3),'[11]Podklady MZ'!L6,"")</f>
        <v>12445</v>
      </c>
      <c r="M10" s="114">
        <f>IF(T!$A$4&gt;=MONTH(M$6&amp;$A$3),'[11]Podklady MZ'!M6,"")</f>
        <v>11733</v>
      </c>
      <c r="N10" s="115">
        <f t="shared" si="0"/>
        <v>154465</v>
      </c>
      <c r="O10" s="53"/>
      <c r="P10" s="116">
        <f>'5'!D14</f>
        <v>2636189</v>
      </c>
      <c r="Q10" s="117">
        <f t="shared" si="1"/>
        <v>5.8594053764733867E-2</v>
      </c>
    </row>
    <row r="11" spans="1:18" ht="15" customHeight="1" x14ac:dyDescent="0.2">
      <c r="A11" s="490" t="s">
        <v>2</v>
      </c>
      <c r="B11" s="491">
        <f>IF(T!$A$4&gt;=MONTH(B$6&amp;$A$3),SUM(B7:B10),"")</f>
        <v>29874</v>
      </c>
      <c r="C11" s="492">
        <f>IF(T!$A$4&gt;=MONTH(C$6&amp;$A$3),SUM(C7:C10),"")</f>
        <v>11404</v>
      </c>
      <c r="D11" s="492">
        <f>IF(T!$A$4&gt;=MONTH(D$6&amp;$A$3),SUM(D7:D10),"")</f>
        <v>11848</v>
      </c>
      <c r="E11" s="492">
        <f>IF(T!$A$4&gt;=MONTH(E$6&amp;$A$3),SUM(E7:E10),"")</f>
        <v>12085</v>
      </c>
      <c r="F11" s="492">
        <f>IF(T!$A$4&gt;=MONTH(F$6&amp;$A$3),SUM(F7:F10),"")</f>
        <v>20993</v>
      </c>
      <c r="G11" s="492">
        <f>IF(T!$A$4&gt;=MONTH(G$6&amp;$A$3),SUM(G7:G10),"")</f>
        <v>12355</v>
      </c>
      <c r="H11" s="492">
        <f>IF(T!$A$4&gt;=MONTH(H$6&amp;$A$3),SUM(H7:H10),"")</f>
        <v>12317</v>
      </c>
      <c r="I11" s="492">
        <f>IF(T!$A$4&gt;=MONTH(I$6&amp;$A$3),SUM(I7:I10),"")</f>
        <v>12849</v>
      </c>
      <c r="J11" s="492">
        <f>IF(T!$A$4&gt;=MONTH(J$6&amp;$A$3),SUM(J7:J10),"")</f>
        <v>13223</v>
      </c>
      <c r="K11" s="492">
        <f>IF(T!$A$4&gt;=MONTH(K$6&amp;$A$3),SUM(K7:K10),"")</f>
        <v>14206</v>
      </c>
      <c r="L11" s="492">
        <f>IF(T!$A$4&gt;=MONTH(L$6&amp;$A$3),SUM(L7:L10),"")</f>
        <v>13752</v>
      </c>
      <c r="M11" s="493">
        <f>IF(T!$A$4&gt;=MONTH(M$6&amp;$A$3),SUM(M7:M10),"")</f>
        <v>12856</v>
      </c>
      <c r="N11" s="494">
        <f>SUM(B11:M11)</f>
        <v>177762</v>
      </c>
      <c r="P11" s="489">
        <f>'5'!D15</f>
        <v>2844334</v>
      </c>
      <c r="Q11" s="495">
        <f>N11/P11</f>
        <v>6.2496879761659498E-2</v>
      </c>
    </row>
    <row r="12" spans="1:18" ht="3" customHeight="1" x14ac:dyDescent="0.2">
      <c r="B12" s="122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743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4"/>
    <col min="21" max="21" width="11.7109375" style="74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858" t="s">
        <v>57</v>
      </c>
      <c r="O1" s="858"/>
      <c r="T1" s="75">
        <f>A31</f>
        <v>2014</v>
      </c>
      <c r="U1" s="685">
        <f>A27</f>
        <v>2015</v>
      </c>
      <c r="V1" s="685">
        <f>A27</f>
        <v>2015</v>
      </c>
      <c r="W1" s="685" t="s">
        <v>295</v>
      </c>
    </row>
    <row r="2" spans="1:23" ht="15.75" x14ac:dyDescent="0.25">
      <c r="A2" s="892" t="str">
        <f>"Porovnání denní spotřeby zemního plynu v ČR mezi roky "&amp;A31&amp;" a "&amp;A27</f>
        <v>Porovnání denní spotřeby zemního plynu v ČR mezi roky 2014 a 2015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73"/>
      <c r="Q2" s="73"/>
      <c r="S2" s="76">
        <f>DATE(A27,1,1)</f>
        <v>42005</v>
      </c>
      <c r="T2" s="77">
        <f>INDEX([12]ČR!$D$18:$D$383,DATE(2016,MONTH(S2),DAY(S2))-DATE(2016,1,1)+1,1)/1000000</f>
        <v>29.819936957415216</v>
      </c>
      <c r="U2" s="77">
        <f>IF(T!$A$4&gt;=MONTH(S2),VLOOKUP(S2,'[8]Podklady MZ'!$R$2:$S$367,2,FALSE),NA())</f>
        <v>34.064890044007484</v>
      </c>
      <c r="V2" s="176">
        <f>INDEX([5]PT!$AF$16:$AF$381,DATE(2016,MONTH(S2),DAY(S2))-DATE(2016,1,1)+1,1)</f>
        <v>0</v>
      </c>
      <c r="W2" s="176" t="e">
        <f>IF(T!$A$4&lt;MONTH(S2),VLOOKUP(S2,'[8]Podklady MZ'!$R$2:$S$367,2,FALSE),NA())</f>
        <v>#N/A</v>
      </c>
    </row>
    <row r="3" spans="1:23" ht="12" customHeight="1" x14ac:dyDescent="0.25">
      <c r="A3" s="80"/>
      <c r="B3" s="157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3"/>
      <c r="Q3" s="73"/>
      <c r="S3" s="76">
        <f>S2+1</f>
        <v>42006</v>
      </c>
      <c r="T3" s="77">
        <f>INDEX([12]ČR!$D$18:$D$383,DATE(2016,MONTH(S3),DAY(S3))-DATE(2016,1,1)+1,1)/1000000</f>
        <v>32.181140578438225</v>
      </c>
      <c r="U3" s="77">
        <f>IF(T!$A$4&gt;=MONTH(S3),VLOOKUP(S3,'[8]Podklady MZ'!$R$2:$S$367,2,FALSE),NA())</f>
        <v>34.422167061021369</v>
      </c>
      <c r="V3" s="176">
        <f>INDEX([5]PT!$AF$16:$AF$381,DATE(2016,MONTH(S3),DAY(S3))-DATE(2016,1,1)+1,1)</f>
        <v>1.6</v>
      </c>
      <c r="W3" s="176" t="e">
        <f>IF(T!$A$4&lt;MONTH(S3),VLOOKUP(S3,'[8]Podklady MZ'!$R$2:$S$367,2,FALSE),NA())</f>
        <v>#N/A</v>
      </c>
    </row>
    <row r="4" spans="1:23" ht="15.75" x14ac:dyDescent="0.25">
      <c r="A4" s="80"/>
      <c r="B4" s="157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3"/>
      <c r="Q4" s="73"/>
      <c r="S4" s="76">
        <f t="shared" ref="S4:S67" si="0">S3+1</f>
        <v>42007</v>
      </c>
      <c r="T4" s="77">
        <f>INDEX([12]ČR!$D$18:$D$383,DATE(2016,MONTH(S4),DAY(S4))-DATE(2016,1,1)+1,1)/1000000</f>
        <v>30.611301271536977</v>
      </c>
      <c r="U4" s="77">
        <f>IF(T!$A$4&gt;=MONTH(S4),VLOOKUP(S4,'[8]Podklady MZ'!$R$2:$S$367,2,FALSE),NA())</f>
        <v>32.964357257632088</v>
      </c>
      <c r="V4" s="176">
        <f>INDEX([5]PT!$AF$16:$AF$381,DATE(2016,MONTH(S4),DAY(S4))-DATE(2016,1,1)+1,1)</f>
        <v>0.9</v>
      </c>
      <c r="W4" s="176" t="e">
        <f>IF(T!$A$4&lt;MONTH(S4),VLOOKUP(S4,'[8]Podklady MZ'!$R$2:$S$367,2,FALSE),NA())</f>
        <v>#N/A</v>
      </c>
    </row>
    <row r="5" spans="1:23" ht="15.75" x14ac:dyDescent="0.25">
      <c r="A5" s="80"/>
      <c r="B5" s="157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73"/>
      <c r="Q5" s="73"/>
      <c r="S5" s="76">
        <f t="shared" si="0"/>
        <v>42008</v>
      </c>
      <c r="T5" s="77">
        <f>INDEX([12]ČR!$D$18:$D$383,DATE(2016,MONTH(S5),DAY(S5))-DATE(2016,1,1)+1,1)/1000000</f>
        <v>28.224276360862738</v>
      </c>
      <c r="U5" s="77">
        <f>IF(T!$A$4&gt;=MONTH(S5),VLOOKUP(S5,'[8]Podklady MZ'!$R$2:$S$367,2,FALSE),NA())</f>
        <v>34.923265193104555</v>
      </c>
      <c r="V5" s="176">
        <f>INDEX([5]PT!$AF$16:$AF$381,DATE(2016,MONTH(S5),DAY(S5))-DATE(2016,1,1)+1,1)</f>
        <v>0.7</v>
      </c>
      <c r="W5" s="176" t="e">
        <f>IF(T!$A$4&lt;MONTH(S5),VLOOKUP(S5,'[8]Podklady MZ'!$R$2:$S$367,2,FALSE),NA())</f>
        <v>#N/A</v>
      </c>
    </row>
    <row r="6" spans="1:23" ht="15.75" x14ac:dyDescent="0.25">
      <c r="A6" s="80"/>
      <c r="B6" s="15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73"/>
      <c r="Q6" s="73"/>
      <c r="S6" s="76">
        <f t="shared" si="0"/>
        <v>42009</v>
      </c>
      <c r="T6" s="77">
        <f>INDEX([12]ČR!$D$18:$D$383,DATE(2016,MONTH(S6),DAY(S6))-DATE(2016,1,1)+1,1)/1000000</f>
        <v>28.323624258618793</v>
      </c>
      <c r="U6" s="77">
        <f>IF(T!$A$4&gt;=MONTH(S6),VLOOKUP(S6,'[8]Podklady MZ'!$R$2:$S$367,2,FALSE),NA())</f>
        <v>38.71826912537675</v>
      </c>
      <c r="V6" s="176">
        <f>INDEX([5]PT!$AF$16:$AF$381,DATE(2016,MONTH(S6),DAY(S6))-DATE(2016,1,1)+1,1)</f>
        <v>-0.1</v>
      </c>
      <c r="W6" s="176" t="e">
        <f>IF(T!$A$4&lt;MONTH(S6),VLOOKUP(S6,'[8]Podklady MZ'!$R$2:$S$367,2,FALSE),NA())</f>
        <v>#N/A</v>
      </c>
    </row>
    <row r="7" spans="1:23" ht="15.75" x14ac:dyDescent="0.25">
      <c r="A7" s="80"/>
      <c r="B7" s="15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3"/>
      <c r="Q7" s="73"/>
      <c r="S7" s="76">
        <f t="shared" si="0"/>
        <v>42010</v>
      </c>
      <c r="T7" s="77">
        <f>INDEX([12]ČR!$D$18:$D$383,DATE(2016,MONTH(S7),DAY(S7))-DATE(2016,1,1)+1,1)/1000000</f>
        <v>31.17152473981665</v>
      </c>
      <c r="U7" s="77">
        <f>IF(T!$A$4&gt;=MONTH(S7),VLOOKUP(S7,'[8]Podklady MZ'!$R$2:$S$367,2,FALSE),NA())</f>
        <v>39.255939835613098</v>
      </c>
      <c r="V7" s="176">
        <f>INDEX([5]PT!$AF$16:$AF$381,DATE(2016,MONTH(S7),DAY(S7))-DATE(2016,1,1)+1,1)</f>
        <v>-3.6</v>
      </c>
      <c r="W7" s="176" t="e">
        <f>IF(T!$A$4&lt;MONTH(S7),VLOOKUP(S7,'[8]Podklady MZ'!$R$2:$S$367,2,FALSE),NA())</f>
        <v>#N/A</v>
      </c>
    </row>
    <row r="8" spans="1:23" ht="15.75" x14ac:dyDescent="0.25">
      <c r="A8" s="80"/>
      <c r="B8" s="15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73"/>
      <c r="Q8" s="73"/>
      <c r="S8" s="76">
        <f t="shared" si="0"/>
        <v>42011</v>
      </c>
      <c r="T8" s="77">
        <f>INDEX([12]ČR!$D$18:$D$383,DATE(2016,MONTH(S8),DAY(S8))-DATE(2016,1,1)+1,1)/1000000</f>
        <v>30.816836681936199</v>
      </c>
      <c r="U8" s="77">
        <f>IF(T!$A$4&gt;=MONTH(S8),VLOOKUP(S8,'[8]Podklady MZ'!$R$2:$S$367,2,FALSE),NA())</f>
        <v>41.345389040398715</v>
      </c>
      <c r="V8" s="176">
        <f>INDEX([5]PT!$AF$16:$AF$381,DATE(2016,MONTH(S8),DAY(S8))-DATE(2016,1,1)+1,1)</f>
        <v>-3.6</v>
      </c>
      <c r="W8" s="176" t="e">
        <f>IF(T!$A$4&lt;MONTH(S8),VLOOKUP(S8,'[8]Podklady MZ'!$R$2:$S$367,2,FALSE),NA())</f>
        <v>#N/A</v>
      </c>
    </row>
    <row r="9" spans="1:23" ht="15.75" x14ac:dyDescent="0.25">
      <c r="A9" s="80"/>
      <c r="B9" s="15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73"/>
      <c r="Q9" s="73"/>
      <c r="S9" s="76">
        <f t="shared" si="0"/>
        <v>42012</v>
      </c>
      <c r="T9" s="77">
        <f>INDEX([12]ČR!$D$18:$D$383,DATE(2016,MONTH(S9),DAY(S9))-DATE(2016,1,1)+1,1)/1000000</f>
        <v>30.577419431284611</v>
      </c>
      <c r="U9" s="77">
        <f>IF(T!$A$4&gt;=MONTH(S9),VLOOKUP(S9,'[8]Podklady MZ'!$R$2:$S$367,2,FALSE),NA())</f>
        <v>39.126477683777225</v>
      </c>
      <c r="V9" s="176">
        <f>INDEX([5]PT!$AF$16:$AF$381,DATE(2016,MONTH(S9),DAY(S9))-DATE(2016,1,1)+1,1)</f>
        <v>-0.6</v>
      </c>
      <c r="W9" s="176" t="e">
        <f>IF(T!$A$4&lt;MONTH(S9),VLOOKUP(S9,'[8]Podklady MZ'!$R$2:$S$367,2,FALSE),NA())</f>
        <v>#N/A</v>
      </c>
    </row>
    <row r="10" spans="1:23" ht="15.75" x14ac:dyDescent="0.25">
      <c r="A10" s="80"/>
      <c r="B10" s="15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73"/>
      <c r="Q10" s="73"/>
      <c r="S10" s="76">
        <f t="shared" si="0"/>
        <v>42013</v>
      </c>
      <c r="T10" s="77">
        <f>INDEX([12]ČR!$D$18:$D$383,DATE(2016,MONTH(S10),DAY(S10))-DATE(2016,1,1)+1,1)/1000000</f>
        <v>30.77791814439302</v>
      </c>
      <c r="U10" s="77">
        <f>IF(T!$A$4&gt;=MONTH(S10),VLOOKUP(S10,'[8]Podklady MZ'!$R$2:$S$367,2,FALSE),NA())</f>
        <v>33.924466260058615</v>
      </c>
      <c r="V10" s="176">
        <f>INDEX([5]PT!$AF$16:$AF$381,DATE(2016,MONTH(S10),DAY(S10))-DATE(2016,1,1)+1,1)</f>
        <v>5.6</v>
      </c>
      <c r="W10" s="176" t="e">
        <f>IF(T!$A$4&lt;MONTH(S10),VLOOKUP(S10,'[8]Podklady MZ'!$R$2:$S$367,2,FALSE),NA())</f>
        <v>#N/A</v>
      </c>
    </row>
    <row r="11" spans="1:23" ht="15.75" x14ac:dyDescent="0.25">
      <c r="A11" s="80"/>
      <c r="B11" s="15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73"/>
      <c r="Q11" s="73"/>
      <c r="S11" s="76">
        <f t="shared" si="0"/>
        <v>42014</v>
      </c>
      <c r="T11" s="77">
        <f>INDEX([12]ČR!$D$18:$D$383,DATE(2016,MONTH(S11),DAY(S11))-DATE(2016,1,1)+1,1)/1000000</f>
        <v>30.132613917439219</v>
      </c>
      <c r="U11" s="77">
        <f>IF(T!$A$4&gt;=MONTH(S11),VLOOKUP(S11,'[8]Podklady MZ'!$R$2:$S$367,2,FALSE),NA())</f>
        <v>26.684387110760138</v>
      </c>
      <c r="V11" s="176">
        <f>INDEX([5]PT!$AF$16:$AF$381,DATE(2016,MONTH(S11),DAY(S11))-DATE(2016,1,1)+1,1)</f>
        <v>11</v>
      </c>
      <c r="W11" s="176" t="e">
        <f>IF(T!$A$4&lt;MONTH(S11),VLOOKUP(S11,'[8]Podklady MZ'!$R$2:$S$367,2,FALSE),NA())</f>
        <v>#N/A</v>
      </c>
    </row>
    <row r="12" spans="1:23" ht="15.75" x14ac:dyDescent="0.25">
      <c r="A12" s="80"/>
      <c r="B12" s="15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73"/>
      <c r="Q12" s="73"/>
      <c r="S12" s="76">
        <f t="shared" si="0"/>
        <v>42015</v>
      </c>
      <c r="T12" s="77">
        <f>INDEX([12]ČR!$D$18:$D$383,DATE(2016,MONTH(S12),DAY(S12))-DATE(2016,1,1)+1,1)/1000000</f>
        <v>28.231570981800594</v>
      </c>
      <c r="U12" s="77">
        <f>IF(T!$A$4&gt;=MONTH(S12),VLOOKUP(S12,'[8]Podklady MZ'!$R$2:$S$367,2,FALSE),NA())</f>
        <v>31.703477973309223</v>
      </c>
      <c r="V12" s="176">
        <f>INDEX([5]PT!$AF$16:$AF$381,DATE(2016,MONTH(S12),DAY(S12))-DATE(2016,1,1)+1,1)</f>
        <v>2.2999999999999998</v>
      </c>
      <c r="W12" s="176" t="e">
        <f>IF(T!$A$4&lt;MONTH(S12),VLOOKUP(S12,'[8]Podklady MZ'!$R$2:$S$367,2,FALSE),NA())</f>
        <v>#N/A</v>
      </c>
    </row>
    <row r="13" spans="1:23" ht="15.75" x14ac:dyDescent="0.25">
      <c r="A13" s="80"/>
      <c r="B13" s="15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73"/>
      <c r="Q13" s="73"/>
      <c r="S13" s="76">
        <f t="shared" si="0"/>
        <v>42016</v>
      </c>
      <c r="T13" s="77">
        <f>INDEX([12]ČR!$D$18:$D$383,DATE(2016,MONTH(S13),DAY(S13))-DATE(2016,1,1)+1,1)/1000000</f>
        <v>31.152940276994567</v>
      </c>
      <c r="U13" s="77">
        <f>IF(T!$A$4&gt;=MONTH(S13),VLOOKUP(S13,'[8]Podklady MZ'!$R$2:$S$367,2,FALSE),NA())</f>
        <v>34.493693489259286</v>
      </c>
      <c r="V13" s="176">
        <f>INDEX([5]PT!$AF$16:$AF$381,DATE(2016,MONTH(S13),DAY(S13))-DATE(2016,1,1)+1,1)</f>
        <v>3.6</v>
      </c>
      <c r="W13" s="176" t="e">
        <f>IF(T!$A$4&lt;MONTH(S13),VLOOKUP(S13,'[8]Podklady MZ'!$R$2:$S$367,2,FALSE),NA())</f>
        <v>#N/A</v>
      </c>
    </row>
    <row r="14" spans="1:23" ht="15.75" x14ac:dyDescent="0.25">
      <c r="A14" s="80"/>
      <c r="B14" s="15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73"/>
      <c r="Q14" s="73"/>
      <c r="S14" s="76">
        <f t="shared" si="0"/>
        <v>42017</v>
      </c>
      <c r="T14" s="77">
        <f>INDEX([12]ČR!$D$18:$D$383,DATE(2016,MONTH(S14),DAY(S14))-DATE(2016,1,1)+1,1)/1000000</f>
        <v>35.425663245407186</v>
      </c>
      <c r="U14" s="77">
        <f>IF(T!$A$4&gt;=MONTH(S14),VLOOKUP(S14,'[8]Podklady MZ'!$R$2:$S$367,2,FALSE),NA())</f>
        <v>31.606491980922041</v>
      </c>
      <c r="V14" s="176">
        <f>INDEX([5]PT!$AF$16:$AF$381,DATE(2016,MONTH(S14),DAY(S14))-DATE(2016,1,1)+1,1)</f>
        <v>4.4000000000000004</v>
      </c>
      <c r="W14" s="176" t="e">
        <f>IF(T!$A$4&lt;MONTH(S14),VLOOKUP(S14,'[8]Podklady MZ'!$R$2:$S$367,2,FALSE),NA())</f>
        <v>#N/A</v>
      </c>
    </row>
    <row r="15" spans="1:23" ht="15.75" x14ac:dyDescent="0.25">
      <c r="A15" s="80"/>
      <c r="B15" s="15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73"/>
      <c r="Q15" s="73"/>
      <c r="S15" s="76">
        <f t="shared" si="0"/>
        <v>42018</v>
      </c>
      <c r="T15" s="77">
        <f>INDEX([12]ČR!$D$18:$D$383,DATE(2016,MONTH(S15),DAY(S15))-DATE(2016,1,1)+1,1)/1000000</f>
        <v>34.838520341589764</v>
      </c>
      <c r="U15" s="77">
        <f>IF(T!$A$4&gt;=MONTH(S15),VLOOKUP(S15,'[8]Podklady MZ'!$R$2:$S$367,2,FALSE),NA())</f>
        <v>32.53763604938851</v>
      </c>
      <c r="V15" s="176">
        <f>INDEX([5]PT!$AF$16:$AF$381,DATE(2016,MONTH(S15),DAY(S15))-DATE(2016,1,1)+1,1)</f>
        <v>3.9</v>
      </c>
      <c r="W15" s="176" t="e">
        <f>IF(T!$A$4&lt;MONTH(S15),VLOOKUP(S15,'[8]Podklady MZ'!$R$2:$S$367,2,FALSE),NA())</f>
        <v>#N/A</v>
      </c>
    </row>
    <row r="16" spans="1:23" ht="15.75" x14ac:dyDescent="0.25">
      <c r="A16" s="80"/>
      <c r="B16" s="15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3"/>
      <c r="Q16" s="73"/>
      <c r="S16" s="76">
        <f t="shared" si="0"/>
        <v>42019</v>
      </c>
      <c r="T16" s="77">
        <f>INDEX([12]ČR!$D$18:$D$383,DATE(2016,MONTH(S16),DAY(S16))-DATE(2016,1,1)+1,1)/1000000</f>
        <v>34.682102113843577</v>
      </c>
      <c r="U16" s="77">
        <f>IF(T!$A$4&gt;=MONTH(S16),VLOOKUP(S16,'[8]Podklady MZ'!$R$2:$S$367,2,FALSE),NA())</f>
        <v>33.557131227489101</v>
      </c>
      <c r="V16" s="176">
        <f>INDEX([5]PT!$AF$16:$AF$381,DATE(2016,MONTH(S16),DAY(S16))-DATE(2016,1,1)+1,1)</f>
        <v>2</v>
      </c>
      <c r="W16" s="176" t="e">
        <f>IF(T!$A$4&lt;MONTH(S16),VLOOKUP(S16,'[8]Podklady MZ'!$R$2:$S$367,2,FALSE),NA())</f>
        <v>#N/A</v>
      </c>
    </row>
    <row r="17" spans="1:23" ht="15.75" x14ac:dyDescent="0.25">
      <c r="A17" s="80"/>
      <c r="B17" s="15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73"/>
      <c r="Q17" s="73"/>
      <c r="S17" s="76">
        <f t="shared" si="0"/>
        <v>42020</v>
      </c>
      <c r="T17" s="77">
        <f>INDEX([12]ČR!$D$18:$D$383,DATE(2016,MONTH(S17),DAY(S17))-DATE(2016,1,1)+1,1)/1000000</f>
        <v>34.384923936924856</v>
      </c>
      <c r="U17" s="77">
        <f>IF(T!$A$4&gt;=MONTH(S17),VLOOKUP(S17,'[8]Podklady MZ'!$R$2:$S$367,2,FALSE),NA())</f>
        <v>31.887471148067611</v>
      </c>
      <c r="V17" s="176">
        <f>INDEX([5]PT!$AF$16:$AF$381,DATE(2016,MONTH(S17),DAY(S17))-DATE(2016,1,1)+1,1)</f>
        <v>2.7</v>
      </c>
      <c r="W17" s="176" t="e">
        <f>IF(T!$A$4&lt;MONTH(S17),VLOOKUP(S17,'[8]Podklady MZ'!$R$2:$S$367,2,FALSE),NA())</f>
        <v>#N/A</v>
      </c>
    </row>
    <row r="18" spans="1:23" ht="15.75" x14ac:dyDescent="0.25">
      <c r="A18" s="80"/>
      <c r="B18" s="15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3"/>
      <c r="Q18" s="73"/>
      <c r="S18" s="76">
        <f t="shared" si="0"/>
        <v>42021</v>
      </c>
      <c r="T18" s="77">
        <f>INDEX([12]ČR!$D$18:$D$383,DATE(2016,MONTH(S18),DAY(S18))-DATE(2016,1,1)+1,1)/1000000</f>
        <v>32.004779962782678</v>
      </c>
      <c r="U18" s="77">
        <f>IF(T!$A$4&gt;=MONTH(S18),VLOOKUP(S18,'[8]Podklady MZ'!$R$2:$S$367,2,FALSE),NA())</f>
        <v>29.413626425814616</v>
      </c>
      <c r="V18" s="176">
        <f>INDEX([5]PT!$AF$16:$AF$381,DATE(2016,MONTH(S18),DAY(S18))-DATE(2016,1,1)+1,1)</f>
        <v>2.2000000000000002</v>
      </c>
      <c r="W18" s="176" t="e">
        <f>IF(T!$A$4&lt;MONTH(S18),VLOOKUP(S18,'[8]Podklady MZ'!$R$2:$S$367,2,FALSE),NA())</f>
        <v>#N/A</v>
      </c>
    </row>
    <row r="19" spans="1:23" ht="15.75" x14ac:dyDescent="0.25">
      <c r="A19" s="80"/>
      <c r="B19" s="15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3"/>
      <c r="Q19" s="73"/>
      <c r="S19" s="76">
        <f t="shared" si="0"/>
        <v>42022</v>
      </c>
      <c r="T19" s="77">
        <f>INDEX([12]ČR!$D$18:$D$383,DATE(2016,MONTH(S19),DAY(S19))-DATE(2016,1,1)+1,1)/1000000</f>
        <v>28.838252436416099</v>
      </c>
      <c r="U19" s="77">
        <f>IF(T!$A$4&gt;=MONTH(S19),VLOOKUP(S19,'[8]Podklady MZ'!$R$2:$S$367,2,FALSE),NA())</f>
        <v>30.849765259316179</v>
      </c>
      <c r="V19" s="176">
        <f>INDEX([5]PT!$AF$16:$AF$381,DATE(2016,MONTH(S19),DAY(S19))-DATE(2016,1,1)+1,1)</f>
        <v>1.2</v>
      </c>
      <c r="W19" s="176" t="e">
        <f>IF(T!$A$4&lt;MONTH(S19),VLOOKUP(S19,'[8]Podklady MZ'!$R$2:$S$367,2,FALSE),NA())</f>
        <v>#N/A</v>
      </c>
    </row>
    <row r="20" spans="1:23" ht="15.75" x14ac:dyDescent="0.25">
      <c r="A20" s="80"/>
      <c r="B20" s="15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3"/>
      <c r="Q20" s="73"/>
      <c r="S20" s="76">
        <f t="shared" si="0"/>
        <v>42023</v>
      </c>
      <c r="T20" s="77">
        <f>INDEX([12]ČR!$D$18:$D$383,DATE(2016,MONTH(S20),DAY(S20))-DATE(2016,1,1)+1,1)/1000000</f>
        <v>26.914539897812865</v>
      </c>
      <c r="U20" s="77">
        <f>IF(T!$A$4&gt;=MONTH(S20),VLOOKUP(S20,'[8]Podklady MZ'!$R$2:$S$367,2,FALSE),NA())</f>
        <v>36.90100471395121</v>
      </c>
      <c r="V20" s="176">
        <f>INDEX([5]PT!$AF$16:$AF$381,DATE(2016,MONTH(S20),DAY(S20))-DATE(2016,1,1)+1,1)</f>
        <v>0.7</v>
      </c>
      <c r="W20" s="176" t="e">
        <f>IF(T!$A$4&lt;MONTH(S20),VLOOKUP(S20,'[8]Podklady MZ'!$R$2:$S$367,2,FALSE),NA())</f>
        <v>#N/A</v>
      </c>
    </row>
    <row r="21" spans="1:23" ht="15.75" x14ac:dyDescent="0.25">
      <c r="A21" s="80"/>
      <c r="B21" s="157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3"/>
      <c r="Q21" s="73"/>
      <c r="S21" s="76">
        <f t="shared" si="0"/>
        <v>42024</v>
      </c>
      <c r="T21" s="77">
        <f>INDEX([12]ČR!$D$18:$D$383,DATE(2016,MONTH(S21),DAY(S21))-DATE(2016,1,1)+1,1)/1000000</f>
        <v>30.805382238471903</v>
      </c>
      <c r="U21" s="77">
        <f>IF(T!$A$4&gt;=MONTH(S21),VLOOKUP(S21,'[8]Podklady MZ'!$R$2:$S$367,2,FALSE),NA())</f>
        <v>37.099908640861287</v>
      </c>
      <c r="V21" s="176">
        <f>INDEX([5]PT!$AF$16:$AF$381,DATE(2016,MONTH(S21),DAY(S21))-DATE(2016,1,1)+1,1)</f>
        <v>0.7</v>
      </c>
      <c r="W21" s="176" t="e">
        <f>IF(T!$A$4&lt;MONTH(S21),VLOOKUP(S21,'[8]Podklady MZ'!$R$2:$S$367,2,FALSE),NA())</f>
        <v>#N/A</v>
      </c>
    </row>
    <row r="22" spans="1:23" ht="15.75" x14ac:dyDescent="0.25">
      <c r="A22" s="80"/>
      <c r="B22" s="157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3"/>
      <c r="Q22" s="73"/>
      <c r="S22" s="76">
        <f t="shared" si="0"/>
        <v>42025</v>
      </c>
      <c r="T22" s="77">
        <f>INDEX([12]ČR!$D$18:$D$383,DATE(2016,MONTH(S22),DAY(S22))-DATE(2016,1,1)+1,1)/1000000</f>
        <v>34.268652363794793</v>
      </c>
      <c r="U22" s="77">
        <f>IF(T!$A$4&gt;=MONTH(S22),VLOOKUP(S22,'[8]Podklady MZ'!$R$2:$S$367,2,FALSE),NA())</f>
        <v>37.194872700903773</v>
      </c>
      <c r="V22" s="176">
        <f>INDEX([5]PT!$AF$16:$AF$381,DATE(2016,MONTH(S22),DAY(S22))-DATE(2016,1,1)+1,1)</f>
        <v>1.2</v>
      </c>
      <c r="W22" s="176" t="e">
        <f>IF(T!$A$4&lt;MONTH(S22),VLOOKUP(S22,'[8]Podklady MZ'!$R$2:$S$367,2,FALSE),NA())</f>
        <v>#N/A</v>
      </c>
    </row>
    <row r="23" spans="1:23" ht="15.75" x14ac:dyDescent="0.25">
      <c r="A23" s="80"/>
      <c r="B23" s="157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3"/>
      <c r="Q23" s="73"/>
      <c r="S23" s="76">
        <f t="shared" si="0"/>
        <v>42026</v>
      </c>
      <c r="T23" s="77">
        <f>INDEX([12]ČR!$D$18:$D$383,DATE(2016,MONTH(S23),DAY(S23))-DATE(2016,1,1)+1,1)/1000000</f>
        <v>36.969258318739719</v>
      </c>
      <c r="U23" s="77">
        <f>IF(T!$A$4&gt;=MONTH(S23),VLOOKUP(S23,'[8]Podklady MZ'!$R$2:$S$367,2,FALSE),NA())</f>
        <v>35.784854231467648</v>
      </c>
      <c r="V23" s="176">
        <f>INDEX([5]PT!$AF$16:$AF$381,DATE(2016,MONTH(S23),DAY(S23))-DATE(2016,1,1)+1,1)</f>
        <v>3.5</v>
      </c>
      <c r="W23" s="176" t="e">
        <f>IF(T!$A$4&lt;MONTH(S23),VLOOKUP(S23,'[8]Podklady MZ'!$R$2:$S$367,2,FALSE),NA())</f>
        <v>#N/A</v>
      </c>
    </row>
    <row r="24" spans="1:23" ht="15.75" x14ac:dyDescent="0.25">
      <c r="A24" s="904" t="s">
        <v>177</v>
      </c>
      <c r="B24" s="904"/>
      <c r="C24" s="904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04"/>
      <c r="O24" s="904"/>
      <c r="P24" s="73"/>
      <c r="Q24" s="73"/>
      <c r="S24" s="76">
        <f t="shared" si="0"/>
        <v>42027</v>
      </c>
      <c r="T24" s="77">
        <f>INDEX([12]ČR!$D$18:$D$383,DATE(2016,MONTH(S24),DAY(S24))-DATE(2016,1,1)+1,1)/1000000</f>
        <v>39.515937993420224</v>
      </c>
      <c r="U24" s="77">
        <f>IF(T!$A$4&gt;=MONTH(S24),VLOOKUP(S24,'[8]Podklady MZ'!$R$2:$S$367,2,FALSE),NA())</f>
        <v>36.443515386851018</v>
      </c>
      <c r="V24" s="176">
        <f>INDEX([5]PT!$AF$16:$AF$381,DATE(2016,MONTH(S24),DAY(S24))-DATE(2016,1,1)+1,1)</f>
        <v>1.5</v>
      </c>
      <c r="W24" s="176" t="e">
        <f>IF(T!$A$4&lt;MONTH(S24),VLOOKUP(S24,'[8]Podklady MZ'!$R$2:$S$367,2,FALSE),NA())</f>
        <v>#N/A</v>
      </c>
    </row>
    <row r="25" spans="1:23" ht="9.9499999999999993" customHeight="1" x14ac:dyDescent="0.25">
      <c r="C25" s="132"/>
      <c r="D25" s="83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3"/>
      <c r="P25" s="73"/>
      <c r="Q25" s="73"/>
      <c r="S25" s="76">
        <f t="shared" si="0"/>
        <v>42028</v>
      </c>
      <c r="T25" s="77">
        <f>INDEX([12]ČR!$D$18:$D$383,DATE(2016,MONTH(S25),DAY(S25))-DATE(2016,1,1)+1,1)/1000000</f>
        <v>39.912823833141239</v>
      </c>
      <c r="U25" s="77">
        <f>IF(T!$A$4&gt;=MONTH(S25),VLOOKUP(S25,'[8]Podklady MZ'!$R$2:$S$367,2,FALSE),NA())</f>
        <v>33.255457453561711</v>
      </c>
      <c r="V25" s="176">
        <f>INDEX([5]PT!$AF$16:$AF$381,DATE(2016,MONTH(S25),DAY(S25))-DATE(2016,1,1)+1,1)</f>
        <v>-1.1000000000000001</v>
      </c>
      <c r="W25" s="176" t="e">
        <f>IF(T!$A$4&lt;MONTH(S25),VLOOKUP(S25,'[8]Podklady MZ'!$R$2:$S$367,2,FALSE),NA())</f>
        <v>#N/A</v>
      </c>
    </row>
    <row r="26" spans="1:23" ht="15" customHeight="1" thickBot="1" x14ac:dyDescent="0.3">
      <c r="A26" s="90"/>
      <c r="B26" s="90"/>
      <c r="C26" s="133"/>
      <c r="D26" s="131" t="s">
        <v>13</v>
      </c>
      <c r="E26" s="123" t="s">
        <v>58</v>
      </c>
      <c r="F26" s="123" t="s">
        <v>59</v>
      </c>
      <c r="G26" s="123" t="s">
        <v>60</v>
      </c>
      <c r="H26" s="123" t="s">
        <v>61</v>
      </c>
      <c r="I26" s="123" t="s">
        <v>62</v>
      </c>
      <c r="J26" s="123" t="s">
        <v>63</v>
      </c>
      <c r="K26" s="123" t="s">
        <v>64</v>
      </c>
      <c r="L26" s="123" t="s">
        <v>65</v>
      </c>
      <c r="M26" s="123" t="s">
        <v>66</v>
      </c>
      <c r="N26" s="123" t="s">
        <v>67</v>
      </c>
      <c r="O26" s="125" t="s">
        <v>68</v>
      </c>
      <c r="P26" s="73"/>
      <c r="Q26" s="73"/>
      <c r="S26" s="76">
        <f t="shared" si="0"/>
        <v>42029</v>
      </c>
      <c r="T26" s="77">
        <f>INDEX([12]ČR!$D$18:$D$383,DATE(2016,MONTH(S26),DAY(S26))-DATE(2016,1,1)+1,1)/1000000</f>
        <v>41.907181763192099</v>
      </c>
      <c r="U26" s="77">
        <f>IF(T!$A$4&gt;=MONTH(S26),VLOOKUP(S26,'[8]Podklady MZ'!$R$2:$S$367,2,FALSE),NA())</f>
        <v>34.315673270230164</v>
      </c>
      <c r="V26" s="176">
        <f>INDEX([5]PT!$AF$16:$AF$381,DATE(2016,MONTH(S26),DAY(S26))-DATE(2016,1,1)+1,1)</f>
        <v>-0.2</v>
      </c>
      <c r="W26" s="176" t="e">
        <f>IF(T!$A$4&lt;MONTH(S26),VLOOKUP(S26,'[8]Podklady MZ'!$R$2:$S$367,2,FALSE),NA())</f>
        <v>#N/A</v>
      </c>
    </row>
    <row r="27" spans="1:23" ht="15" customHeight="1" x14ac:dyDescent="0.25">
      <c r="A27" s="907">
        <f>T!$I$21</f>
        <v>2015</v>
      </c>
      <c r="B27" s="905" t="s">
        <v>178</v>
      </c>
      <c r="C27" s="161" t="s">
        <v>47</v>
      </c>
      <c r="D27" s="184">
        <f>'[8]Podklady MZ'!D4</f>
        <v>34.88002079711061</v>
      </c>
      <c r="E27" s="185">
        <f>'[8]Podklady MZ'!E4</f>
        <v>35.352388987403877</v>
      </c>
      <c r="F27" s="185">
        <f>'[8]Podklady MZ'!F4</f>
        <v>27.920403884227461</v>
      </c>
      <c r="G27" s="185">
        <f>'[8]Podklady MZ'!G4</f>
        <v>20.760285538130443</v>
      </c>
      <c r="H27" s="185">
        <f>'[8]Podklady MZ'!H4</f>
        <v>13.057173413342767</v>
      </c>
      <c r="I27" s="185">
        <f>'[8]Podklady MZ'!I4</f>
        <v>10.480260882570418</v>
      </c>
      <c r="J27" s="185">
        <f>'[8]Podklady MZ'!J4</f>
        <v>9.6253675587711207</v>
      </c>
      <c r="K27" s="185">
        <f>'[8]Podklady MZ'!K4</f>
        <v>8.9519744586098362</v>
      </c>
      <c r="L27" s="185">
        <f>'[8]Podklady MZ'!L4</f>
        <v>11.765359870469158</v>
      </c>
      <c r="M27" s="185">
        <f>'[8]Podklady MZ'!M4</f>
        <v>22.334749879192866</v>
      </c>
      <c r="N27" s="185">
        <f>'[8]Podklady MZ'!N4</f>
        <v>26.877911996547574</v>
      </c>
      <c r="O27" s="186">
        <f>'[8]Podklady MZ'!O4</f>
        <v>29.128147457927277</v>
      </c>
      <c r="P27" s="73"/>
      <c r="Q27" s="73"/>
      <c r="S27" s="76">
        <f t="shared" si="0"/>
        <v>42030</v>
      </c>
      <c r="T27" s="77">
        <f>INDEX([12]ČR!$D$18:$D$383,DATE(2016,MONTH(S27),DAY(S27))-DATE(2016,1,1)+1,1)/1000000</f>
        <v>43.863809054503498</v>
      </c>
      <c r="U27" s="77">
        <f>IF(T!$A$4&gt;=MONTH(S27),VLOOKUP(S27,'[8]Podklady MZ'!$R$2:$S$367,2,FALSE),NA())</f>
        <v>37.706031532256496</v>
      </c>
      <c r="V27" s="176">
        <f>INDEX([5]PT!$AF$16:$AF$381,DATE(2016,MONTH(S27),DAY(S27))-DATE(2016,1,1)+1,1)</f>
        <v>-1</v>
      </c>
      <c r="W27" s="176" t="e">
        <f>IF(T!$A$4&lt;MONTH(S27),VLOOKUP(S27,'[8]Podklady MZ'!$R$2:$S$367,2,FALSE),NA())</f>
        <v>#N/A</v>
      </c>
    </row>
    <row r="28" spans="1:23" ht="15" customHeight="1" x14ac:dyDescent="0.2">
      <c r="A28" s="908"/>
      <c r="B28" s="906"/>
      <c r="C28" s="162" t="s">
        <v>16</v>
      </c>
      <c r="D28" s="187">
        <f>'[8]Podklady MZ'!D5</f>
        <v>370.73412690967734</v>
      </c>
      <c r="E28" s="188">
        <f>'[8]Podklady MZ'!E5</f>
        <v>375.90719064285713</v>
      </c>
      <c r="F28" s="188">
        <f>'[8]Podklady MZ'!F5</f>
        <v>296.83556915483865</v>
      </c>
      <c r="G28" s="188">
        <f>'[8]Podklady MZ'!G5</f>
        <v>220.87029000666678</v>
      </c>
      <c r="H28" s="188">
        <f>'[8]Podklady MZ'!H5</f>
        <v>139.74614178709678</v>
      </c>
      <c r="I28" s="188">
        <f>'[8]Podklady MZ'!I5</f>
        <v>112.2437871833333</v>
      </c>
      <c r="J28" s="188">
        <f>'[8]Podklady MZ'!J5</f>
        <v>102.78078850322584</v>
      </c>
      <c r="K28" s="188">
        <f>'[8]Podklady MZ'!K5</f>
        <v>95.903887767741921</v>
      </c>
      <c r="L28" s="188">
        <f>'[8]Podklady MZ'!L5</f>
        <v>125.85194273333333</v>
      </c>
      <c r="M28" s="188">
        <f>'[8]Podklady MZ'!M5</f>
        <v>238.55266933548384</v>
      </c>
      <c r="N28" s="188">
        <f>'[8]Podklady MZ'!N5</f>
        <v>286.45245657333339</v>
      </c>
      <c r="O28" s="189">
        <f>'[8]Podklady MZ'!O5</f>
        <v>310.21805069354838</v>
      </c>
      <c r="S28" s="76">
        <f t="shared" si="0"/>
        <v>42031</v>
      </c>
      <c r="T28" s="77">
        <f>INDEX([12]ČR!$D$18:$D$383,DATE(2016,MONTH(S28),DAY(S28))-DATE(2016,1,1)+1,1)/1000000</f>
        <v>44.959295144984566</v>
      </c>
      <c r="U28" s="77">
        <f>IF(T!$A$4&gt;=MONTH(S28),VLOOKUP(S28,'[8]Podklady MZ'!$R$2:$S$367,2,FALSE),NA())</f>
        <v>37.401552210421542</v>
      </c>
      <c r="V28" s="176">
        <f>INDEX([5]PT!$AF$16:$AF$381,DATE(2016,MONTH(S28),DAY(S28))-DATE(2016,1,1)+1,1)</f>
        <v>-0.1</v>
      </c>
      <c r="W28" s="176" t="e">
        <f>IF(T!$A$4&lt;MONTH(S28),VLOOKUP(S28,'[8]Podklady MZ'!$R$2:$S$367,2,FALSE),NA())</f>
        <v>#N/A</v>
      </c>
    </row>
    <row r="29" spans="1:23" ht="15" customHeight="1" x14ac:dyDescent="0.2">
      <c r="A29" s="908"/>
      <c r="B29" s="910" t="s">
        <v>120</v>
      </c>
      <c r="C29" s="159" t="s">
        <v>91</v>
      </c>
      <c r="D29" s="184">
        <f>'[8]Podklady MZ'!D6</f>
        <v>0.91219251430331394</v>
      </c>
      <c r="E29" s="185">
        <f>'[8]Podklady MZ'!E6</f>
        <v>1.3110234890123738</v>
      </c>
      <c r="F29" s="185">
        <f>'[8]Podklady MZ'!F6</f>
        <v>1.1251568759219512</v>
      </c>
      <c r="G29" s="185">
        <f>'[8]Podklady MZ'!G6</f>
        <v>1.2859358325557315</v>
      </c>
      <c r="H29" s="185">
        <f>'[8]Podklady MZ'!H6</f>
        <v>0.27227439236338308</v>
      </c>
      <c r="I29" s="185">
        <f>'[8]Podklady MZ'!I6</f>
        <v>0.16364182324992455</v>
      </c>
      <c r="J29" s="185">
        <f>'[8]Podklady MZ'!J6</f>
        <v>2.8467161555886154E-2</v>
      </c>
      <c r="K29" s="185">
        <f>'[8]Podklady MZ'!K6</f>
        <v>0.19659042148390893</v>
      </c>
      <c r="L29" s="185">
        <f>'[8]Podklady MZ'!L6</f>
        <v>0.42902119788235332</v>
      </c>
      <c r="M29" s="185">
        <f>'[8]Podklady MZ'!M6</f>
        <v>1.231784387523041</v>
      </c>
      <c r="N29" s="185">
        <f>'[8]Podklady MZ'!N6</f>
        <v>1.2376485304345926</v>
      </c>
      <c r="O29" s="186">
        <f>'[8]Podklady MZ'!O6</f>
        <v>1.0236167923087243</v>
      </c>
      <c r="S29" s="76">
        <f t="shared" si="0"/>
        <v>42032</v>
      </c>
      <c r="T29" s="77">
        <f>INDEX([12]ČR!$D$18:$D$383,DATE(2016,MONTH(S29),DAY(S29))-DATE(2016,1,1)+1,1)/1000000</f>
        <v>42.900737261999915</v>
      </c>
      <c r="U29" s="77">
        <f>IF(T!$A$4&gt;=MONTH(S29),VLOOKUP(S29,'[8]Podklady MZ'!$R$2:$S$367,2,FALSE),NA())</f>
        <v>36.851973996198218</v>
      </c>
      <c r="V29" s="176">
        <f>INDEX([5]PT!$AF$16:$AF$381,DATE(2016,MONTH(S29),DAY(S29))-DATE(2016,1,1)+1,1)</f>
        <v>0.4</v>
      </c>
      <c r="W29" s="176" t="e">
        <f>IF(T!$A$4&lt;MONTH(S29),VLOOKUP(S29,'[8]Podklady MZ'!$R$2:$S$367,2,FALSE),NA())</f>
        <v>#N/A</v>
      </c>
    </row>
    <row r="30" spans="1:23" ht="15" customHeight="1" x14ac:dyDescent="0.2">
      <c r="A30" s="909"/>
      <c r="B30" s="911"/>
      <c r="C30" s="160" t="s">
        <v>183</v>
      </c>
      <c r="D30" s="187">
        <f>'[8]Podklady MZ'!D7</f>
        <v>9.6955474118236964</v>
      </c>
      <c r="E30" s="188">
        <f>'[8]Podklady MZ'!E7</f>
        <v>13.940307026974384</v>
      </c>
      <c r="F30" s="188">
        <f>'[8]Podklady MZ'!F7</f>
        <v>11.962097075588696</v>
      </c>
      <c r="G30" s="188">
        <f>'[8]Podklady MZ'!G7</f>
        <v>13.681171183550427</v>
      </c>
      <c r="H30" s="188">
        <f>'[8]Podklady MZ'!H7</f>
        <v>2.9140530370323043</v>
      </c>
      <c r="I30" s="188">
        <f>'[8]Podklady MZ'!I7</f>
        <v>1.7526069426100241</v>
      </c>
      <c r="J30" s="188">
        <f>'[8]Podklady MZ'!J7</f>
        <v>0.30397564490890416</v>
      </c>
      <c r="K30" s="188">
        <f>'[8]Podklady MZ'!K7</f>
        <v>2.106103609363259</v>
      </c>
      <c r="L30" s="188">
        <f>'[8]Podklady MZ'!L7</f>
        <v>4.5891627473969443</v>
      </c>
      <c r="M30" s="188">
        <f>'[8]Podklady MZ'!M7</f>
        <v>13.156424642263085</v>
      </c>
      <c r="N30" s="188">
        <f>'[8]Podklady MZ'!N7</f>
        <v>13.190290300931988</v>
      </c>
      <c r="O30" s="189">
        <f>'[8]Podklady MZ'!O7</f>
        <v>10.901634112703414</v>
      </c>
      <c r="S30" s="76">
        <f t="shared" si="0"/>
        <v>42033</v>
      </c>
      <c r="T30" s="77">
        <f>INDEX([12]ČR!$D$18:$D$383,DATE(2016,MONTH(S30),DAY(S30))-DATE(2016,1,1)+1,1)/1000000</f>
        <v>43.300079571630462</v>
      </c>
      <c r="U30" s="77">
        <f>IF(T!$A$4&gt;=MONTH(S30),VLOOKUP(S30,'[8]Podklady MZ'!$R$2:$S$367,2,FALSE),NA())</f>
        <v>36.422352732700475</v>
      </c>
      <c r="V30" s="176">
        <f>INDEX([5]PT!$AF$16:$AF$381,DATE(2016,MONTH(S30),DAY(S30))-DATE(2016,1,1)+1,1)</f>
        <v>0</v>
      </c>
      <c r="W30" s="176" t="e">
        <f>IF(T!$A$4&lt;MONTH(S30),VLOOKUP(S30,'[8]Podklady MZ'!$R$2:$S$367,2,FALSE),NA())</f>
        <v>#N/A</v>
      </c>
    </row>
    <row r="31" spans="1:23" ht="15" customHeight="1" x14ac:dyDescent="0.2">
      <c r="A31" s="898">
        <f>A27-1</f>
        <v>2014</v>
      </c>
      <c r="B31" s="900" t="s">
        <v>178</v>
      </c>
      <c r="C31" s="172" t="s">
        <v>179</v>
      </c>
      <c r="D31" s="165">
        <f>'[13]Podklady MZ'!D4</f>
        <v>34.426418786756024</v>
      </c>
      <c r="E31" s="166">
        <f>'[13]Podklady MZ'!E4</f>
        <v>31.969366569568837</v>
      </c>
      <c r="F31" s="166">
        <f>'[13]Podklady MZ'!F4</f>
        <v>24.143655429913611</v>
      </c>
      <c r="G31" s="166">
        <f>'[13]Podklady MZ'!G4</f>
        <v>17.799591482063381</v>
      </c>
      <c r="H31" s="166">
        <f>'[13]Podklady MZ'!H4</f>
        <v>14.029818022003704</v>
      </c>
      <c r="I31" s="166">
        <f>'[13]Podklady MZ'!I4</f>
        <v>10.296530917335085</v>
      </c>
      <c r="J31" s="166">
        <f>'[13]Podklady MZ'!J4</f>
        <v>9.8536517348819075</v>
      </c>
      <c r="K31" s="166">
        <f>'[13]Podklady MZ'!K4</f>
        <v>9.6812899388848699</v>
      </c>
      <c r="L31" s="166">
        <f>'[13]Podklady MZ'!L4</f>
        <v>12.15872859562001</v>
      </c>
      <c r="M31" s="166">
        <f>'[13]Podklady MZ'!M4</f>
        <v>18.278340649690602</v>
      </c>
      <c r="N31" s="166">
        <f>'[13]Podklady MZ'!N4</f>
        <v>25.565706350094761</v>
      </c>
      <c r="O31" s="167">
        <f>'[13]Podklady MZ'!O4</f>
        <v>31.866204963614152</v>
      </c>
      <c r="S31" s="76">
        <f t="shared" si="0"/>
        <v>42034</v>
      </c>
      <c r="T31" s="77">
        <f>INDEX([12]ČR!$D$18:$D$383,DATE(2016,MONTH(S31),DAY(S31))-DATE(2016,1,1)+1,1)/1000000</f>
        <v>42.101394085754599</v>
      </c>
      <c r="U31" s="77">
        <f>IF(T!$A$4&gt;=MONTH(S31),VLOOKUP(S31,'[8]Podklady MZ'!$R$2:$S$367,2,FALSE),NA())</f>
        <v>36.207908544785177</v>
      </c>
      <c r="V31" s="176">
        <f>INDEX([5]PT!$AF$16:$AF$381,DATE(2016,MONTH(S31),DAY(S31))-DATE(2016,1,1)+1,1)</f>
        <v>-0.4</v>
      </c>
      <c r="W31" s="176" t="e">
        <f>IF(T!$A$4&lt;MONTH(S31),VLOOKUP(S31,'[8]Podklady MZ'!$R$2:$S$367,2,FALSE),NA())</f>
        <v>#N/A</v>
      </c>
    </row>
    <row r="32" spans="1:23" ht="15" customHeight="1" x14ac:dyDescent="0.2">
      <c r="A32" s="898"/>
      <c r="B32" s="901"/>
      <c r="C32" s="163" t="s">
        <v>16</v>
      </c>
      <c r="D32" s="169">
        <f>'[13]Podklady MZ'!D5</f>
        <v>366.70694240674038</v>
      </c>
      <c r="E32" s="170">
        <f>'[13]Podklady MZ'!E5</f>
        <v>339.93743587233706</v>
      </c>
      <c r="F32" s="170">
        <f>'[13]Podklady MZ'!F5</f>
        <v>256.47298146433201</v>
      </c>
      <c r="G32" s="170">
        <f>'[13]Podklady MZ'!G5</f>
        <v>189.30613124016651</v>
      </c>
      <c r="H32" s="170">
        <f>'[13]Podklady MZ'!H5</f>
        <v>149.31306196781159</v>
      </c>
      <c r="I32" s="170">
        <f>'[13]Podklady MZ'!I5</f>
        <v>109.61034014534772</v>
      </c>
      <c r="J32" s="170">
        <f>'[13]Podklady MZ'!J5</f>
        <v>104.42863376725933</v>
      </c>
      <c r="K32" s="170">
        <f>'[13]Podklady MZ'!K5</f>
        <v>103.3116008201003</v>
      </c>
      <c r="L32" s="170">
        <f>'[13]Podklady MZ'!L5</f>
        <v>129.52152849227559</v>
      </c>
      <c r="M32" s="170">
        <f>'[13]Podklady MZ'!M5</f>
        <v>194.21809878892401</v>
      </c>
      <c r="N32" s="170">
        <f>'[13]Podklady MZ'!N5</f>
        <v>271.54852778688797</v>
      </c>
      <c r="O32" s="171">
        <f>'[13]Podklady MZ'!O5</f>
        <v>338.17047241786503</v>
      </c>
      <c r="S32" s="76">
        <f t="shared" si="0"/>
        <v>42035</v>
      </c>
      <c r="T32" s="77">
        <f>INDEX([12]ČR!$D$18:$D$383,DATE(2016,MONTH(S32),DAY(S32))-DATE(2016,1,1)+1,1)/1000000</f>
        <v>37.604357527995035</v>
      </c>
      <c r="U32" s="77">
        <f>IF(T!$A$4&gt;=MONTH(S32),VLOOKUP(S32,'[8]Podklady MZ'!$R$2:$S$367,2,FALSE),NA())</f>
        <v>34.216637130923509</v>
      </c>
      <c r="V32" s="176">
        <f>INDEX([5]PT!$AF$16:$AF$381,DATE(2016,MONTH(S32),DAY(S32))-DATE(2016,1,1)+1,1)</f>
        <v>-1.7</v>
      </c>
      <c r="W32" s="176" t="e">
        <f>IF(T!$A$4&lt;MONTH(S32),VLOOKUP(S32,'[8]Podklady MZ'!$R$2:$S$367,2,FALSE),NA())</f>
        <v>#N/A</v>
      </c>
    </row>
    <row r="33" spans="1:23" ht="15" customHeight="1" x14ac:dyDescent="0.2">
      <c r="A33" s="898"/>
      <c r="B33" s="902" t="s">
        <v>120</v>
      </c>
      <c r="C33" s="164" t="s">
        <v>180</v>
      </c>
      <c r="D33" s="165">
        <f>'[13]Podklady MZ'!D6</f>
        <v>1.5321804729824582</v>
      </c>
      <c r="E33" s="166">
        <f>'[13]Podklady MZ'!E6</f>
        <v>1.562740852404906</v>
      </c>
      <c r="F33" s="166">
        <f>'[13]Podklady MZ'!F6</f>
        <v>0.97956040953488865</v>
      </c>
      <c r="G33" s="166">
        <f>'[13]Podklady MZ'!G6</f>
        <v>1.1020731733440596</v>
      </c>
      <c r="H33" s="166">
        <f>'[13]Podklady MZ'!H6</f>
        <v>0.57410943884344612</v>
      </c>
      <c r="I33" s="166">
        <f>'[13]Podklady MZ'!I6</f>
        <v>0.13831682531817241</v>
      </c>
      <c r="J33" s="166">
        <f>'[13]Podklady MZ'!J6</f>
        <v>0.22886050046818632</v>
      </c>
      <c r="K33" s="166">
        <f>'[13]Podklady MZ'!K6</f>
        <v>0.32703314228528513</v>
      </c>
      <c r="L33" s="166">
        <f>'[13]Podklady MZ'!L6</f>
        <v>0.5537919709257193</v>
      </c>
      <c r="M33" s="166">
        <f>'[13]Podklady MZ'!M6</f>
        <v>1.2295590453146168</v>
      </c>
      <c r="N33" s="166">
        <f>'[13]Podklady MZ'!N6</f>
        <v>1.2210835941697429</v>
      </c>
      <c r="O33" s="167">
        <f>'[13]Podklady MZ'!O6</f>
        <v>1.285121574442708</v>
      </c>
      <c r="S33" s="76">
        <f t="shared" si="0"/>
        <v>42036</v>
      </c>
      <c r="T33" s="77">
        <f>INDEX([12]ČR!$D$18:$D$383,DATE(2016,MONTH(S33),DAY(S33))-DATE(2016,1,1)+1,1)/1000000</f>
        <v>35.40180564039769</v>
      </c>
      <c r="U33" s="77">
        <f>IF(T!$A$4&gt;=MONTH(S33),VLOOKUP(S33,'[8]Podklady MZ'!$R$2:$S$367,2,FALSE),NA())</f>
        <v>34.443999782272932</v>
      </c>
      <c r="V33" s="176">
        <f>INDEX([5]PT!$AF$16:$AF$381,DATE(2016,MONTH(S33),DAY(S33))-DATE(2016,1,1)+1,1)</f>
        <v>-1.4</v>
      </c>
      <c r="W33" s="176" t="e">
        <f>IF(T!$A$4&lt;MONTH(S33),VLOOKUP(S33,'[8]Podklady MZ'!$R$2:$S$367,2,FALSE),NA())</f>
        <v>#N/A</v>
      </c>
    </row>
    <row r="34" spans="1:23" ht="15" customHeight="1" x14ac:dyDescent="0.2">
      <c r="A34" s="899"/>
      <c r="B34" s="903"/>
      <c r="C34" s="168" t="s">
        <v>183</v>
      </c>
      <c r="D34" s="169">
        <f>'[13]Podklady MZ'!D7</f>
        <v>16.320640841064211</v>
      </c>
      <c r="E34" s="170">
        <f>'[13]Podklady MZ'!E7</f>
        <v>16.616973537572306</v>
      </c>
      <c r="F34" s="170">
        <f>'[13]Podklady MZ'!F7</f>
        <v>10.40566452280312</v>
      </c>
      <c r="G34" s="170">
        <f>'[13]Podklady MZ'!G7</f>
        <v>11.721011069246879</v>
      </c>
      <c r="H34" s="170">
        <f>'[13]Podklady MZ'!H7</f>
        <v>6.1099893158909557</v>
      </c>
      <c r="I34" s="170">
        <f>'[13]Podklady MZ'!I7</f>
        <v>1.4724332294700115</v>
      </c>
      <c r="J34" s="170">
        <f>'[13]Podklady MZ'!J7</f>
        <v>2.4254550526257601</v>
      </c>
      <c r="K34" s="170">
        <f>'[13]Podklady MZ'!K7</f>
        <v>3.489856998809405</v>
      </c>
      <c r="L34" s="170">
        <f>'[13]Podklady MZ'!L7</f>
        <v>5.8992995835837538</v>
      </c>
      <c r="M34" s="170">
        <f>'[13]Podklady MZ'!M7</f>
        <v>13.064786607627402</v>
      </c>
      <c r="N34" s="170">
        <f>'[13]Podklady MZ'!N7</f>
        <v>12.969852964781724</v>
      </c>
      <c r="O34" s="171">
        <f>'[13]Podklady MZ'!O7</f>
        <v>13.637964434105347</v>
      </c>
      <c r="S34" s="76">
        <f t="shared" si="0"/>
        <v>42037</v>
      </c>
      <c r="T34" s="77">
        <f>INDEX([12]ČR!$D$18:$D$383,DATE(2016,MONTH(S34),DAY(S34))-DATE(2016,1,1)+1,1)/1000000</f>
        <v>36.256133201110949</v>
      </c>
      <c r="U34" s="77">
        <f>IF(T!$A$4&gt;=MONTH(S34),VLOOKUP(S34,'[8]Podklady MZ'!$R$2:$S$367,2,FALSE),NA())</f>
        <v>37.810030602166719</v>
      </c>
      <c r="V34" s="176">
        <f>INDEX([5]PT!$AF$16:$AF$381,DATE(2016,MONTH(S34),DAY(S34))-DATE(2016,1,1)+1,1)</f>
        <v>-1.6</v>
      </c>
      <c r="W34" s="176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4"/>
      <c r="D35" s="124"/>
      <c r="E35" s="46"/>
      <c r="F35" s="81"/>
      <c r="G35" s="81"/>
      <c r="H35" s="81"/>
      <c r="I35" s="81"/>
      <c r="J35" s="82"/>
      <c r="K35" s="82"/>
      <c r="L35" s="82"/>
      <c r="M35" s="82"/>
      <c r="N35" s="82"/>
      <c r="O35" s="78"/>
      <c r="S35" s="76">
        <f t="shared" si="0"/>
        <v>42038</v>
      </c>
      <c r="T35" s="77">
        <f>INDEX([12]ČR!$D$18:$D$383,DATE(2016,MONTH(S35),DAY(S35))-DATE(2016,1,1)+1,1)/1000000</f>
        <v>38.572839522920816</v>
      </c>
      <c r="U35" s="77">
        <f>IF(T!$A$4&gt;=MONTH(S35),VLOOKUP(S35,'[8]Podklady MZ'!$R$2:$S$367,2,FALSE),NA())</f>
        <v>40.079616216670246</v>
      </c>
      <c r="V35" s="176">
        <f>INDEX([5]PT!$AF$16:$AF$381,DATE(2016,MONTH(S35),DAY(S35))-DATE(2016,1,1)+1,1)</f>
        <v>-2.5</v>
      </c>
      <c r="W35" s="176" t="e">
        <f>IF(T!$A$4&lt;MONTH(S35),VLOOKUP(S35,'[8]Podklady MZ'!$R$2:$S$367,2,FALSE),NA())</f>
        <v>#N/A</v>
      </c>
    </row>
    <row r="36" spans="1:23" ht="7.5" customHeight="1" x14ac:dyDescent="0.2">
      <c r="S36" s="76">
        <f t="shared" si="0"/>
        <v>42039</v>
      </c>
      <c r="T36" s="77">
        <f>INDEX([12]ČR!$D$18:$D$383,DATE(2016,MONTH(S36),DAY(S36))-DATE(2016,1,1)+1,1)/1000000</f>
        <v>38.774449049186302</v>
      </c>
      <c r="U36" s="77">
        <f>IF(T!$A$4&gt;=MONTH(S36),VLOOKUP(S36,'[8]Podklady MZ'!$R$2:$S$367,2,FALSE),NA())</f>
        <v>41.461490277269561</v>
      </c>
      <c r="V36" s="176">
        <f>INDEX([5]PT!$AF$16:$AF$381,DATE(2016,MONTH(S36),DAY(S36))-DATE(2016,1,1)+1,1)</f>
        <v>-2.9</v>
      </c>
      <c r="W36" s="176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8"/>
      <c r="K37" s="68"/>
      <c r="S37" s="76">
        <f t="shared" si="0"/>
        <v>42040</v>
      </c>
      <c r="T37" s="77">
        <f>INDEX([12]ČR!$D$18:$D$383,DATE(2016,MONTH(S37),DAY(S37))-DATE(2016,1,1)+1,1)/1000000</f>
        <v>38.146355387707018</v>
      </c>
      <c r="U37" s="77">
        <f>IF(T!$A$4&gt;=MONTH(S37),VLOOKUP(S37,'[8]Podklady MZ'!$R$2:$S$367,2,FALSE),NA())</f>
        <v>42.621557004484409</v>
      </c>
      <c r="V37" s="176">
        <f>INDEX([5]PT!$AF$16:$AF$381,DATE(2016,MONTH(S37),DAY(S37))-DATE(2016,1,1)+1,1)</f>
        <v>-3.4</v>
      </c>
      <c r="W37" s="176" t="e">
        <f>IF(T!$A$4&lt;MONTH(S37),VLOOKUP(S37,'[8]Podklady MZ'!$R$2:$S$367,2,FALSE),NA())</f>
        <v>#N/A</v>
      </c>
    </row>
    <row r="38" spans="1:23" ht="12.95" customHeight="1" x14ac:dyDescent="0.2">
      <c r="A38" s="897" t="s">
        <v>289</v>
      </c>
      <c r="B38" s="897"/>
      <c r="C38" s="897"/>
      <c r="D38" s="897"/>
      <c r="E38" s="897"/>
      <c r="F38" s="897"/>
      <c r="G38" s="897"/>
      <c r="H38" s="897"/>
      <c r="I38" s="897"/>
      <c r="J38" s="897"/>
      <c r="K38" s="897"/>
      <c r="L38" s="897"/>
      <c r="M38" s="897"/>
      <c r="N38" s="897"/>
      <c r="O38" s="897"/>
      <c r="S38" s="76">
        <f t="shared" si="0"/>
        <v>42041</v>
      </c>
      <c r="T38" s="77">
        <f>INDEX([12]ČR!$D$18:$D$383,DATE(2016,MONTH(S38),DAY(S38))-DATE(2016,1,1)+1,1)/1000000</f>
        <v>35.601336772849407</v>
      </c>
      <c r="U38" s="77">
        <f>IF(T!$A$4&gt;=MONTH(S38),VLOOKUP(S38,'[8]Podklady MZ'!$R$2:$S$367,2,FALSE),NA())</f>
        <v>41.002694837526164</v>
      </c>
      <c r="V38" s="176">
        <f>INDEX([5]PT!$AF$16:$AF$381,DATE(2016,MONTH(S38),DAY(S38))-DATE(2016,1,1)+1,1)</f>
        <v>-3.9</v>
      </c>
      <c r="W38" s="176" t="e">
        <f>IF(T!$A$4&lt;MONTH(S38),VLOOKUP(S38,'[8]Podklady MZ'!$R$2:$S$367,2,FALSE),NA())</f>
        <v>#N/A</v>
      </c>
    </row>
    <row r="39" spans="1:23" ht="12.95" customHeight="1" x14ac:dyDescent="0.2">
      <c r="A39" s="897"/>
      <c r="B39" s="897"/>
      <c r="C39" s="897"/>
      <c r="D39" s="897"/>
      <c r="E39" s="897"/>
      <c r="F39" s="897"/>
      <c r="G39" s="640"/>
      <c r="H39" s="640"/>
      <c r="I39" s="47"/>
      <c r="J39" s="68"/>
      <c r="K39" s="68"/>
      <c r="S39" s="76">
        <f t="shared" si="0"/>
        <v>42042</v>
      </c>
      <c r="T39" s="77">
        <f>INDEX([12]ČR!$D$18:$D$383,DATE(2016,MONTH(S39),DAY(S39))-DATE(2016,1,1)+1,1)/1000000</f>
        <v>34.086895744836866</v>
      </c>
      <c r="U39" s="77">
        <f>IF(T!$A$4&gt;=MONTH(S39),VLOOKUP(S39,'[8]Podklady MZ'!$R$2:$S$367,2,FALSE),NA())</f>
        <v>36.310293564588683</v>
      </c>
      <c r="V39" s="176">
        <f>INDEX([5]PT!$AF$16:$AF$381,DATE(2016,MONTH(S39),DAY(S39))-DATE(2016,1,1)+1,1)</f>
        <v>-3.7</v>
      </c>
      <c r="W39" s="176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1"/>
      <c r="D40" s="71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S40" s="76">
        <f t="shared" si="0"/>
        <v>42043</v>
      </c>
      <c r="T40" s="77">
        <f>INDEX([12]ČR!$D$18:$D$383,DATE(2016,MONTH(S40),DAY(S40))-DATE(2016,1,1)+1,1)/1000000</f>
        <v>28.27191480409385</v>
      </c>
      <c r="U40" s="77">
        <f>IF(T!$A$4&gt;=MONTH(S40),VLOOKUP(S40,'[8]Podklady MZ'!$R$2:$S$367,2,FALSE),NA())</f>
        <v>37.694738891570495</v>
      </c>
      <c r="V40" s="176">
        <f>INDEX([5]PT!$AF$16:$AF$381,DATE(2016,MONTH(S40),DAY(S40))-DATE(2016,1,1)+1,1)</f>
        <v>-2.2999999999999998</v>
      </c>
      <c r="W40" s="176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1"/>
      <c r="D41" s="71"/>
      <c r="E41" s="71"/>
      <c r="F41" s="47"/>
      <c r="G41" s="47"/>
      <c r="H41" s="47"/>
      <c r="I41" s="47"/>
      <c r="J41" s="68"/>
      <c r="K41" s="47"/>
      <c r="S41" s="76">
        <f t="shared" si="0"/>
        <v>42044</v>
      </c>
      <c r="T41" s="77">
        <f>INDEX([12]ČR!$D$18:$D$383,DATE(2016,MONTH(S41),DAY(S41))-DATE(2016,1,1)+1,1)/1000000</f>
        <v>30.067092573339991</v>
      </c>
      <c r="U41" s="77">
        <f>IF(T!$A$4&gt;=MONTH(S41),VLOOKUP(S41,'[8]Podklady MZ'!$R$2:$S$367,2,FALSE),NA())</f>
        <v>39.125366627788033</v>
      </c>
      <c r="V41" s="176">
        <f>INDEX([5]PT!$AF$16:$AF$381,DATE(2016,MONTH(S41),DAY(S41))-DATE(2016,1,1)+1,1)</f>
        <v>0.4</v>
      </c>
      <c r="W41" s="176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1"/>
      <c r="D42" s="71"/>
      <c r="E42" s="71"/>
      <c r="F42" s="47"/>
      <c r="G42" s="47"/>
      <c r="H42" s="47"/>
      <c r="I42" s="47"/>
      <c r="J42" s="68"/>
      <c r="K42" s="47"/>
      <c r="S42" s="76">
        <f t="shared" si="0"/>
        <v>42045</v>
      </c>
      <c r="T42" s="77">
        <f>INDEX([12]ČR!$D$18:$D$383,DATE(2016,MONTH(S42),DAY(S42))-DATE(2016,1,1)+1,1)/1000000</f>
        <v>32.448626975947981</v>
      </c>
      <c r="U42" s="77">
        <f>IF(T!$A$4&gt;=MONTH(S42),VLOOKUP(S42,'[8]Podklady MZ'!$R$2:$S$367,2,FALSE),NA())</f>
        <v>35.860134716284335</v>
      </c>
      <c r="V42" s="176">
        <f>INDEX([5]PT!$AF$16:$AF$381,DATE(2016,MONTH(S42),DAY(S42))-DATE(2016,1,1)+1,1)</f>
        <v>2.4</v>
      </c>
      <c r="W42" s="176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1"/>
      <c r="D43" s="71"/>
      <c r="E43" s="71"/>
      <c r="F43" s="47"/>
      <c r="G43" s="47"/>
      <c r="H43" s="47"/>
      <c r="I43" s="47"/>
      <c r="J43" s="68"/>
      <c r="K43" s="47"/>
      <c r="S43" s="76">
        <f t="shared" si="0"/>
        <v>42046</v>
      </c>
      <c r="T43" s="77">
        <f>INDEX([12]ČR!$D$18:$D$383,DATE(2016,MONTH(S43),DAY(S43))-DATE(2016,1,1)+1,1)/1000000</f>
        <v>32.699052033250474</v>
      </c>
      <c r="U43" s="77">
        <f>IF(T!$A$4&gt;=MONTH(S43),VLOOKUP(S43,'[8]Podklady MZ'!$R$2:$S$367,2,FALSE),NA())</f>
        <v>35.500375108909473</v>
      </c>
      <c r="V43" s="176">
        <f>INDEX([5]PT!$AF$16:$AF$381,DATE(2016,MONTH(S43),DAY(S43))-DATE(2016,1,1)+1,1)</f>
        <v>0.8</v>
      </c>
      <c r="W43" s="176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1"/>
      <c r="D44" s="71"/>
      <c r="E44" s="71"/>
      <c r="F44" s="47"/>
      <c r="G44" s="47"/>
      <c r="H44" s="47"/>
      <c r="I44" s="47"/>
      <c r="J44" s="68"/>
      <c r="K44" s="47"/>
      <c r="S44" s="76">
        <f t="shared" si="0"/>
        <v>42047</v>
      </c>
      <c r="T44" s="77">
        <f>INDEX([12]ČR!$D$18:$D$383,DATE(2016,MONTH(S44),DAY(S44))-DATE(2016,1,1)+1,1)/1000000</f>
        <v>34.882585752032831</v>
      </c>
      <c r="U44" s="77">
        <f>IF(T!$A$4&gt;=MONTH(S44),VLOOKUP(S44,'[8]Podklady MZ'!$R$2:$S$367,2,FALSE),NA())</f>
        <v>35.94283126686328</v>
      </c>
      <c r="V44" s="176">
        <f>INDEX([5]PT!$AF$16:$AF$381,DATE(2016,MONTH(S44),DAY(S44))-DATE(2016,1,1)+1,1)</f>
        <v>0.6</v>
      </c>
      <c r="W44" s="176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1"/>
      <c r="D45" s="71"/>
      <c r="E45" s="71"/>
      <c r="F45" s="47"/>
      <c r="G45" s="47"/>
      <c r="H45" s="47"/>
      <c r="I45" s="47"/>
      <c r="J45" s="68"/>
      <c r="K45" s="47"/>
      <c r="N45" s="66"/>
      <c r="O45" s="66"/>
      <c r="P45" s="66"/>
      <c r="Q45" s="66"/>
      <c r="R45" s="66"/>
      <c r="S45" s="76">
        <f t="shared" si="0"/>
        <v>42048</v>
      </c>
      <c r="T45" s="77">
        <f>INDEX([12]ČR!$D$18:$D$383,DATE(2016,MONTH(S45),DAY(S45))-DATE(2016,1,1)+1,1)/1000000</f>
        <v>33.101919421790853</v>
      </c>
      <c r="U45" s="77">
        <f>IF(T!$A$4&gt;=MONTH(S45),VLOOKUP(S45,'[8]Podklady MZ'!$R$2:$S$367,2,FALSE),NA())</f>
        <v>35.457735692935167</v>
      </c>
      <c r="V45" s="176">
        <f>INDEX([5]PT!$AF$16:$AF$381,DATE(2016,MONTH(S45),DAY(S45))-DATE(2016,1,1)+1,1)</f>
        <v>-0.1</v>
      </c>
      <c r="W45" s="176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1"/>
      <c r="D46" s="71"/>
      <c r="E46" s="71"/>
      <c r="F46" s="69"/>
      <c r="G46" s="69"/>
      <c r="H46" s="69"/>
      <c r="I46" s="69"/>
      <c r="J46" s="69"/>
      <c r="K46" s="69"/>
      <c r="S46" s="76">
        <f t="shared" si="0"/>
        <v>42049</v>
      </c>
      <c r="T46" s="77">
        <f>INDEX([12]ČR!$D$18:$D$383,DATE(2016,MONTH(S46),DAY(S46))-DATE(2016,1,1)+1,1)/1000000</f>
        <v>31.440608091089793</v>
      </c>
      <c r="U46" s="77">
        <f>IF(T!$A$4&gt;=MONTH(S46),VLOOKUP(S46,'[8]Podklady MZ'!$R$2:$S$367,2,FALSE),NA())</f>
        <v>32.32461074416856</v>
      </c>
      <c r="V46" s="176">
        <f>INDEX([5]PT!$AF$16:$AF$381,DATE(2016,MONTH(S46),DAY(S46))-DATE(2016,1,1)+1,1)</f>
        <v>0.7</v>
      </c>
      <c r="W46" s="176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1"/>
      <c r="D47" s="71"/>
      <c r="E47" s="71"/>
      <c r="F47" s="69"/>
      <c r="G47" s="69"/>
      <c r="H47" s="69"/>
      <c r="I47" s="69"/>
      <c r="J47" s="69"/>
      <c r="K47" s="69"/>
      <c r="S47" s="76">
        <f t="shared" si="0"/>
        <v>42050</v>
      </c>
      <c r="T47" s="77">
        <f>INDEX([12]ČR!$D$18:$D$383,DATE(2016,MONTH(S47),DAY(S47))-DATE(2016,1,1)+1,1)/1000000</f>
        <v>28.101454696781424</v>
      </c>
      <c r="U47" s="77">
        <f>IF(T!$A$4&gt;=MONTH(S47),VLOOKUP(S47,'[8]Podklady MZ'!$R$2:$S$367,2,FALSE),NA())</f>
        <v>31.653059206051871</v>
      </c>
      <c r="V47" s="176">
        <f>INDEX([5]PT!$AF$16:$AF$381,DATE(2016,MONTH(S47),DAY(S47))-DATE(2016,1,1)+1,1)</f>
        <v>2.2999999999999998</v>
      </c>
      <c r="W47" s="176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1"/>
      <c r="D48" s="71"/>
      <c r="E48" s="71"/>
      <c r="F48" s="69"/>
      <c r="G48" s="69"/>
      <c r="H48" s="69"/>
      <c r="I48" s="69"/>
      <c r="J48" s="69"/>
      <c r="K48" s="69"/>
      <c r="S48" s="76">
        <f t="shared" si="0"/>
        <v>42051</v>
      </c>
      <c r="T48" s="77">
        <f>INDEX([12]ČR!$D$18:$D$383,DATE(2016,MONTH(S48),DAY(S48))-DATE(2016,1,1)+1,1)/1000000</f>
        <v>29.299297569510962</v>
      </c>
      <c r="U48" s="77">
        <f>IF(T!$A$4&gt;=MONTH(S48),VLOOKUP(S48,'[8]Podklady MZ'!$R$2:$S$367,2,FALSE),NA())</f>
        <v>35.010214404985817</v>
      </c>
      <c r="V48" s="176">
        <f>INDEX([5]PT!$AF$16:$AF$381,DATE(2016,MONTH(S48),DAY(S48))-DATE(2016,1,1)+1,1)</f>
        <v>0.8</v>
      </c>
      <c r="W48" s="176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1"/>
      <c r="D49" s="71"/>
      <c r="E49" s="71"/>
      <c r="F49" s="69"/>
      <c r="G49" s="69"/>
      <c r="H49" s="69"/>
      <c r="I49" s="69"/>
      <c r="J49" s="69"/>
      <c r="K49" s="69"/>
      <c r="S49" s="76">
        <f t="shared" si="0"/>
        <v>42052</v>
      </c>
      <c r="T49" s="77">
        <f>INDEX([12]ČR!$D$18:$D$383,DATE(2016,MONTH(S49),DAY(S49))-DATE(2016,1,1)+1,1)/1000000</f>
        <v>30.772013046219641</v>
      </c>
      <c r="U49" s="77">
        <f>IF(T!$A$4&gt;=MONTH(S49),VLOOKUP(S49,'[8]Podklady MZ'!$R$2:$S$367,2,FALSE),NA())</f>
        <v>36.27382433829149</v>
      </c>
      <c r="V49" s="176">
        <f>INDEX([5]PT!$AF$16:$AF$381,DATE(2016,MONTH(S49),DAY(S49))-DATE(2016,1,1)+1,1)</f>
        <v>-0.2</v>
      </c>
      <c r="W49" s="176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1"/>
      <c r="D50" s="71"/>
      <c r="E50" s="71"/>
      <c r="F50" s="69"/>
      <c r="G50" s="69"/>
      <c r="H50" s="69"/>
      <c r="I50" s="69"/>
      <c r="J50" s="69"/>
      <c r="K50" s="69"/>
      <c r="S50" s="76">
        <f t="shared" si="0"/>
        <v>42053</v>
      </c>
      <c r="T50" s="77">
        <f>INDEX([12]ČR!$D$18:$D$383,DATE(2016,MONTH(S50),DAY(S50))-DATE(2016,1,1)+1,1)/1000000</f>
        <v>31.843277658628132</v>
      </c>
      <c r="U50" s="77">
        <f>IF(T!$A$4&gt;=MONTH(S50),VLOOKUP(S50,'[8]Podklady MZ'!$R$2:$S$367,2,FALSE),NA())</f>
        <v>36.879590118145963</v>
      </c>
      <c r="V50" s="176">
        <f>INDEX([5]PT!$AF$16:$AF$381,DATE(2016,MONTH(S50),DAY(S50))-DATE(2016,1,1)+1,1)</f>
        <v>-0.3</v>
      </c>
      <c r="W50" s="176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1"/>
      <c r="D51" s="71"/>
      <c r="E51" s="71"/>
      <c r="F51" s="69"/>
      <c r="G51" s="69"/>
      <c r="H51" s="69"/>
      <c r="I51" s="69"/>
      <c r="J51" s="69"/>
      <c r="K51" s="69"/>
      <c r="S51" s="76">
        <f t="shared" si="0"/>
        <v>42054</v>
      </c>
      <c r="T51" s="77">
        <f>INDEX([12]ČR!$D$18:$D$383,DATE(2016,MONTH(S51),DAY(S51))-DATE(2016,1,1)+1,1)/1000000</f>
        <v>30.934519984747681</v>
      </c>
      <c r="U51" s="77">
        <f>IF(T!$A$4&gt;=MONTH(S51),VLOOKUP(S51,'[8]Podklady MZ'!$R$2:$S$367,2,FALSE),NA())</f>
        <v>36.528261146452671</v>
      </c>
      <c r="V51" s="176">
        <f>INDEX([5]PT!$AF$16:$AF$381,DATE(2016,MONTH(S51),DAY(S51))-DATE(2016,1,1)+1,1)</f>
        <v>-0.6</v>
      </c>
      <c r="W51" s="176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1"/>
      <c r="D52" s="71"/>
      <c r="E52" s="71"/>
      <c r="F52" s="69"/>
      <c r="G52" s="69"/>
      <c r="H52" s="69"/>
      <c r="I52" s="69"/>
      <c r="J52" s="69"/>
      <c r="K52" s="69"/>
      <c r="S52" s="76">
        <f t="shared" si="0"/>
        <v>42055</v>
      </c>
      <c r="T52" s="77">
        <f>INDEX([12]ČR!$D$18:$D$383,DATE(2016,MONTH(S52),DAY(S52))-DATE(2016,1,1)+1,1)/1000000</f>
        <v>29.665237368062613</v>
      </c>
      <c r="U52" s="77">
        <f>IF(T!$A$4&gt;=MONTH(S52),VLOOKUP(S52,'[8]Podklady MZ'!$R$2:$S$367,2,FALSE),NA())</f>
        <v>33.703544034626219</v>
      </c>
      <c r="V52" s="176">
        <f>INDEX([5]PT!$AF$16:$AF$381,DATE(2016,MONTH(S52),DAY(S52))-DATE(2016,1,1)+1,1)</f>
        <v>1.2</v>
      </c>
      <c r="W52" s="176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6">
        <f t="shared" si="0"/>
        <v>42056</v>
      </c>
      <c r="T53" s="77">
        <f>INDEX([12]ČR!$D$18:$D$383,DATE(2016,MONTH(S53),DAY(S53))-DATE(2016,1,1)+1,1)/1000000</f>
        <v>28.690933982194814</v>
      </c>
      <c r="U53" s="77">
        <f>IF(T!$A$4&gt;=MONTH(S53),VLOOKUP(S53,'[8]Podklady MZ'!$R$2:$S$367,2,FALSE),NA())</f>
        <v>29.747995538224668</v>
      </c>
      <c r="V53" s="176">
        <f>INDEX([5]PT!$AF$16:$AF$381,DATE(2016,MONTH(S53),DAY(S53))-DATE(2016,1,1)+1,1)</f>
        <v>2</v>
      </c>
      <c r="W53" s="176" t="e">
        <f>IF(T!$A$4&lt;MONTH(S53),VLOOKUP(S53,'[8]Podklady MZ'!$R$2:$S$367,2,FALSE),NA())</f>
        <v>#N/A</v>
      </c>
    </row>
    <row r="54" spans="1:23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S54" s="76">
        <f t="shared" si="0"/>
        <v>42057</v>
      </c>
      <c r="T54" s="77">
        <f>INDEX([12]ČR!$D$18:$D$383,DATE(2016,MONTH(S54),DAY(S54))-DATE(2016,1,1)+1,1)/1000000</f>
        <v>26.488220342388296</v>
      </c>
      <c r="U54" s="77">
        <f>IF(T!$A$4&gt;=MONTH(S54),VLOOKUP(S54,'[8]Podklady MZ'!$R$2:$S$367,2,FALSE),NA())</f>
        <v>30.593376885161437</v>
      </c>
      <c r="V54" s="176">
        <f>INDEX([5]PT!$AF$16:$AF$381,DATE(2016,MONTH(S54),DAY(S54))-DATE(2016,1,1)+1,1)</f>
        <v>2</v>
      </c>
      <c r="W54" s="176" t="e">
        <f>IF(T!$A$4&lt;MONTH(S54),VLOOKUP(S54,'[8]Podklady MZ'!$R$2:$S$367,2,FALSE),NA())</f>
        <v>#N/A</v>
      </c>
    </row>
    <row r="55" spans="1:23" x14ac:dyDescent="0.2">
      <c r="S55" s="76">
        <f t="shared" si="0"/>
        <v>42058</v>
      </c>
      <c r="T55" s="77">
        <f>INDEX([12]ČR!$D$18:$D$383,DATE(2016,MONTH(S55),DAY(S55))-DATE(2016,1,1)+1,1)/1000000</f>
        <v>27.234455430524132</v>
      </c>
      <c r="U55" s="77">
        <f>IF(T!$A$4&gt;=MONTH(S55),VLOOKUP(S55,'[8]Podklady MZ'!$R$2:$S$367,2,FALSE),NA())</f>
        <v>33.462862272904239</v>
      </c>
      <c r="V55" s="176">
        <f>INDEX([5]PT!$AF$16:$AF$381,DATE(2016,MONTH(S55),DAY(S55))-DATE(2016,1,1)+1,1)</f>
        <v>3.1</v>
      </c>
      <c r="W55" s="176" t="e">
        <f>IF(T!$A$4&lt;MONTH(S55),VLOOKUP(S55,'[8]Podklady MZ'!$R$2:$S$367,2,FALSE),NA())</f>
        <v>#N/A</v>
      </c>
    </row>
    <row r="56" spans="1:23" x14ac:dyDescent="0.2">
      <c r="S56" s="76">
        <f t="shared" si="0"/>
        <v>42059</v>
      </c>
      <c r="T56" s="77">
        <f>INDEX([12]ČR!$D$18:$D$383,DATE(2016,MONTH(S56),DAY(S56))-DATE(2016,1,1)+1,1)/1000000</f>
        <v>29.906002272638524</v>
      </c>
      <c r="U56" s="77">
        <f>IF(T!$A$4&gt;=MONTH(S56),VLOOKUP(S56,'[8]Podklady MZ'!$R$2:$S$367,2,FALSE),NA())</f>
        <v>32.092613243413886</v>
      </c>
      <c r="V56" s="176">
        <f>INDEX([5]PT!$AF$16:$AF$381,DATE(2016,MONTH(S56),DAY(S56))-DATE(2016,1,1)+1,1)</f>
        <v>3.7</v>
      </c>
      <c r="W56" s="176" t="e">
        <f>IF(T!$A$4&lt;MONTH(S56),VLOOKUP(S56,'[8]Podklady MZ'!$R$2:$S$367,2,FALSE),NA())</f>
        <v>#N/A</v>
      </c>
    </row>
    <row r="57" spans="1:23" x14ac:dyDescent="0.2">
      <c r="S57" s="76">
        <f t="shared" si="0"/>
        <v>42060</v>
      </c>
      <c r="T57" s="77">
        <f>INDEX([12]ČR!$D$18:$D$383,DATE(2016,MONTH(S57),DAY(S57))-DATE(2016,1,1)+1,1)/1000000</f>
        <v>31.25101908209286</v>
      </c>
      <c r="U57" s="77">
        <f>IF(T!$A$4&gt;=MONTH(S57),VLOOKUP(S57,'[8]Podklady MZ'!$R$2:$S$367,2,FALSE),NA())</f>
        <v>33.199114901346874</v>
      </c>
      <c r="V57" s="176">
        <f>INDEX([5]PT!$AF$16:$AF$381,DATE(2016,MONTH(S57),DAY(S57))-DATE(2016,1,1)+1,1)</f>
        <v>2.4</v>
      </c>
      <c r="W57" s="176" t="e">
        <f>IF(T!$A$4&lt;MONTH(S57),VLOOKUP(S57,'[8]Podklady MZ'!$R$2:$S$367,2,FALSE),NA())</f>
        <v>#N/A</v>
      </c>
    </row>
    <row r="58" spans="1:23" x14ac:dyDescent="0.2">
      <c r="S58" s="76">
        <f t="shared" si="0"/>
        <v>42061</v>
      </c>
      <c r="T58" s="77">
        <f>INDEX([12]ČR!$D$18:$D$383,DATE(2016,MONTH(S58),DAY(S58))-DATE(2016,1,1)+1,1)/1000000</f>
        <v>30.588975385689579</v>
      </c>
      <c r="U58" s="77">
        <f>IF(T!$A$4&gt;=MONTH(S58),VLOOKUP(S58,'[8]Podklady MZ'!$R$2:$S$367,2,FALSE),NA())</f>
        <v>33.339268505793576</v>
      </c>
      <c r="V58" s="176">
        <f>INDEX([5]PT!$AF$16:$AF$381,DATE(2016,MONTH(S58),DAY(S58))-DATE(2016,1,1)+1,1)</f>
        <v>2</v>
      </c>
      <c r="W58" s="176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6">
        <f t="shared" si="0"/>
        <v>42062</v>
      </c>
      <c r="T59" s="77">
        <f>INDEX([12]ČR!$D$18:$D$383,DATE(2016,MONTH(S59),DAY(S59))-DATE(2016,1,1)+1,1)/1000000</f>
        <v>30.438781690691069</v>
      </c>
      <c r="U59" s="77">
        <f>IF(T!$A$4&gt;=MONTH(S59),VLOOKUP(S59,'[8]Podklady MZ'!$R$2:$S$367,2,FALSE),NA())</f>
        <v>32.085560383060248</v>
      </c>
      <c r="V59" s="176">
        <f>INDEX([5]PT!$AF$16:$AF$381,DATE(2016,MONTH(S59),DAY(S59))-DATE(2016,1,1)+1,1)</f>
        <v>2.5</v>
      </c>
      <c r="W59" s="176" t="e">
        <f>IF(T!$A$4&lt;MONTH(S59),VLOOKUP(S59,'[8]Podklady MZ'!$R$2:$S$367,2,FALSE),NA())</f>
        <v>#N/A</v>
      </c>
    </row>
    <row r="60" spans="1:23" x14ac:dyDescent="0.2">
      <c r="D60" s="13"/>
      <c r="E60" s="70"/>
      <c r="F60" s="70"/>
      <c r="G60" s="70"/>
      <c r="S60" s="76">
        <f t="shared" si="0"/>
        <v>42063</v>
      </c>
      <c r="T60" s="77">
        <f>INDEX([12]ČR!$D$18:$D$383,DATE(2016,MONTH(S60),DAY(S60))-DATE(2016,1,1)+1,1)/1000000</f>
        <v>30.176460467202809</v>
      </c>
      <c r="U60" s="77">
        <f>IF(T!$A$4&gt;=MONTH(S60),VLOOKUP(S60,'[8]Podklady MZ'!$R$2:$S$367,2,FALSE),NA())</f>
        <v>29.662131335351482</v>
      </c>
      <c r="V60" s="176">
        <f>INDEX([5]PT!$AF$16:$AF$381,DATE(2016,MONTH(S60),DAY(S60))-DATE(2016,1,1)+1,1)</f>
        <v>2.2000000000000002</v>
      </c>
      <c r="W60" s="176" t="e">
        <f>IF(T!$A$4&lt;MONTH(S60),VLOOKUP(S60,'[8]Podklady MZ'!$R$2:$S$367,2,FALSE),NA())</f>
        <v>#N/A</v>
      </c>
    </row>
    <row r="61" spans="1:23" x14ac:dyDescent="0.2">
      <c r="D61" s="13"/>
      <c r="E61" s="70"/>
      <c r="F61" s="70"/>
      <c r="G61" s="70"/>
      <c r="S61" s="76">
        <f t="shared" si="0"/>
        <v>42064</v>
      </c>
      <c r="T61" s="77">
        <f>INDEX([12]ČR!$D$18:$D$383,DATE(2016,MONTH(S61),DAY(S61))-DATE(2016,1,1)+1,1)/1000000</f>
        <v>26.972210961170788</v>
      </c>
      <c r="U61" s="77">
        <f>IF(T!$A$4&gt;=MONTH(S61),VLOOKUP(S61,'[8]Podklady MZ'!$R$2:$S$367,2,FALSE),NA())</f>
        <v>30.248075103459318</v>
      </c>
      <c r="V61" s="176">
        <f>INDEX([5]PT!$AF$16:$AF$381,DATE(2016,MONTH(S61),DAY(S61))-DATE(2016,1,1)+1,1)</f>
        <v>2.7</v>
      </c>
      <c r="W61" s="176" t="e">
        <f>IF(T!$A$4&lt;MONTH(S61),VLOOKUP(S61,'[8]Podklady MZ'!$R$2:$S$367,2,FALSE),NA())</f>
        <v>#N/A</v>
      </c>
    </row>
    <row r="62" spans="1:23" x14ac:dyDescent="0.2">
      <c r="D62" s="13"/>
      <c r="E62" s="70"/>
      <c r="F62" s="70"/>
      <c r="G62" s="70"/>
      <c r="S62" s="76">
        <f t="shared" si="0"/>
        <v>42065</v>
      </c>
      <c r="T62" s="77">
        <f>INDEX([12]ČR!$D$18:$D$383,DATE(2016,MONTH(S62),DAY(S62))-DATE(2016,1,1)+1,1)/1000000</f>
        <v>25.663281690544249</v>
      </c>
      <c r="U62" s="77">
        <f>IF(T!$A$4&gt;=MONTH(S62),VLOOKUP(S62,'[8]Podklady MZ'!$R$2:$S$367,2,FALSE),NA())</f>
        <v>32.156299075508116</v>
      </c>
      <c r="V62" s="176">
        <f>INDEX([5]PT!$AF$16:$AF$381,DATE(2016,MONTH(S62),DAY(S62))-DATE(2016,1,1)+1,1)</f>
        <v>3.8</v>
      </c>
      <c r="W62" s="176" t="e">
        <f>IF(T!$A$4&lt;MONTH(S62),VLOOKUP(S62,'[8]Podklady MZ'!$R$2:$S$367,2,FALSE),NA())</f>
        <v>#N/A</v>
      </c>
    </row>
    <row r="63" spans="1:23" x14ac:dyDescent="0.2">
      <c r="D63" s="13"/>
      <c r="E63" s="70"/>
      <c r="F63" s="70"/>
      <c r="G63" s="70"/>
      <c r="S63" s="76">
        <f t="shared" si="0"/>
        <v>42066</v>
      </c>
      <c r="T63" s="77">
        <f>INDEX([12]ČR!$D$18:$D$383,DATE(2016,MONTH(S63),DAY(S63))-DATE(2016,1,1)+1,1)/1000000</f>
        <v>29.095378971123555</v>
      </c>
      <c r="U63" s="77">
        <f>IF(T!$A$4&gt;=MONTH(S63),VLOOKUP(S63,'[8]Podklady MZ'!$R$2:$S$367,2,FALSE),NA())</f>
        <v>32.090406012723975</v>
      </c>
      <c r="V63" s="176">
        <f>INDEX([5]PT!$AF$16:$AF$381,DATE(2016,MONTH(S63),DAY(S63))-DATE(2016,1,1)+1,1)</f>
        <v>2.7</v>
      </c>
      <c r="W63" s="176" t="e">
        <f>IF(T!$A$4&lt;MONTH(S63),VLOOKUP(S63,'[8]Podklady MZ'!$R$2:$S$367,2,FALSE),NA())</f>
        <v>#N/A</v>
      </c>
    </row>
    <row r="64" spans="1:23" x14ac:dyDescent="0.2">
      <c r="D64" s="13"/>
      <c r="E64" s="70"/>
      <c r="F64" s="70"/>
      <c r="G64" s="70"/>
      <c r="S64" s="76">
        <f t="shared" si="0"/>
        <v>42067</v>
      </c>
      <c r="T64" s="77">
        <f>INDEX([12]ČR!$D$18:$D$383,DATE(2016,MONTH(S64),DAY(S64))-DATE(2016,1,1)+1,1)/1000000</f>
        <v>28.783560334980706</v>
      </c>
      <c r="U64" s="77">
        <f>IF(T!$A$4&gt;=MONTH(S64),VLOOKUP(S64,'[8]Podklady MZ'!$R$2:$S$367,2,FALSE),NA())</f>
        <v>32.451208446596773</v>
      </c>
      <c r="V64" s="176">
        <f>INDEX([5]PT!$AF$16:$AF$381,DATE(2016,MONTH(S64),DAY(S64))-DATE(2016,1,1)+1,1)</f>
        <v>2.2999999999999998</v>
      </c>
      <c r="W64" s="176" t="e">
        <f>IF(T!$A$4&lt;MONTH(S64),VLOOKUP(S64,'[8]Podklady MZ'!$R$2:$S$367,2,FALSE),NA())</f>
        <v>#N/A</v>
      </c>
    </row>
    <row r="65" spans="1:23" x14ac:dyDescent="0.2">
      <c r="D65" s="13"/>
      <c r="E65" s="70"/>
      <c r="F65" s="70"/>
      <c r="G65" s="70"/>
      <c r="S65" s="76">
        <f t="shared" si="0"/>
        <v>42068</v>
      </c>
      <c r="T65" s="77">
        <f>INDEX([12]ČR!$D$18:$D$383,DATE(2016,MONTH(S65),DAY(S65))-DATE(2016,1,1)+1,1)/1000000</f>
        <v>30.254379727024507</v>
      </c>
      <c r="U65" s="77">
        <f>IF(T!$A$4&gt;=MONTH(S65),VLOOKUP(S65,'[8]Podklady MZ'!$R$2:$S$367,2,FALSE),NA())</f>
        <v>33.669323046807904</v>
      </c>
      <c r="V65" s="176">
        <f>INDEX([5]PT!$AF$16:$AF$381,DATE(2016,MONTH(S65),DAY(S65))-DATE(2016,1,1)+1,1)</f>
        <v>1</v>
      </c>
      <c r="W65" s="176" t="e">
        <f>IF(T!$A$4&lt;MONTH(S65),VLOOKUP(S65,'[8]Podklady MZ'!$R$2:$S$367,2,FALSE),NA())</f>
        <v>#N/A</v>
      </c>
    </row>
    <row r="66" spans="1:23" x14ac:dyDescent="0.2">
      <c r="D66" s="13"/>
      <c r="E66" s="70"/>
      <c r="F66" s="70"/>
      <c r="G66" s="70"/>
      <c r="S66" s="76">
        <f t="shared" si="0"/>
        <v>42069</v>
      </c>
      <c r="T66" s="77">
        <f>INDEX([12]ČR!$D$18:$D$383,DATE(2016,MONTH(S66),DAY(S66))-DATE(2016,1,1)+1,1)/1000000</f>
        <v>30.899557070456758</v>
      </c>
      <c r="U66" s="77">
        <f>IF(T!$A$4&gt;=MONTH(S66),VLOOKUP(S66,'[8]Podklady MZ'!$R$2:$S$367,2,FALSE),NA())</f>
        <v>31.400656794319055</v>
      </c>
      <c r="V66" s="176">
        <f>INDEX([5]PT!$AF$16:$AF$381,DATE(2016,MONTH(S66),DAY(S66))-DATE(2016,1,1)+1,1)</f>
        <v>2.4</v>
      </c>
      <c r="W66" s="176" t="e">
        <f>IF(T!$A$4&lt;MONTH(S66),VLOOKUP(S66,'[8]Podklady MZ'!$R$2:$S$367,2,FALSE),NA())</f>
        <v>#N/A</v>
      </c>
    </row>
    <row r="67" spans="1:23" x14ac:dyDescent="0.2">
      <c r="G67" s="79"/>
      <c r="H67" s="51"/>
      <c r="I67" s="51"/>
      <c r="J67" s="51"/>
      <c r="K67" s="51"/>
      <c r="L67" s="51"/>
      <c r="M67" s="51"/>
      <c r="N67" s="51"/>
      <c r="O67" s="51"/>
      <c r="S67" s="76">
        <f t="shared" si="0"/>
        <v>42070</v>
      </c>
      <c r="T67" s="77">
        <f>INDEX([12]ČR!$D$18:$D$383,DATE(2016,MONTH(S67),DAY(S67))-DATE(2016,1,1)+1,1)/1000000</f>
        <v>28.308059275973523</v>
      </c>
      <c r="U67" s="77">
        <f>IF(T!$A$4&gt;=MONTH(S67),VLOOKUP(S67,'[8]Podklady MZ'!$R$2:$S$367,2,FALSE),NA())</f>
        <v>26.889062833535807</v>
      </c>
      <c r="V67" s="176">
        <f>INDEX([5]PT!$AF$16:$AF$381,DATE(2016,MONTH(S67),DAY(S67))-DATE(2016,1,1)+1,1)</f>
        <v>3</v>
      </c>
      <c r="W67" s="176" t="e">
        <f>IF(T!$A$4&lt;MONTH(S67),VLOOKUP(S67,'[8]Podklady MZ'!$R$2:$S$367,2,FALSE),NA())</f>
        <v>#N/A</v>
      </c>
    </row>
    <row r="68" spans="1:23" x14ac:dyDescent="0.2">
      <c r="D68" s="13"/>
      <c r="E68" s="70"/>
      <c r="F68" s="70"/>
      <c r="G68" s="70"/>
      <c r="S68" s="76">
        <f t="shared" ref="S68:S131" si="1">S67+1</f>
        <v>42071</v>
      </c>
      <c r="T68" s="77">
        <f>INDEX([12]ČR!$D$18:$D$383,DATE(2016,MONTH(S68),DAY(S68))-DATE(2016,1,1)+1,1)/1000000</f>
        <v>24.33782410442922</v>
      </c>
      <c r="U68" s="77">
        <f>IF(T!$A$4&gt;=MONTH(S68),VLOOKUP(S68,'[8]Podklady MZ'!$R$2:$S$367,2,FALSE),NA())</f>
        <v>26.222814517200824</v>
      </c>
      <c r="V68" s="176">
        <f>INDEX([5]PT!$AF$16:$AF$381,DATE(2016,MONTH(S68),DAY(S68))-DATE(2016,1,1)+1,1)</f>
        <v>4.3</v>
      </c>
      <c r="W68" s="176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0"/>
      <c r="F69" s="70"/>
      <c r="G69" s="70"/>
      <c r="S69" s="76">
        <f t="shared" si="1"/>
        <v>42072</v>
      </c>
      <c r="T69" s="77">
        <f>INDEX([12]ČR!$D$18:$D$383,DATE(2016,MONTH(S69),DAY(S69))-DATE(2016,1,1)+1,1)/1000000</f>
        <v>24.660186937602599</v>
      </c>
      <c r="U69" s="77">
        <f>IF(T!$A$4&gt;=MONTH(S69),VLOOKUP(S69,'[8]Podklady MZ'!$R$2:$S$367,2,FALSE),NA())</f>
        <v>29.386647034852071</v>
      </c>
      <c r="V69" s="176">
        <f>INDEX([5]PT!$AF$16:$AF$381,DATE(2016,MONTH(S69),DAY(S69))-DATE(2016,1,1)+1,1)</f>
        <v>3.3</v>
      </c>
      <c r="W69" s="176" t="e">
        <f>IF(T!$A$4&lt;MONTH(S69),VLOOKUP(S69,'[8]Podklady MZ'!$R$2:$S$367,2,FALSE),NA())</f>
        <v>#N/A</v>
      </c>
    </row>
    <row r="70" spans="1:23" x14ac:dyDescent="0.2">
      <c r="D70" s="13"/>
      <c r="E70" s="70"/>
      <c r="F70" s="70"/>
      <c r="G70" s="70"/>
      <c r="S70" s="76">
        <f t="shared" si="1"/>
        <v>42073</v>
      </c>
      <c r="T70" s="77">
        <f>INDEX([12]ČR!$D$18:$D$383,DATE(2016,MONTH(S70),DAY(S70))-DATE(2016,1,1)+1,1)/1000000</f>
        <v>26.562216932931666</v>
      </c>
      <c r="U70" s="77">
        <f>IF(T!$A$4&gt;=MONTH(S70),VLOOKUP(S70,'[8]Podklady MZ'!$R$2:$S$367,2,FALSE),NA())</f>
        <v>27.738521034828363</v>
      </c>
      <c r="V70" s="176">
        <f>INDEX([5]PT!$AF$16:$AF$381,DATE(2016,MONTH(S70),DAY(S70))-DATE(2016,1,1)+1,1)</f>
        <v>4.4000000000000004</v>
      </c>
      <c r="W70" s="176" t="e">
        <f>IF(T!$A$4&lt;MONTH(S70),VLOOKUP(S70,'[8]Podklady MZ'!$R$2:$S$367,2,FALSE),NA())</f>
        <v>#N/A</v>
      </c>
    </row>
    <row r="71" spans="1:23" x14ac:dyDescent="0.2">
      <c r="D71" s="13"/>
      <c r="E71" s="70"/>
      <c r="F71" s="70"/>
      <c r="G71" s="70"/>
      <c r="S71" s="76">
        <f t="shared" si="1"/>
        <v>42074</v>
      </c>
      <c r="T71" s="77">
        <f>INDEX([12]ČR!$D$18:$D$383,DATE(2016,MONTH(S71),DAY(S71))-DATE(2016,1,1)+1,1)/1000000</f>
        <v>25.574273232705337</v>
      </c>
      <c r="U71" s="77">
        <f>IF(T!$A$4&gt;=MONTH(S71),VLOOKUP(S71,'[8]Podklady MZ'!$R$2:$S$367,2,FALSE),NA())</f>
        <v>30.854267580128589</v>
      </c>
      <c r="V71" s="176">
        <f>INDEX([5]PT!$AF$16:$AF$381,DATE(2016,MONTH(S71),DAY(S71))-DATE(2016,1,1)+1,1)</f>
        <v>2.9</v>
      </c>
      <c r="W71" s="176" t="e">
        <f>IF(T!$A$4&lt;MONTH(S71),VLOOKUP(S71,'[8]Podklady MZ'!$R$2:$S$367,2,FALSE),NA())</f>
        <v>#N/A</v>
      </c>
    </row>
    <row r="72" spans="1:23" x14ac:dyDescent="0.2">
      <c r="S72" s="76">
        <f t="shared" si="1"/>
        <v>42075</v>
      </c>
      <c r="T72" s="77">
        <f>INDEX([12]ČR!$D$18:$D$383,DATE(2016,MONTH(S72),DAY(S72))-DATE(2016,1,1)+1,1)/1000000</f>
        <v>25.344286920612642</v>
      </c>
      <c r="U72" s="77">
        <f>IF(T!$A$4&gt;=MONTH(S72),VLOOKUP(S72,'[8]Podklady MZ'!$R$2:$S$367,2,FALSE),NA())</f>
        <v>31.574844789370491</v>
      </c>
      <c r="V72" s="176">
        <f>INDEX([5]PT!$AF$16:$AF$381,DATE(2016,MONTH(S72),DAY(S72))-DATE(2016,1,1)+1,1)</f>
        <v>2.6</v>
      </c>
      <c r="W72" s="176" t="e">
        <f>IF(T!$A$4&lt;MONTH(S72),VLOOKUP(S72,'[8]Podklady MZ'!$R$2:$S$367,2,FALSE),NA())</f>
        <v>#N/A</v>
      </c>
    </row>
    <row r="73" spans="1:23" x14ac:dyDescent="0.2">
      <c r="S73" s="76">
        <f t="shared" si="1"/>
        <v>42076</v>
      </c>
      <c r="T73" s="77">
        <f>INDEX([12]ČR!$D$18:$D$383,DATE(2016,MONTH(S73),DAY(S73))-DATE(2016,1,1)+1,1)/1000000</f>
        <v>24.545954423747514</v>
      </c>
      <c r="U73" s="77">
        <f>IF(T!$A$4&gt;=MONTH(S73),VLOOKUP(S73,'[8]Podklady MZ'!$R$2:$S$367,2,FALSE),NA())</f>
        <v>31.625360099086652</v>
      </c>
      <c r="V73" s="176">
        <f>INDEX([5]PT!$AF$16:$AF$381,DATE(2016,MONTH(S73),DAY(S73))-DATE(2016,1,1)+1,1)</f>
        <v>2.1</v>
      </c>
      <c r="W73" s="176" t="e">
        <f>IF(T!$A$4&lt;MONTH(S73),VLOOKUP(S73,'[8]Podklady MZ'!$R$2:$S$367,2,FALSE),NA())</f>
        <v>#N/A</v>
      </c>
    </row>
    <row r="74" spans="1:23" x14ac:dyDescent="0.2">
      <c r="S74" s="76">
        <f t="shared" si="1"/>
        <v>42077</v>
      </c>
      <c r="T74" s="77">
        <f>INDEX([12]ČR!$D$18:$D$383,DATE(2016,MONTH(S74),DAY(S74))-DATE(2016,1,1)+1,1)/1000000</f>
        <v>22.59019259581887</v>
      </c>
      <c r="U74" s="77">
        <f>IF(T!$A$4&gt;=MONTH(S74),VLOOKUP(S74,'[8]Podklady MZ'!$R$2:$S$367,2,FALSE),NA())</f>
        <v>28.96030229554378</v>
      </c>
      <c r="V74" s="176">
        <f>INDEX([5]PT!$AF$16:$AF$381,DATE(2016,MONTH(S74),DAY(S74))-DATE(2016,1,1)+1,1)</f>
        <v>1.8</v>
      </c>
      <c r="W74" s="176" t="e">
        <f>IF(T!$A$4&lt;MONTH(S74),VLOOKUP(S74,'[8]Podklady MZ'!$R$2:$S$367,2,FALSE),NA())</f>
        <v>#N/A</v>
      </c>
    </row>
    <row r="75" spans="1:23" x14ac:dyDescent="0.2">
      <c r="S75" s="76">
        <f t="shared" si="1"/>
        <v>42078</v>
      </c>
      <c r="T75" s="77">
        <f>INDEX([12]ČR!$D$18:$D$383,DATE(2016,MONTH(S75),DAY(S75))-DATE(2016,1,1)+1,1)/1000000</f>
        <v>23.847542653437056</v>
      </c>
      <c r="U75" s="77">
        <f>IF(T!$A$4&gt;=MONTH(S75),VLOOKUP(S75,'[8]Podklady MZ'!$R$2:$S$367,2,FALSE),NA())</f>
        <v>28.31739726729889</v>
      </c>
      <c r="V75" s="176">
        <f>INDEX([5]PT!$AF$16:$AF$381,DATE(2016,MONTH(S75),DAY(S75))-DATE(2016,1,1)+1,1)</f>
        <v>4.4000000000000004</v>
      </c>
      <c r="W75" s="176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6">
        <f t="shared" si="1"/>
        <v>42079</v>
      </c>
      <c r="T76" s="77">
        <f>INDEX([12]ČR!$D$18:$D$383,DATE(2016,MONTH(S76),DAY(S76))-DATE(2016,1,1)+1,1)/1000000</f>
        <v>23.956114755002901</v>
      </c>
      <c r="U76" s="77">
        <f>IF(T!$A$4&gt;=MONTH(S76),VLOOKUP(S76,'[8]Podklady MZ'!$R$2:$S$367,2,FALSE),NA())</f>
        <v>28.14865477769661</v>
      </c>
      <c r="V76" s="176">
        <f>INDEX([5]PT!$AF$16:$AF$381,DATE(2016,MONTH(S76),DAY(S76))-DATE(2016,1,1)+1,1)</f>
        <v>7.1</v>
      </c>
      <c r="W76" s="176" t="e">
        <f>IF(T!$A$4&lt;MONTH(S76),VLOOKUP(S76,'[8]Podklady MZ'!$R$2:$S$367,2,FALSE),NA())</f>
        <v>#N/A</v>
      </c>
    </row>
    <row r="77" spans="1:23" x14ac:dyDescent="0.2">
      <c r="D77" s="13"/>
      <c r="E77" s="70"/>
      <c r="F77" s="70"/>
      <c r="G77" s="70"/>
      <c r="S77" s="76">
        <f t="shared" si="1"/>
        <v>42080</v>
      </c>
      <c r="T77" s="77">
        <f>INDEX([12]ČR!$D$18:$D$383,DATE(2016,MONTH(S77),DAY(S77))-DATE(2016,1,1)+1,1)/1000000</f>
        <v>25.065700199484379</v>
      </c>
      <c r="U77" s="77">
        <f>IF(T!$A$4&gt;=MONTH(S77),VLOOKUP(S77,'[8]Podklady MZ'!$R$2:$S$367,2,FALSE),NA())</f>
        <v>26.093459538175829</v>
      </c>
      <c r="V77" s="176">
        <f>INDEX([5]PT!$AF$16:$AF$381,DATE(2016,MONTH(S77),DAY(S77))-DATE(2016,1,1)+1,1)</f>
        <v>6.7</v>
      </c>
      <c r="W77" s="176" t="e">
        <f>IF(T!$A$4&lt;MONTH(S77),VLOOKUP(S77,'[8]Podklady MZ'!$R$2:$S$367,2,FALSE),NA())</f>
        <v>#N/A</v>
      </c>
    </row>
    <row r="78" spans="1:23" x14ac:dyDescent="0.2">
      <c r="S78" s="76">
        <f t="shared" si="1"/>
        <v>42081</v>
      </c>
      <c r="T78" s="77">
        <f>INDEX([12]ČR!$D$18:$D$383,DATE(2016,MONTH(S78),DAY(S78))-DATE(2016,1,1)+1,1)/1000000</f>
        <v>22.511141909055233</v>
      </c>
      <c r="U78" s="77">
        <f>IF(T!$A$4&gt;=MONTH(S78),VLOOKUP(S78,'[8]Podklady MZ'!$R$2:$S$367,2,FALSE),NA())</f>
        <v>26.280282803073259</v>
      </c>
      <c r="V78" s="176">
        <f>INDEX([5]PT!$AF$16:$AF$381,DATE(2016,MONTH(S78),DAY(S78))-DATE(2016,1,1)+1,1)</f>
        <v>4.5999999999999996</v>
      </c>
      <c r="W78" s="176" t="e">
        <f>IF(T!$A$4&lt;MONTH(S78),VLOOKUP(S78,'[8]Podklady MZ'!$R$2:$S$367,2,FALSE),NA())</f>
        <v>#N/A</v>
      </c>
    </row>
    <row r="79" spans="1:23" x14ac:dyDescent="0.2">
      <c r="S79" s="76">
        <f t="shared" si="1"/>
        <v>42082</v>
      </c>
      <c r="T79" s="77">
        <f>INDEX([12]ČR!$D$18:$D$383,DATE(2016,MONTH(S79),DAY(S79))-DATE(2016,1,1)+1,1)/1000000</f>
        <v>24.370961695726791</v>
      </c>
      <c r="U79" s="77">
        <f>IF(T!$A$4&gt;=MONTH(S79),VLOOKUP(S79,'[8]Podklady MZ'!$R$2:$S$367,2,FALSE),NA())</f>
        <v>27.010399859523108</v>
      </c>
      <c r="V79" s="176">
        <f>INDEX([5]PT!$AF$16:$AF$381,DATE(2016,MONTH(S79),DAY(S79))-DATE(2016,1,1)+1,1)</f>
        <v>3.6</v>
      </c>
      <c r="W79" s="176" t="e">
        <f>IF(T!$A$4&lt;MONTH(S79),VLOOKUP(S79,'[8]Podklady MZ'!$R$2:$S$367,2,FALSE),NA())</f>
        <v>#N/A</v>
      </c>
    </row>
    <row r="80" spans="1:23" x14ac:dyDescent="0.2">
      <c r="S80" s="76">
        <f t="shared" si="1"/>
        <v>42083</v>
      </c>
      <c r="T80" s="77">
        <f>INDEX([12]ČR!$D$18:$D$383,DATE(2016,MONTH(S80),DAY(S80))-DATE(2016,1,1)+1,1)/1000000</f>
        <v>20.078517049785525</v>
      </c>
      <c r="U80" s="77">
        <f>IF(T!$A$4&gt;=MONTH(S80),VLOOKUP(S80,'[8]Podklady MZ'!$R$2:$S$367,2,FALSE),NA())</f>
        <v>26.666290526830888</v>
      </c>
      <c r="V80" s="176">
        <f>INDEX([5]PT!$AF$16:$AF$381,DATE(2016,MONTH(S80),DAY(S80))-DATE(2016,1,1)+1,1)</f>
        <v>3.3</v>
      </c>
      <c r="W80" s="176" t="e">
        <f>IF(T!$A$4&lt;MONTH(S80),VLOOKUP(S80,'[8]Podklady MZ'!$R$2:$S$367,2,FALSE),NA())</f>
        <v>#N/A</v>
      </c>
    </row>
    <row r="81" spans="19:23" x14ac:dyDescent="0.2">
      <c r="S81" s="76">
        <f t="shared" si="1"/>
        <v>42084</v>
      </c>
      <c r="T81" s="77">
        <f>INDEX([12]ČR!$D$18:$D$383,DATE(2016,MONTH(S81),DAY(S81))-DATE(2016,1,1)+1,1)/1000000</f>
        <v>17.453166014873293</v>
      </c>
      <c r="U81" s="77">
        <f>IF(T!$A$4&gt;=MONTH(S81),VLOOKUP(S81,'[8]Podklady MZ'!$R$2:$S$367,2,FALSE),NA())</f>
        <v>22.949801596471193</v>
      </c>
      <c r="V81" s="176">
        <f>INDEX([5]PT!$AF$16:$AF$381,DATE(2016,MONTH(S81),DAY(S81))-DATE(2016,1,1)+1,1)</f>
        <v>6.1</v>
      </c>
      <c r="W81" s="176" t="e">
        <f>IF(T!$A$4&lt;MONTH(S81),VLOOKUP(S81,'[8]Podklady MZ'!$R$2:$S$367,2,FALSE),NA())</f>
        <v>#N/A</v>
      </c>
    </row>
    <row r="82" spans="19:23" x14ac:dyDescent="0.2">
      <c r="S82" s="76">
        <f t="shared" si="1"/>
        <v>42085</v>
      </c>
      <c r="T82" s="77">
        <f>INDEX([12]ČR!$D$18:$D$383,DATE(2016,MONTH(S82),DAY(S82))-DATE(2016,1,1)+1,1)/1000000</f>
        <v>15.233368138291082</v>
      </c>
      <c r="U82" s="77">
        <f>IF(T!$A$4&gt;=MONTH(S82),VLOOKUP(S82,'[8]Podklady MZ'!$R$2:$S$367,2,FALSE),NA())</f>
        <v>27.487312139148294</v>
      </c>
      <c r="V82" s="176">
        <f>INDEX([5]PT!$AF$16:$AF$381,DATE(2016,MONTH(S82),DAY(S82))-DATE(2016,1,1)+1,1)</f>
        <v>2.4</v>
      </c>
      <c r="W82" s="176" t="e">
        <f>IF(T!$A$4&lt;MONTH(S82),VLOOKUP(S82,'[8]Podklady MZ'!$R$2:$S$367,2,FALSE),NA())</f>
        <v>#N/A</v>
      </c>
    </row>
    <row r="83" spans="19:23" x14ac:dyDescent="0.2">
      <c r="S83" s="76">
        <f t="shared" si="1"/>
        <v>42086</v>
      </c>
      <c r="T83" s="77">
        <f>INDEX([12]ČR!$D$18:$D$383,DATE(2016,MONTH(S83),DAY(S83))-DATE(2016,1,1)+1,1)/1000000</f>
        <v>20.936694638516901</v>
      </c>
      <c r="U83" s="77">
        <f>IF(T!$A$4&gt;=MONTH(S83),VLOOKUP(S83,'[8]Podklady MZ'!$R$2:$S$367,2,FALSE),NA())</f>
        <v>28.462368120622408</v>
      </c>
      <c r="V83" s="176">
        <f>INDEX([5]PT!$AF$16:$AF$381,DATE(2016,MONTH(S83),DAY(S83))-DATE(2016,1,1)+1,1)</f>
        <v>3.1</v>
      </c>
      <c r="W83" s="176" t="e">
        <f>IF(T!$A$4&lt;MONTH(S83),VLOOKUP(S83,'[8]Podklady MZ'!$R$2:$S$367,2,FALSE),NA())</f>
        <v>#N/A</v>
      </c>
    </row>
    <row r="84" spans="19:23" x14ac:dyDescent="0.2">
      <c r="S84" s="76">
        <f t="shared" si="1"/>
        <v>42087</v>
      </c>
      <c r="T84" s="77">
        <f>INDEX([12]ČR!$D$18:$D$383,DATE(2016,MONTH(S84),DAY(S84))-DATE(2016,1,1)+1,1)/1000000</f>
        <v>26.456047238237613</v>
      </c>
      <c r="U84" s="77">
        <f>IF(T!$A$4&gt;=MONTH(S84),VLOOKUP(S84,'[8]Podklady MZ'!$R$2:$S$367,2,FALSE),NA())</f>
        <v>25.948151206212366</v>
      </c>
      <c r="V84" s="176">
        <f>INDEX([5]PT!$AF$16:$AF$381,DATE(2016,MONTH(S84),DAY(S84))-DATE(2016,1,1)+1,1)</f>
        <v>6.7</v>
      </c>
      <c r="W84" s="176" t="e">
        <f>IF(T!$A$4&lt;MONTH(S84),VLOOKUP(S84,'[8]Podklady MZ'!$R$2:$S$367,2,FALSE),NA())</f>
        <v>#N/A</v>
      </c>
    </row>
    <row r="85" spans="19:23" x14ac:dyDescent="0.2">
      <c r="S85" s="76">
        <f t="shared" si="1"/>
        <v>42088</v>
      </c>
      <c r="T85" s="77">
        <f>INDEX([12]ČR!$D$18:$D$383,DATE(2016,MONTH(S85),DAY(S85))-DATE(2016,1,1)+1,1)/1000000</f>
        <v>26.817220206434342</v>
      </c>
      <c r="U85" s="77">
        <f>IF(T!$A$4&gt;=MONTH(S85),VLOOKUP(S85,'[8]Podklady MZ'!$R$2:$S$367,2,FALSE),NA())</f>
        <v>22.929421912694004</v>
      </c>
      <c r="V85" s="176">
        <f>INDEX([5]PT!$AF$16:$AF$381,DATE(2016,MONTH(S85),DAY(S85))-DATE(2016,1,1)+1,1)</f>
        <v>10.1</v>
      </c>
      <c r="W85" s="176" t="e">
        <f>IF(T!$A$4&lt;MONTH(S85),VLOOKUP(S85,'[8]Podklady MZ'!$R$2:$S$367,2,FALSE),NA())</f>
        <v>#N/A</v>
      </c>
    </row>
    <row r="86" spans="19:23" x14ac:dyDescent="0.2">
      <c r="S86" s="76">
        <f t="shared" si="1"/>
        <v>42089</v>
      </c>
      <c r="T86" s="77">
        <f>INDEX([12]ČR!$D$18:$D$383,DATE(2016,MONTH(S86),DAY(S86))-DATE(2016,1,1)+1,1)/1000000</f>
        <v>25.921574714853516</v>
      </c>
      <c r="U86" s="77">
        <f>IF(T!$A$4&gt;=MONTH(S86),VLOOKUP(S86,'[8]Podklady MZ'!$R$2:$S$367,2,FALSE),NA())</f>
        <v>22.748236472923228</v>
      </c>
      <c r="V86" s="176">
        <f>INDEX([5]PT!$AF$16:$AF$381,DATE(2016,MONTH(S86),DAY(S86))-DATE(2016,1,1)+1,1)</f>
        <v>9.5</v>
      </c>
      <c r="W86" s="176" t="e">
        <f>IF(T!$A$4&lt;MONTH(S86),VLOOKUP(S86,'[8]Podklady MZ'!$R$2:$S$367,2,FALSE),NA())</f>
        <v>#N/A</v>
      </c>
    </row>
    <row r="87" spans="19:23" x14ac:dyDescent="0.2">
      <c r="S87" s="76">
        <f t="shared" si="1"/>
        <v>42090</v>
      </c>
      <c r="T87" s="77">
        <f>INDEX([12]ČR!$D$18:$D$383,DATE(2016,MONTH(S87),DAY(S87))-DATE(2016,1,1)+1,1)/1000000</f>
        <v>23.174491647715868</v>
      </c>
      <c r="U87" s="77">
        <f>IF(T!$A$4&gt;=MONTH(S87),VLOOKUP(S87,'[8]Podklady MZ'!$R$2:$S$367,2,FALSE),NA())</f>
        <v>24.769419577712856</v>
      </c>
      <c r="V87" s="176">
        <f>INDEX([5]PT!$AF$16:$AF$381,DATE(2016,MONTH(S87),DAY(S87))-DATE(2016,1,1)+1,1)</f>
        <v>5.8</v>
      </c>
      <c r="W87" s="176" t="e">
        <f>IF(T!$A$4&lt;MONTH(S87),VLOOKUP(S87,'[8]Podklady MZ'!$R$2:$S$367,2,FALSE),NA())</f>
        <v>#N/A</v>
      </c>
    </row>
    <row r="88" spans="19:23" x14ac:dyDescent="0.2">
      <c r="S88" s="76">
        <f t="shared" si="1"/>
        <v>42091</v>
      </c>
      <c r="T88" s="77">
        <f>INDEX([12]ČR!$D$18:$D$383,DATE(2016,MONTH(S88),DAY(S88))-DATE(2016,1,1)+1,1)/1000000</f>
        <v>21.959607500542024</v>
      </c>
      <c r="U88" s="77">
        <f>IF(T!$A$4&gt;=MONTH(S88),VLOOKUP(S88,'[8]Podklady MZ'!$R$2:$S$367,2,FALSE),NA())</f>
        <v>22.43004746355092</v>
      </c>
      <c r="V88" s="176">
        <f>INDEX([5]PT!$AF$16:$AF$381,DATE(2016,MONTH(S88),DAY(S88))-DATE(2016,1,1)+1,1)</f>
        <v>4.2</v>
      </c>
      <c r="W88" s="176" t="e">
        <f>IF(T!$A$4&lt;MONTH(S88),VLOOKUP(S88,'[8]Podklady MZ'!$R$2:$S$367,2,FALSE),NA())</f>
        <v>#N/A</v>
      </c>
    </row>
    <row r="89" spans="19:23" x14ac:dyDescent="0.2">
      <c r="S89" s="76">
        <f t="shared" si="1"/>
        <v>42092</v>
      </c>
      <c r="T89" s="77">
        <f>INDEX([12]ČR!$D$18:$D$383,DATE(2016,MONTH(S89),DAY(S89))-DATE(2016,1,1)+1,1)/1000000</f>
        <v>17.409087975599434</v>
      </c>
      <c r="U89" s="77">
        <f>IF(T!$A$4&gt;=MONTH(S89),VLOOKUP(S89,'[8]Podklady MZ'!$R$2:$S$367,2,FALSE),NA())</f>
        <v>23.594608677240302</v>
      </c>
      <c r="V89" s="176">
        <f>INDEX([5]PT!$AF$16:$AF$381,DATE(2016,MONTH(S89),DAY(S89))-DATE(2016,1,1)+1,1)</f>
        <v>7.4</v>
      </c>
      <c r="W89" s="176" t="e">
        <f>IF(T!$A$4&lt;MONTH(S89),VLOOKUP(S89,'[8]Podklady MZ'!$R$2:$S$367,2,FALSE),NA())</f>
        <v>#N/A</v>
      </c>
    </row>
    <row r="90" spans="19:23" x14ac:dyDescent="0.2">
      <c r="S90" s="76">
        <f t="shared" si="1"/>
        <v>42093</v>
      </c>
      <c r="T90" s="77">
        <f>INDEX([12]ČR!$D$18:$D$383,DATE(2016,MONTH(S90),DAY(S90))-DATE(2016,1,1)+1,1)/1000000</f>
        <v>17.2534749707158</v>
      </c>
      <c r="U90" s="77">
        <f>IF(T!$A$4&gt;=MONTH(S90),VLOOKUP(S90,'[8]Podklady MZ'!$R$2:$S$367,2,FALSE),NA())</f>
        <v>27.27579699878557</v>
      </c>
      <c r="V90" s="176">
        <f>INDEX([5]PT!$AF$16:$AF$381,DATE(2016,MONTH(S90),DAY(S90))-DATE(2016,1,1)+1,1)</f>
        <v>4.5</v>
      </c>
      <c r="W90" s="176" t="e">
        <f>IF(T!$A$4&lt;MONTH(S90),VLOOKUP(S90,'[8]Podklady MZ'!$R$2:$S$367,2,FALSE),NA())</f>
        <v>#N/A</v>
      </c>
    </row>
    <row r="91" spans="19:23" x14ac:dyDescent="0.2">
      <c r="S91" s="76">
        <f t="shared" si="1"/>
        <v>42094</v>
      </c>
      <c r="T91" s="77">
        <f>INDEX([12]ČR!$D$18:$D$383,DATE(2016,MONTH(S91),DAY(S91))-DATE(2016,1,1)+1,1)/1000000</f>
        <v>22.417243839928457</v>
      </c>
      <c r="U91" s="77">
        <f>IF(T!$A$4&gt;=MONTH(S91),VLOOKUP(S91,'[8]Podklady MZ'!$R$2:$S$367,2,FALSE),NA())</f>
        <v>29.153082809129909</v>
      </c>
      <c r="V91" s="176">
        <f>INDEX([5]PT!$AF$16:$AF$381,DATE(2016,MONTH(S91),DAY(S91))-DATE(2016,1,1)+1,1)</f>
        <v>5.3</v>
      </c>
      <c r="W91" s="176" t="e">
        <f>IF(T!$A$4&lt;MONTH(S91),VLOOKUP(S91,'[8]Podklady MZ'!$R$2:$S$367,2,FALSE),NA())</f>
        <v>#N/A</v>
      </c>
    </row>
    <row r="92" spans="19:23" x14ac:dyDescent="0.2">
      <c r="S92" s="76">
        <f t="shared" si="1"/>
        <v>42095</v>
      </c>
      <c r="T92" s="77">
        <f>INDEX([12]ČR!$D$18:$D$383,DATE(2016,MONTH(S92),DAY(S92))-DATE(2016,1,1)+1,1)/1000000</f>
        <v>19.912844636720571</v>
      </c>
      <c r="U92" s="77">
        <f>IF(T!$A$4&gt;=MONTH(S92),VLOOKUP(S92,'[8]Podklady MZ'!$R$2:$S$367,2,FALSE),NA())</f>
        <v>30.677245431457621</v>
      </c>
      <c r="V92" s="176">
        <f>INDEX([5]PT!$AF$16:$AF$381,DATE(2016,MONTH(S92),DAY(S92))-DATE(2016,1,1)+1,1)</f>
        <v>2.2000000000000002</v>
      </c>
      <c r="W92" s="176" t="e">
        <f>IF(T!$A$4&lt;MONTH(S92),VLOOKUP(S92,'[8]Podklady MZ'!$R$2:$S$367,2,FALSE),NA())</f>
        <v>#N/A</v>
      </c>
    </row>
    <row r="93" spans="19:23" x14ac:dyDescent="0.2">
      <c r="S93" s="76">
        <f t="shared" si="1"/>
        <v>42096</v>
      </c>
      <c r="T93" s="77">
        <f>INDEX([12]ČR!$D$18:$D$383,DATE(2016,MONTH(S93),DAY(S93))-DATE(2016,1,1)+1,1)/1000000</f>
        <v>18.678675095415521</v>
      </c>
      <c r="U93" s="77">
        <f>IF(T!$A$4&gt;=MONTH(S93),VLOOKUP(S93,'[8]Podklady MZ'!$R$2:$S$367,2,FALSE),NA())</f>
        <v>32.46272056517094</v>
      </c>
      <c r="V93" s="176">
        <f>INDEX([5]PT!$AF$16:$AF$381,DATE(2016,MONTH(S93),DAY(S93))-DATE(2016,1,1)+1,1)</f>
        <v>1.3</v>
      </c>
      <c r="W93" s="176" t="e">
        <f>IF(T!$A$4&lt;MONTH(S93),VLOOKUP(S93,'[8]Podklady MZ'!$R$2:$S$367,2,FALSE),NA())</f>
        <v>#N/A</v>
      </c>
    </row>
    <row r="94" spans="19:23" x14ac:dyDescent="0.2">
      <c r="S94" s="76">
        <f t="shared" si="1"/>
        <v>42097</v>
      </c>
      <c r="T94" s="77">
        <f>INDEX([12]ČR!$D$18:$D$383,DATE(2016,MONTH(S94),DAY(S94))-DATE(2016,1,1)+1,1)/1000000</f>
        <v>18.85328570666216</v>
      </c>
      <c r="U94" s="77">
        <f>IF(T!$A$4&gt;=MONTH(S94),VLOOKUP(S94,'[8]Podklady MZ'!$R$2:$S$367,2,FALSE),NA())</f>
        <v>30.588397627558081</v>
      </c>
      <c r="V94" s="176">
        <f>INDEX([5]PT!$AF$16:$AF$381,DATE(2016,MONTH(S94),DAY(S94))-DATE(2016,1,1)+1,1)</f>
        <v>1.8</v>
      </c>
      <c r="W94" s="176" t="e">
        <f>IF(T!$A$4&lt;MONTH(S94),VLOOKUP(S94,'[8]Podklady MZ'!$R$2:$S$367,2,FALSE),NA())</f>
        <v>#N/A</v>
      </c>
    </row>
    <row r="95" spans="19:23" x14ac:dyDescent="0.2">
      <c r="S95" s="76">
        <f t="shared" si="1"/>
        <v>42098</v>
      </c>
      <c r="T95" s="77">
        <f>INDEX([12]ČR!$D$18:$D$383,DATE(2016,MONTH(S95),DAY(S95))-DATE(2016,1,1)+1,1)/1000000</f>
        <v>16.457363285482895</v>
      </c>
      <c r="U95" s="77">
        <f>IF(T!$A$4&gt;=MONTH(S95),VLOOKUP(S95,'[8]Podklady MZ'!$R$2:$S$367,2,FALSE),NA())</f>
        <v>26.488452883092407</v>
      </c>
      <c r="V95" s="176">
        <f>INDEX([5]PT!$AF$16:$AF$381,DATE(2016,MONTH(S95),DAY(S95))-DATE(2016,1,1)+1,1)</f>
        <v>1.6</v>
      </c>
      <c r="W95" s="176" t="e">
        <f>IF(T!$A$4&lt;MONTH(S95),VLOOKUP(S95,'[8]Podklady MZ'!$R$2:$S$367,2,FALSE),NA())</f>
        <v>#N/A</v>
      </c>
    </row>
    <row r="96" spans="19:23" x14ac:dyDescent="0.2">
      <c r="S96" s="76">
        <f t="shared" si="1"/>
        <v>42099</v>
      </c>
      <c r="T96" s="77">
        <f>INDEX([12]ČR!$D$18:$D$383,DATE(2016,MONTH(S96),DAY(S96))-DATE(2016,1,1)+1,1)/1000000</f>
        <v>15.742495912198221</v>
      </c>
      <c r="U96" s="77">
        <f>IF(T!$A$4&gt;=MONTH(S96),VLOOKUP(S96,'[8]Podklady MZ'!$R$2:$S$367,2,FALSE),NA())</f>
        <v>26.800253939111631</v>
      </c>
      <c r="V96" s="176">
        <f>INDEX([5]PT!$AF$16:$AF$381,DATE(2016,MONTH(S96),DAY(S96))-DATE(2016,1,1)+1,1)</f>
        <v>1.7</v>
      </c>
      <c r="W96" s="176" t="e">
        <f>IF(T!$A$4&lt;MONTH(S96),VLOOKUP(S96,'[8]Podklady MZ'!$R$2:$S$367,2,FALSE),NA())</f>
        <v>#N/A</v>
      </c>
    </row>
    <row r="97" spans="19:23" x14ac:dyDescent="0.2">
      <c r="S97" s="76">
        <f t="shared" si="1"/>
        <v>42100</v>
      </c>
      <c r="T97" s="77">
        <f>INDEX([12]ČR!$D$18:$D$383,DATE(2016,MONTH(S97),DAY(S97))-DATE(2016,1,1)+1,1)/1000000</f>
        <v>16.45697769577739</v>
      </c>
      <c r="U97" s="77">
        <f>IF(T!$A$4&gt;=MONTH(S97),VLOOKUP(S97,'[8]Podklady MZ'!$R$2:$S$367,2,FALSE),NA())</f>
        <v>28.979467533714494</v>
      </c>
      <c r="V97" s="176">
        <f>INDEX([5]PT!$AF$16:$AF$381,DATE(2016,MONTH(S97),DAY(S97))-DATE(2016,1,1)+1,1)</f>
        <v>1</v>
      </c>
      <c r="W97" s="176" t="e">
        <f>IF(T!$A$4&lt;MONTH(S97),VLOOKUP(S97,'[8]Podklady MZ'!$R$2:$S$367,2,FALSE),NA())</f>
        <v>#N/A</v>
      </c>
    </row>
    <row r="98" spans="19:23" x14ac:dyDescent="0.2">
      <c r="S98" s="76">
        <f t="shared" si="1"/>
        <v>42101</v>
      </c>
      <c r="T98" s="77">
        <f>INDEX([12]ČR!$D$18:$D$383,DATE(2016,MONTH(S98),DAY(S98))-DATE(2016,1,1)+1,1)/1000000</f>
        <v>17.069519037856956</v>
      </c>
      <c r="U98" s="77">
        <f>IF(T!$A$4&gt;=MONTH(S98),VLOOKUP(S98,'[8]Podklady MZ'!$R$2:$S$367,2,FALSE),NA())</f>
        <v>29.118400870849975</v>
      </c>
      <c r="V98" s="176">
        <f>INDEX([5]PT!$AF$16:$AF$381,DATE(2016,MONTH(S98),DAY(S98))-DATE(2016,1,1)+1,1)</f>
        <v>4.3</v>
      </c>
      <c r="W98" s="176" t="e">
        <f>IF(T!$A$4&lt;MONTH(S98),VLOOKUP(S98,'[8]Podklady MZ'!$R$2:$S$367,2,FALSE),NA())</f>
        <v>#N/A</v>
      </c>
    </row>
    <row r="99" spans="19:23" x14ac:dyDescent="0.2">
      <c r="S99" s="76">
        <f t="shared" si="1"/>
        <v>42102</v>
      </c>
      <c r="T99" s="77">
        <f>INDEX([12]ČR!$D$18:$D$383,DATE(2016,MONTH(S99),DAY(S99))-DATE(2016,1,1)+1,1)/1000000</f>
        <v>17.278928058494266</v>
      </c>
      <c r="U99" s="77">
        <f>IF(T!$A$4&gt;=MONTH(S99),VLOOKUP(S99,'[8]Podklady MZ'!$R$2:$S$367,2,FALSE),NA())</f>
        <v>29.123342332419892</v>
      </c>
      <c r="V99" s="176">
        <f>INDEX([5]PT!$AF$16:$AF$381,DATE(2016,MONTH(S99),DAY(S99))-DATE(2016,1,1)+1,1)</f>
        <v>6.2</v>
      </c>
      <c r="W99" s="176" t="e">
        <f>IF(T!$A$4&lt;MONTH(S99),VLOOKUP(S99,'[8]Podklady MZ'!$R$2:$S$367,2,FALSE),NA())</f>
        <v>#N/A</v>
      </c>
    </row>
    <row r="100" spans="19:23" x14ac:dyDescent="0.2">
      <c r="S100" s="76">
        <f t="shared" si="1"/>
        <v>42103</v>
      </c>
      <c r="T100" s="77">
        <f>INDEX([12]ČR!$D$18:$D$383,DATE(2016,MONTH(S100),DAY(S100))-DATE(2016,1,1)+1,1)/1000000</f>
        <v>20.990001838682609</v>
      </c>
      <c r="U100" s="77">
        <f>IF(T!$A$4&gt;=MONTH(S100),VLOOKUP(S100,'[8]Podklady MZ'!$R$2:$S$367,2,FALSE),NA())</f>
        <v>24.524154010039346</v>
      </c>
      <c r="V100" s="176">
        <f>INDEX([5]PT!$AF$16:$AF$381,DATE(2016,MONTH(S100),DAY(S100))-DATE(2016,1,1)+1,1)</f>
        <v>8.1</v>
      </c>
      <c r="W100" s="176" t="e">
        <f>IF(T!$A$4&lt;MONTH(S100),VLOOKUP(S100,'[8]Podklady MZ'!$R$2:$S$367,2,FALSE),NA())</f>
        <v>#N/A</v>
      </c>
    </row>
    <row r="101" spans="19:23" x14ac:dyDescent="0.2">
      <c r="S101" s="76">
        <f t="shared" si="1"/>
        <v>42104</v>
      </c>
      <c r="T101" s="77">
        <f>INDEX([12]ČR!$D$18:$D$383,DATE(2016,MONTH(S101),DAY(S101))-DATE(2016,1,1)+1,1)/1000000</f>
        <v>22.603656190404163</v>
      </c>
      <c r="U101" s="77">
        <f>IF(T!$A$4&gt;=MONTH(S101),VLOOKUP(S101,'[8]Podklady MZ'!$R$2:$S$367,2,FALSE),NA())</f>
        <v>20.355808033921317</v>
      </c>
      <c r="V101" s="176">
        <f>INDEX([5]PT!$AF$16:$AF$381,DATE(2016,MONTH(S101),DAY(S101))-DATE(2016,1,1)+1,1)</f>
        <v>9.9</v>
      </c>
      <c r="W101" s="176" t="e">
        <f>IF(T!$A$4&lt;MONTH(S101),VLOOKUP(S101,'[8]Podklady MZ'!$R$2:$S$367,2,FALSE),NA())</f>
        <v>#N/A</v>
      </c>
    </row>
    <row r="102" spans="19:23" x14ac:dyDescent="0.2">
      <c r="S102" s="76">
        <f t="shared" si="1"/>
        <v>42105</v>
      </c>
      <c r="T102" s="77">
        <f>INDEX([12]ČR!$D$18:$D$383,DATE(2016,MONTH(S102),DAY(S102))-DATE(2016,1,1)+1,1)/1000000</f>
        <v>20.575423070008743</v>
      </c>
      <c r="U102" s="77">
        <f>IF(T!$A$4&gt;=MONTH(S102),VLOOKUP(S102,'[8]Podklady MZ'!$R$2:$S$367,2,FALSE),NA())</f>
        <v>15.817888690539146</v>
      </c>
      <c r="V102" s="176">
        <f>INDEX([5]PT!$AF$16:$AF$381,DATE(2016,MONTH(S102),DAY(S102))-DATE(2016,1,1)+1,1)</f>
        <v>12</v>
      </c>
      <c r="W102" s="176" t="e">
        <f>IF(T!$A$4&lt;MONTH(S102),VLOOKUP(S102,'[8]Podklady MZ'!$R$2:$S$367,2,FALSE),NA())</f>
        <v>#N/A</v>
      </c>
    </row>
    <row r="103" spans="19:23" x14ac:dyDescent="0.2">
      <c r="S103" s="76">
        <f t="shared" si="1"/>
        <v>42106</v>
      </c>
      <c r="T103" s="77">
        <f>INDEX([12]ČR!$D$18:$D$383,DATE(2016,MONTH(S103),DAY(S103))-DATE(2016,1,1)+1,1)/1000000</f>
        <v>16.912020513000446</v>
      </c>
      <c r="U103" s="77">
        <f>IF(T!$A$4&gt;=MONTH(S103),VLOOKUP(S103,'[8]Podklady MZ'!$R$2:$S$367,2,FALSE),NA())</f>
        <v>16.178831481831637</v>
      </c>
      <c r="V103" s="176">
        <f>INDEX([5]PT!$AF$16:$AF$381,DATE(2016,MONTH(S103),DAY(S103))-DATE(2016,1,1)+1,1)</f>
        <v>10.8</v>
      </c>
      <c r="W103" s="176" t="e">
        <f>IF(T!$A$4&lt;MONTH(S103),VLOOKUP(S103,'[8]Podklady MZ'!$R$2:$S$367,2,FALSE),NA())</f>
        <v>#N/A</v>
      </c>
    </row>
    <row r="104" spans="19:23" x14ac:dyDescent="0.2">
      <c r="S104" s="76">
        <f t="shared" si="1"/>
        <v>42107</v>
      </c>
      <c r="T104" s="77">
        <f>INDEX([12]ČR!$D$18:$D$383,DATE(2016,MONTH(S104),DAY(S104))-DATE(2016,1,1)+1,1)/1000000</f>
        <v>18.28948705386</v>
      </c>
      <c r="U104" s="77">
        <f>IF(T!$A$4&gt;=MONTH(S104),VLOOKUP(S104,'[8]Podklady MZ'!$R$2:$S$367,2,FALSE),NA())</f>
        <v>21.02890773784463</v>
      </c>
      <c r="V104" s="176">
        <f>INDEX([5]PT!$AF$16:$AF$381,DATE(2016,MONTH(S104),DAY(S104))-DATE(2016,1,1)+1,1)</f>
        <v>8.5</v>
      </c>
      <c r="W104" s="176" t="e">
        <f>IF(T!$A$4&lt;MONTH(S104),VLOOKUP(S104,'[8]Podklady MZ'!$R$2:$S$367,2,FALSE),NA())</f>
        <v>#N/A</v>
      </c>
    </row>
    <row r="105" spans="19:23" x14ac:dyDescent="0.2">
      <c r="S105" s="76">
        <f t="shared" si="1"/>
        <v>42108</v>
      </c>
      <c r="T105" s="77">
        <f>INDEX([12]ČR!$D$18:$D$383,DATE(2016,MONTH(S105),DAY(S105))-DATE(2016,1,1)+1,1)/1000000</f>
        <v>23.767277346728736</v>
      </c>
      <c r="U105" s="77">
        <f>IF(T!$A$4&gt;=MONTH(S105),VLOOKUP(S105,'[8]Podklady MZ'!$R$2:$S$367,2,FALSE),NA())</f>
        <v>20.307713809890178</v>
      </c>
      <c r="V105" s="176">
        <f>INDEX([5]PT!$AF$16:$AF$381,DATE(2016,MONTH(S105),DAY(S105))-DATE(2016,1,1)+1,1)</f>
        <v>8.9</v>
      </c>
      <c r="W105" s="176" t="e">
        <f>IF(T!$A$4&lt;MONTH(S105),VLOOKUP(S105,'[8]Podklady MZ'!$R$2:$S$367,2,FALSE),NA())</f>
        <v>#N/A</v>
      </c>
    </row>
    <row r="106" spans="19:23" x14ac:dyDescent="0.2">
      <c r="S106" s="76">
        <f t="shared" si="1"/>
        <v>42109</v>
      </c>
      <c r="T106" s="77">
        <f>INDEX([12]ČR!$D$18:$D$383,DATE(2016,MONTH(S106),DAY(S106))-DATE(2016,1,1)+1,1)/1000000</f>
        <v>26.463980480444253</v>
      </c>
      <c r="U106" s="77">
        <f>IF(T!$A$4&gt;=MONTH(S106),VLOOKUP(S106,'[8]Podklady MZ'!$R$2:$S$367,2,FALSE),NA())</f>
        <v>16.590878846654931</v>
      </c>
      <c r="V106" s="176">
        <f>INDEX([5]PT!$AF$16:$AF$381,DATE(2016,MONTH(S106),DAY(S106))-DATE(2016,1,1)+1,1)</f>
        <v>14.2</v>
      </c>
      <c r="W106" s="176" t="e">
        <f>IF(T!$A$4&lt;MONTH(S106),VLOOKUP(S106,'[8]Podklady MZ'!$R$2:$S$367,2,FALSE),NA())</f>
        <v>#N/A</v>
      </c>
    </row>
    <row r="107" spans="19:23" x14ac:dyDescent="0.2">
      <c r="S107" s="76">
        <f t="shared" si="1"/>
        <v>42110</v>
      </c>
      <c r="T107" s="77">
        <f>INDEX([12]ČR!$D$18:$D$383,DATE(2016,MONTH(S107),DAY(S107))-DATE(2016,1,1)+1,1)/1000000</f>
        <v>25.755912410571373</v>
      </c>
      <c r="U107" s="77">
        <f>IF(T!$A$4&gt;=MONTH(S107),VLOOKUP(S107,'[8]Podklady MZ'!$R$2:$S$367,2,FALSE),NA())</f>
        <v>15.76829477193891</v>
      </c>
      <c r="V107" s="176">
        <f>INDEX([5]PT!$AF$16:$AF$381,DATE(2016,MONTH(S107),DAY(S107))-DATE(2016,1,1)+1,1)</f>
        <v>14.8</v>
      </c>
      <c r="W107" s="176" t="e">
        <f>IF(T!$A$4&lt;MONTH(S107),VLOOKUP(S107,'[8]Podklady MZ'!$R$2:$S$367,2,FALSE),NA())</f>
        <v>#N/A</v>
      </c>
    </row>
    <row r="108" spans="19:23" x14ac:dyDescent="0.2">
      <c r="S108" s="76">
        <f t="shared" si="1"/>
        <v>42111</v>
      </c>
      <c r="T108" s="77">
        <f>INDEX([12]ČR!$D$18:$D$383,DATE(2016,MONTH(S108),DAY(S108))-DATE(2016,1,1)+1,1)/1000000</f>
        <v>22.988743556549213</v>
      </c>
      <c r="U108" s="77">
        <f>IF(T!$A$4&gt;=MONTH(S108),VLOOKUP(S108,'[8]Podklady MZ'!$R$2:$S$367,2,FALSE),NA())</f>
        <v>18.568833461656315</v>
      </c>
      <c r="V108" s="176">
        <f>INDEX([5]PT!$AF$16:$AF$381,DATE(2016,MONTH(S108),DAY(S108))-DATE(2016,1,1)+1,1)</f>
        <v>8.1</v>
      </c>
      <c r="W108" s="176" t="e">
        <f>IF(T!$A$4&lt;MONTH(S108),VLOOKUP(S108,'[8]Podklady MZ'!$R$2:$S$367,2,FALSE),NA())</f>
        <v>#N/A</v>
      </c>
    </row>
    <row r="109" spans="19:23" x14ac:dyDescent="0.2">
      <c r="S109" s="76">
        <f t="shared" si="1"/>
        <v>42112</v>
      </c>
      <c r="T109" s="77">
        <f>INDEX([12]ČR!$D$18:$D$383,DATE(2016,MONTH(S109),DAY(S109))-DATE(2016,1,1)+1,1)/1000000</f>
        <v>22.107371793833448</v>
      </c>
      <c r="U109" s="77">
        <f>IF(T!$A$4&gt;=MONTH(S109),VLOOKUP(S109,'[8]Podklady MZ'!$R$2:$S$367,2,FALSE),NA())</f>
        <v>19.614571040879646</v>
      </c>
      <c r="V109" s="176">
        <f>INDEX([5]PT!$AF$16:$AF$381,DATE(2016,MONTH(S109),DAY(S109))-DATE(2016,1,1)+1,1)</f>
        <v>3.9</v>
      </c>
      <c r="W109" s="176" t="e">
        <f>IF(T!$A$4&lt;MONTH(S109),VLOOKUP(S109,'[8]Podklady MZ'!$R$2:$S$367,2,FALSE),NA())</f>
        <v>#N/A</v>
      </c>
    </row>
    <row r="110" spans="19:23" x14ac:dyDescent="0.2">
      <c r="S110" s="76">
        <f t="shared" si="1"/>
        <v>42113</v>
      </c>
      <c r="T110" s="77">
        <f>INDEX([12]ČR!$D$18:$D$383,DATE(2016,MONTH(S110),DAY(S110))-DATE(2016,1,1)+1,1)/1000000</f>
        <v>16.760777760846324</v>
      </c>
      <c r="U110" s="77">
        <f>IF(T!$A$4&gt;=MONTH(S110),VLOOKUP(S110,'[8]Podklady MZ'!$R$2:$S$367,2,FALSE),NA())</f>
        <v>18.656931840735112</v>
      </c>
      <c r="V110" s="176">
        <f>INDEX([5]PT!$AF$16:$AF$381,DATE(2016,MONTH(S110),DAY(S110))-DATE(2016,1,1)+1,1)</f>
        <v>6.4</v>
      </c>
      <c r="W110" s="176" t="e">
        <f>IF(T!$A$4&lt;MONTH(S110),VLOOKUP(S110,'[8]Podklady MZ'!$R$2:$S$367,2,FALSE),NA())</f>
        <v>#N/A</v>
      </c>
    </row>
    <row r="111" spans="19:23" x14ac:dyDescent="0.2">
      <c r="S111" s="76">
        <f t="shared" si="1"/>
        <v>42114</v>
      </c>
      <c r="T111" s="77">
        <f>INDEX([12]ČR!$D$18:$D$383,DATE(2016,MONTH(S111),DAY(S111))-DATE(2016,1,1)+1,1)/1000000</f>
        <v>14.747151369772238</v>
      </c>
      <c r="U111" s="77">
        <f>IF(T!$A$4&gt;=MONTH(S111),VLOOKUP(S111,'[8]Podklady MZ'!$R$2:$S$367,2,FALSE),NA())</f>
        <v>19.563471390013991</v>
      </c>
      <c r="V111" s="176">
        <f>INDEX([5]PT!$AF$16:$AF$381,DATE(2016,MONTH(S111),DAY(S111))-DATE(2016,1,1)+1,1)</f>
        <v>10.4</v>
      </c>
      <c r="W111" s="176" t="e">
        <f>IF(T!$A$4&lt;MONTH(S111),VLOOKUP(S111,'[8]Podklady MZ'!$R$2:$S$367,2,FALSE),NA())</f>
        <v>#N/A</v>
      </c>
    </row>
    <row r="112" spans="19:23" x14ac:dyDescent="0.2">
      <c r="S112" s="76">
        <f t="shared" si="1"/>
        <v>42115</v>
      </c>
      <c r="T112" s="77">
        <f>INDEX([12]ČR!$D$18:$D$383,DATE(2016,MONTH(S112),DAY(S112))-DATE(2016,1,1)+1,1)/1000000</f>
        <v>15.99156011450736</v>
      </c>
      <c r="U112" s="77">
        <f>IF(T!$A$4&gt;=MONTH(S112),VLOOKUP(S112,'[8]Podklady MZ'!$R$2:$S$367,2,FALSE),NA())</f>
        <v>18.07923956225083</v>
      </c>
      <c r="V112" s="176">
        <f>INDEX([5]PT!$AF$16:$AF$381,DATE(2016,MONTH(S112),DAY(S112))-DATE(2016,1,1)+1,1)</f>
        <v>12</v>
      </c>
      <c r="W112" s="176" t="e">
        <f>IF(T!$A$4&lt;MONTH(S112),VLOOKUP(S112,'[8]Podklady MZ'!$R$2:$S$367,2,FALSE),NA())</f>
        <v>#N/A</v>
      </c>
    </row>
    <row r="113" spans="19:23" x14ac:dyDescent="0.2">
      <c r="S113" s="76">
        <f t="shared" si="1"/>
        <v>42116</v>
      </c>
      <c r="T113" s="77">
        <f>INDEX([12]ČR!$D$18:$D$383,DATE(2016,MONTH(S113),DAY(S113))-DATE(2016,1,1)+1,1)/1000000</f>
        <v>17.229384863671001</v>
      </c>
      <c r="U113" s="77">
        <f>IF(T!$A$4&gt;=MONTH(S113),VLOOKUP(S113,'[8]Podklady MZ'!$R$2:$S$367,2,FALSE),NA())</f>
        <v>18.07682042542401</v>
      </c>
      <c r="V113" s="176">
        <f>INDEX([5]PT!$AF$16:$AF$381,DATE(2016,MONTH(S113),DAY(S113))-DATE(2016,1,1)+1,1)</f>
        <v>10</v>
      </c>
      <c r="W113" s="176" t="e">
        <f>IF(T!$A$4&lt;MONTH(S113),VLOOKUP(S113,'[8]Podklady MZ'!$R$2:$S$367,2,FALSE),NA())</f>
        <v>#N/A</v>
      </c>
    </row>
    <row r="114" spans="19:23" x14ac:dyDescent="0.2">
      <c r="S114" s="76">
        <f t="shared" si="1"/>
        <v>42117</v>
      </c>
      <c r="T114" s="77">
        <f>INDEX([12]ČR!$D$18:$D$383,DATE(2016,MONTH(S114),DAY(S114))-DATE(2016,1,1)+1,1)/1000000</f>
        <v>15.47834789744913</v>
      </c>
      <c r="U114" s="77">
        <f>IF(T!$A$4&gt;=MONTH(S114),VLOOKUP(S114,'[8]Podklady MZ'!$R$2:$S$367,2,FALSE),NA())</f>
        <v>17.194628472384942</v>
      </c>
      <c r="V114" s="176">
        <f>INDEX([5]PT!$AF$16:$AF$381,DATE(2016,MONTH(S114),DAY(S114))-DATE(2016,1,1)+1,1)</f>
        <v>10.6</v>
      </c>
      <c r="W114" s="176" t="e">
        <f>IF(T!$A$4&lt;MONTH(S114),VLOOKUP(S114,'[8]Podklady MZ'!$R$2:$S$367,2,FALSE),NA())</f>
        <v>#N/A</v>
      </c>
    </row>
    <row r="115" spans="19:23" x14ac:dyDescent="0.2">
      <c r="S115" s="76">
        <f t="shared" si="1"/>
        <v>42118</v>
      </c>
      <c r="T115" s="77">
        <f>INDEX([12]ČR!$D$18:$D$383,DATE(2016,MONTH(S115),DAY(S115))-DATE(2016,1,1)+1,1)/1000000</f>
        <v>14.555017812200164</v>
      </c>
      <c r="U115" s="77">
        <f>IF(T!$A$4&gt;=MONTH(S115),VLOOKUP(S115,'[8]Podklady MZ'!$R$2:$S$367,2,FALSE),NA())</f>
        <v>15.382705185504731</v>
      </c>
      <c r="V115" s="176">
        <f>INDEX([5]PT!$AF$16:$AF$381,DATE(2016,MONTH(S115),DAY(S115))-DATE(2016,1,1)+1,1)</f>
        <v>11.1</v>
      </c>
      <c r="W115" s="176" t="e">
        <f>IF(T!$A$4&lt;MONTH(S115),VLOOKUP(S115,'[8]Podklady MZ'!$R$2:$S$367,2,FALSE),NA())</f>
        <v>#N/A</v>
      </c>
    </row>
    <row r="116" spans="19:23" x14ac:dyDescent="0.2">
      <c r="S116" s="76">
        <f t="shared" si="1"/>
        <v>42119</v>
      </c>
      <c r="T116" s="77">
        <f>INDEX([12]ČR!$D$18:$D$383,DATE(2016,MONTH(S116),DAY(S116))-DATE(2016,1,1)+1,1)/1000000</f>
        <v>13.827656517724851</v>
      </c>
      <c r="U116" s="77">
        <f>IF(T!$A$4&gt;=MONTH(S116),VLOOKUP(S116,'[8]Podklady MZ'!$R$2:$S$367,2,FALSE),NA())</f>
        <v>12.336617288364373</v>
      </c>
      <c r="V116" s="176">
        <f>INDEX([5]PT!$AF$16:$AF$381,DATE(2016,MONTH(S116),DAY(S116))-DATE(2016,1,1)+1,1)</f>
        <v>14.6</v>
      </c>
      <c r="W116" s="176" t="e">
        <f>IF(T!$A$4&lt;MONTH(S116),VLOOKUP(S116,'[8]Podklady MZ'!$R$2:$S$367,2,FALSE),NA())</f>
        <v>#N/A</v>
      </c>
    </row>
    <row r="117" spans="19:23" x14ac:dyDescent="0.2">
      <c r="S117" s="76">
        <f t="shared" si="1"/>
        <v>42120</v>
      </c>
      <c r="T117" s="77">
        <f>INDEX([12]ČR!$D$18:$D$383,DATE(2016,MONTH(S117),DAY(S117))-DATE(2016,1,1)+1,1)/1000000</f>
        <v>11.756652419321258</v>
      </c>
      <c r="U117" s="77">
        <f>IF(T!$A$4&gt;=MONTH(S117),VLOOKUP(S117,'[8]Podklady MZ'!$R$2:$S$367,2,FALSE),NA())</f>
        <v>12.659586495655699</v>
      </c>
      <c r="V117" s="176">
        <f>INDEX([5]PT!$AF$16:$AF$381,DATE(2016,MONTH(S117),DAY(S117))-DATE(2016,1,1)+1,1)</f>
        <v>13.5</v>
      </c>
      <c r="W117" s="176" t="e">
        <f>IF(T!$A$4&lt;MONTH(S117),VLOOKUP(S117,'[8]Podklady MZ'!$R$2:$S$367,2,FALSE),NA())</f>
        <v>#N/A</v>
      </c>
    </row>
    <row r="118" spans="19:23" x14ac:dyDescent="0.2">
      <c r="S118" s="76">
        <f t="shared" si="1"/>
        <v>42121</v>
      </c>
      <c r="T118" s="77">
        <f>INDEX([12]ČR!$D$18:$D$383,DATE(2016,MONTH(S118),DAY(S118))-DATE(2016,1,1)+1,1)/1000000</f>
        <v>11.545792216771328</v>
      </c>
      <c r="U118" s="77">
        <f>IF(T!$A$4&gt;=MONTH(S118),VLOOKUP(S118,'[8]Podklady MZ'!$R$2:$S$367,2,FALSE),NA())</f>
        <v>13.818581100658111</v>
      </c>
      <c r="V118" s="176">
        <f>INDEX([5]PT!$AF$16:$AF$381,DATE(2016,MONTH(S118),DAY(S118))-DATE(2016,1,1)+1,1)</f>
        <v>15.5</v>
      </c>
      <c r="W118" s="176" t="e">
        <f>IF(T!$A$4&lt;MONTH(S118),VLOOKUP(S118,'[8]Podklady MZ'!$R$2:$S$367,2,FALSE),NA())</f>
        <v>#N/A</v>
      </c>
    </row>
    <row r="119" spans="19:23" x14ac:dyDescent="0.2">
      <c r="S119" s="76">
        <f t="shared" si="1"/>
        <v>42122</v>
      </c>
      <c r="T119" s="77">
        <f>INDEX([12]ČR!$D$18:$D$383,DATE(2016,MONTH(S119),DAY(S119))-DATE(2016,1,1)+1,1)/1000000</f>
        <v>13.869957514600513</v>
      </c>
      <c r="U119" s="77">
        <f>IF(T!$A$4&gt;=MONTH(S119),VLOOKUP(S119,'[8]Podklady MZ'!$R$2:$S$367,2,FALSE),NA())</f>
        <v>18.711239256020551</v>
      </c>
      <c r="V119" s="176">
        <f>INDEX([5]PT!$AF$16:$AF$381,DATE(2016,MONTH(S119),DAY(S119))-DATE(2016,1,1)+1,1)</f>
        <v>7.3</v>
      </c>
      <c r="W119" s="176" t="e">
        <f>IF(T!$A$4&lt;MONTH(S119),VLOOKUP(S119,'[8]Podklady MZ'!$R$2:$S$367,2,FALSE),NA())</f>
        <v>#N/A</v>
      </c>
    </row>
    <row r="120" spans="19:23" x14ac:dyDescent="0.2">
      <c r="S120" s="76">
        <f t="shared" si="1"/>
        <v>42123</v>
      </c>
      <c r="T120" s="77">
        <f>INDEX([12]ČR!$D$18:$D$383,DATE(2016,MONTH(S120),DAY(S120))-DATE(2016,1,1)+1,1)/1000000</f>
        <v>14.202974548155238</v>
      </c>
      <c r="U120" s="77">
        <f>IF(T!$A$4&gt;=MONTH(S120),VLOOKUP(S120,'[8]Podklady MZ'!$R$2:$S$367,2,FALSE),NA())</f>
        <v>18.289834007546062</v>
      </c>
      <c r="V120" s="176">
        <f>INDEX([5]PT!$AF$16:$AF$381,DATE(2016,MONTH(S120),DAY(S120))-DATE(2016,1,1)+1,1)</f>
        <v>7.1</v>
      </c>
      <c r="W120" s="176" t="e">
        <f>IF(T!$A$4&lt;MONTH(S120),VLOOKUP(S120,'[8]Podklady MZ'!$R$2:$S$367,2,FALSE),NA())</f>
        <v>#N/A</v>
      </c>
    </row>
    <row r="121" spans="19:23" x14ac:dyDescent="0.2">
      <c r="S121" s="76">
        <f t="shared" si="1"/>
        <v>42124</v>
      </c>
      <c r="T121" s="77">
        <f>INDEX([12]ČR!$D$18:$D$383,DATE(2016,MONTH(S121),DAY(S121))-DATE(2016,1,1)+1,1)/1000000</f>
        <v>13.11850774419106</v>
      </c>
      <c r="U121" s="77">
        <f>IF(T!$A$4&gt;=MONTH(S121),VLOOKUP(S121,'[8]Podklady MZ'!$R$2:$S$367,2,FALSE),NA())</f>
        <v>17.044748050783795</v>
      </c>
      <c r="V121" s="176">
        <f>INDEX([5]PT!$AF$16:$AF$381,DATE(2016,MONTH(S121),DAY(S121))-DATE(2016,1,1)+1,1)</f>
        <v>8.8000000000000007</v>
      </c>
      <c r="W121" s="176" t="e">
        <f>IF(T!$A$4&lt;MONTH(S121),VLOOKUP(S121,'[8]Podklady MZ'!$R$2:$S$367,2,FALSE),NA())</f>
        <v>#N/A</v>
      </c>
    </row>
    <row r="122" spans="19:23" x14ac:dyDescent="0.2">
      <c r="S122" s="76">
        <f t="shared" si="1"/>
        <v>42125</v>
      </c>
      <c r="T122" s="77">
        <f>INDEX([12]ČR!$D$18:$D$383,DATE(2016,MONTH(S122),DAY(S122))-DATE(2016,1,1)+1,1)/1000000</f>
        <v>11.839500627664977</v>
      </c>
      <c r="U122" s="77">
        <f>IF(T!$A$4&gt;=MONTH(S122),VLOOKUP(S122,'[8]Podklady MZ'!$R$2:$S$367,2,FALSE),NA())</f>
        <v>16.070703750605009</v>
      </c>
      <c r="V122" s="176">
        <f>INDEX([5]PT!$AF$16:$AF$381,DATE(2016,MONTH(S122),DAY(S122))-DATE(2016,1,1)+1,1)</f>
        <v>9.1</v>
      </c>
      <c r="W122" s="176" t="e">
        <f>IF(T!$A$4&lt;MONTH(S122),VLOOKUP(S122,'[8]Podklady MZ'!$R$2:$S$367,2,FALSE),NA())</f>
        <v>#N/A</v>
      </c>
    </row>
    <row r="123" spans="19:23" x14ac:dyDescent="0.2">
      <c r="S123" s="76">
        <f t="shared" si="1"/>
        <v>42126</v>
      </c>
      <c r="T123" s="77">
        <f>INDEX([12]ČR!$D$18:$D$383,DATE(2016,MONTH(S123),DAY(S123))-DATE(2016,1,1)+1,1)/1000000</f>
        <v>13.530714254331093</v>
      </c>
      <c r="U123" s="77">
        <f>IF(T!$A$4&gt;=MONTH(S123),VLOOKUP(S123,'[8]Podklady MZ'!$R$2:$S$367,2,FALSE),NA())</f>
        <v>14.767872927011197</v>
      </c>
      <c r="V123" s="176">
        <f>INDEX([5]PT!$AF$16:$AF$381,DATE(2016,MONTH(S123),DAY(S123))-DATE(2016,1,1)+1,1)</f>
        <v>8.8000000000000007</v>
      </c>
      <c r="W123" s="176" t="e">
        <f>IF(T!$A$4&lt;MONTH(S123),VLOOKUP(S123,'[8]Podklady MZ'!$R$2:$S$367,2,FALSE),NA())</f>
        <v>#N/A</v>
      </c>
    </row>
    <row r="124" spans="19:23" x14ac:dyDescent="0.2">
      <c r="S124" s="76">
        <f t="shared" si="1"/>
        <v>42127</v>
      </c>
      <c r="T124" s="77">
        <f>INDEX([12]ČR!$D$18:$D$383,DATE(2016,MONTH(S124),DAY(S124))-DATE(2016,1,1)+1,1)/1000000</f>
        <v>16.690623805383037</v>
      </c>
      <c r="U124" s="77">
        <f>IF(T!$A$4&gt;=MONTH(S124),VLOOKUP(S124,'[8]Podklady MZ'!$R$2:$S$367,2,FALSE),NA())</f>
        <v>15.143156882783456</v>
      </c>
      <c r="V124" s="176">
        <f>INDEX([5]PT!$AF$16:$AF$381,DATE(2016,MONTH(S124),DAY(S124))-DATE(2016,1,1)+1,1)</f>
        <v>10.199999999999999</v>
      </c>
      <c r="W124" s="176" t="e">
        <f>IF(T!$A$4&lt;MONTH(S124),VLOOKUP(S124,'[8]Podklady MZ'!$R$2:$S$367,2,FALSE),NA())</f>
        <v>#N/A</v>
      </c>
    </row>
    <row r="125" spans="19:23" x14ac:dyDescent="0.2">
      <c r="S125" s="76">
        <f t="shared" si="1"/>
        <v>42128</v>
      </c>
      <c r="T125" s="77">
        <f>INDEX([12]ČR!$D$18:$D$383,DATE(2016,MONTH(S125),DAY(S125))-DATE(2016,1,1)+1,1)/1000000</f>
        <v>16.897915301249057</v>
      </c>
      <c r="U125" s="77">
        <f>IF(T!$A$4&gt;=MONTH(S125),VLOOKUP(S125,'[8]Podklady MZ'!$R$2:$S$367,2,FALSE),NA())</f>
        <v>14.6251661408568</v>
      </c>
      <c r="V125" s="176">
        <f>INDEX([5]PT!$AF$16:$AF$381,DATE(2016,MONTH(S125),DAY(S125))-DATE(2016,1,1)+1,1)</f>
        <v>15.7</v>
      </c>
      <c r="W125" s="176" t="e">
        <f>IF(T!$A$4&lt;MONTH(S125),VLOOKUP(S125,'[8]Podklady MZ'!$R$2:$S$367,2,FALSE),NA())</f>
        <v>#N/A</v>
      </c>
    </row>
    <row r="126" spans="19:23" x14ac:dyDescent="0.2">
      <c r="S126" s="76">
        <f t="shared" si="1"/>
        <v>42129</v>
      </c>
      <c r="T126" s="77">
        <f>INDEX([12]ČR!$D$18:$D$383,DATE(2016,MONTH(S126),DAY(S126))-DATE(2016,1,1)+1,1)/1000000</f>
        <v>18.958099619848774</v>
      </c>
      <c r="U126" s="77">
        <f>IF(T!$A$4&gt;=MONTH(S126),VLOOKUP(S126,'[8]Podklady MZ'!$R$2:$S$367,2,FALSE),NA())</f>
        <v>12.576014414092121</v>
      </c>
      <c r="V126" s="176">
        <f>INDEX([5]PT!$AF$16:$AF$381,DATE(2016,MONTH(S126),DAY(S126))-DATE(2016,1,1)+1,1)</f>
        <v>18.600000000000001</v>
      </c>
      <c r="W126" s="176" t="e">
        <f>IF(T!$A$4&lt;MONTH(S126),VLOOKUP(S126,'[8]Podklady MZ'!$R$2:$S$367,2,FALSE),NA())</f>
        <v>#N/A</v>
      </c>
    </row>
    <row r="127" spans="19:23" x14ac:dyDescent="0.2">
      <c r="S127" s="76">
        <f t="shared" si="1"/>
        <v>42130</v>
      </c>
      <c r="T127" s="77">
        <f>INDEX([12]ČR!$D$18:$D$383,DATE(2016,MONTH(S127),DAY(S127))-DATE(2016,1,1)+1,1)/1000000</f>
        <v>16.412153539843366</v>
      </c>
      <c r="U127" s="77">
        <f>IF(T!$A$4&gt;=MONTH(S127),VLOOKUP(S127,'[8]Podklady MZ'!$R$2:$S$367,2,FALSE),NA())</f>
        <v>13.709271554327715</v>
      </c>
      <c r="V127" s="176">
        <f>INDEX([5]PT!$AF$16:$AF$381,DATE(2016,MONTH(S127),DAY(S127))-DATE(2016,1,1)+1,1)</f>
        <v>13</v>
      </c>
      <c r="W127" s="176" t="e">
        <f>IF(T!$A$4&lt;MONTH(S127),VLOOKUP(S127,'[8]Podklady MZ'!$R$2:$S$367,2,FALSE),NA())</f>
        <v>#N/A</v>
      </c>
    </row>
    <row r="128" spans="19:23" x14ac:dyDescent="0.2">
      <c r="S128" s="76">
        <f t="shared" si="1"/>
        <v>42131</v>
      </c>
      <c r="T128" s="77">
        <f>INDEX([12]ČR!$D$18:$D$383,DATE(2016,MONTH(S128),DAY(S128))-DATE(2016,1,1)+1,1)/1000000</f>
        <v>16.923185342344148</v>
      </c>
      <c r="U128" s="77">
        <f>IF(T!$A$4&gt;=MONTH(S128),VLOOKUP(S128,'[8]Podklady MZ'!$R$2:$S$367,2,FALSE),NA())</f>
        <v>13.270363165519885</v>
      </c>
      <c r="V128" s="176">
        <f>INDEX([5]PT!$AF$16:$AF$381,DATE(2016,MONTH(S128),DAY(S128))-DATE(2016,1,1)+1,1)</f>
        <v>12</v>
      </c>
      <c r="W128" s="176" t="e">
        <f>IF(T!$A$4&lt;MONTH(S128),VLOOKUP(S128,'[8]Podklady MZ'!$R$2:$S$367,2,FALSE),NA())</f>
        <v>#N/A</v>
      </c>
    </row>
    <row r="129" spans="19:23" x14ac:dyDescent="0.2">
      <c r="S129" s="76">
        <f t="shared" si="1"/>
        <v>42132</v>
      </c>
      <c r="T129" s="77">
        <f>INDEX([12]ČR!$D$18:$D$383,DATE(2016,MONTH(S129),DAY(S129))-DATE(2016,1,1)+1,1)/1000000</f>
        <v>13.588580026644813</v>
      </c>
      <c r="U129" s="77">
        <f>IF(T!$A$4&gt;=MONTH(S129),VLOOKUP(S129,'[8]Podklady MZ'!$R$2:$S$367,2,FALSE),NA())</f>
        <v>11.296329223612155</v>
      </c>
      <c r="V129" s="176">
        <f>INDEX([5]PT!$AF$16:$AF$381,DATE(2016,MONTH(S129),DAY(S129))-DATE(2016,1,1)+1,1)</f>
        <v>13.7</v>
      </c>
      <c r="W129" s="176" t="e">
        <f>IF(T!$A$4&lt;MONTH(S129),VLOOKUP(S129,'[8]Podklady MZ'!$R$2:$S$367,2,FALSE),NA())</f>
        <v>#N/A</v>
      </c>
    </row>
    <row r="130" spans="19:23" x14ac:dyDescent="0.2">
      <c r="S130" s="76">
        <f t="shared" si="1"/>
        <v>42133</v>
      </c>
      <c r="T130" s="77">
        <f>INDEX([12]ČR!$D$18:$D$383,DATE(2016,MONTH(S130),DAY(S130))-DATE(2016,1,1)+1,1)/1000000</f>
        <v>13.035132222069764</v>
      </c>
      <c r="U130" s="77">
        <f>IF(T!$A$4&gt;=MONTH(S130),VLOOKUP(S130,'[8]Podklady MZ'!$R$2:$S$367,2,FALSE),NA())</f>
        <v>10.967310771832761</v>
      </c>
      <c r="V130" s="176">
        <f>INDEX([5]PT!$AF$16:$AF$381,DATE(2016,MONTH(S130),DAY(S130))-DATE(2016,1,1)+1,1)</f>
        <v>13.6</v>
      </c>
      <c r="W130" s="176" t="e">
        <f>IF(T!$A$4&lt;MONTH(S130),VLOOKUP(S130,'[8]Podklady MZ'!$R$2:$S$367,2,FALSE),NA())</f>
        <v>#N/A</v>
      </c>
    </row>
    <row r="131" spans="19:23" x14ac:dyDescent="0.2">
      <c r="S131" s="76">
        <f t="shared" si="1"/>
        <v>42134</v>
      </c>
      <c r="T131" s="77">
        <f>INDEX([12]ČR!$D$18:$D$383,DATE(2016,MONTH(S131),DAY(S131))-DATE(2016,1,1)+1,1)/1000000</f>
        <v>11.394917291532799</v>
      </c>
      <c r="U131" s="77">
        <f>IF(T!$A$4&gt;=MONTH(S131),VLOOKUP(S131,'[8]Podklady MZ'!$R$2:$S$367,2,FALSE),NA())</f>
        <v>11.95038705519555</v>
      </c>
      <c r="V131" s="176">
        <f>INDEX([5]PT!$AF$16:$AF$381,DATE(2016,MONTH(S131),DAY(S131))-DATE(2016,1,1)+1,1)</f>
        <v>12.7</v>
      </c>
      <c r="W131" s="176" t="e">
        <f>IF(T!$A$4&lt;MONTH(S131),VLOOKUP(S131,'[8]Podklady MZ'!$R$2:$S$367,2,FALSE),NA())</f>
        <v>#N/A</v>
      </c>
    </row>
    <row r="132" spans="19:23" x14ac:dyDescent="0.2">
      <c r="S132" s="76">
        <f t="shared" ref="S132:S195" si="2">S131+1</f>
        <v>42135</v>
      </c>
      <c r="T132" s="77">
        <f>INDEX([12]ČR!$D$18:$D$383,DATE(2016,MONTH(S132),DAY(S132))-DATE(2016,1,1)+1,1)/1000000</f>
        <v>13.100809517095797</v>
      </c>
      <c r="U132" s="77">
        <f>IF(T!$A$4&gt;=MONTH(S132),VLOOKUP(S132,'[8]Podklady MZ'!$R$2:$S$367,2,FALSE),NA())</f>
        <v>13.656535597894518</v>
      </c>
      <c r="V132" s="176">
        <f>INDEX([5]PT!$AF$16:$AF$381,DATE(2016,MONTH(S132),DAY(S132))-DATE(2016,1,1)+1,1)</f>
        <v>12.1</v>
      </c>
      <c r="W132" s="176" t="e">
        <f>IF(T!$A$4&lt;MONTH(S132),VLOOKUP(S132,'[8]Podklady MZ'!$R$2:$S$367,2,FALSE),NA())</f>
        <v>#N/A</v>
      </c>
    </row>
    <row r="133" spans="19:23" x14ac:dyDescent="0.2">
      <c r="S133" s="76">
        <f t="shared" si="2"/>
        <v>42136</v>
      </c>
      <c r="T133" s="77">
        <f>INDEX([12]ČR!$D$18:$D$383,DATE(2016,MONTH(S133),DAY(S133))-DATE(2016,1,1)+1,1)/1000000</f>
        <v>15.968776169667855</v>
      </c>
      <c r="U133" s="77">
        <f>IF(T!$A$4&gt;=MONTH(S133),VLOOKUP(S133,'[8]Podklady MZ'!$R$2:$S$367,2,FALSE),NA())</f>
        <v>12.818165560704808</v>
      </c>
      <c r="V133" s="176">
        <f>INDEX([5]PT!$AF$16:$AF$381,DATE(2016,MONTH(S133),DAY(S133))-DATE(2016,1,1)+1,1)</f>
        <v>17</v>
      </c>
      <c r="W133" s="176" t="e">
        <f>IF(T!$A$4&lt;MONTH(S133),VLOOKUP(S133,'[8]Podklady MZ'!$R$2:$S$367,2,FALSE),NA())</f>
        <v>#N/A</v>
      </c>
    </row>
    <row r="134" spans="19:23" x14ac:dyDescent="0.2">
      <c r="S134" s="76">
        <f t="shared" si="2"/>
        <v>42137</v>
      </c>
      <c r="T134" s="77">
        <f>INDEX([12]ČR!$D$18:$D$383,DATE(2016,MONTH(S134),DAY(S134))-DATE(2016,1,1)+1,1)/1000000</f>
        <v>16.660640374974943</v>
      </c>
      <c r="U134" s="77">
        <f>IF(T!$A$4&gt;=MONTH(S134),VLOOKUP(S134,'[8]Podklady MZ'!$R$2:$S$367,2,FALSE),NA())</f>
        <v>12.775069638668246</v>
      </c>
      <c r="V134" s="176">
        <f>INDEX([5]PT!$AF$16:$AF$381,DATE(2016,MONTH(S134),DAY(S134))-DATE(2016,1,1)+1,1)</f>
        <v>14.5</v>
      </c>
      <c r="W134" s="176" t="e">
        <f>IF(T!$A$4&lt;MONTH(S134),VLOOKUP(S134,'[8]Podklady MZ'!$R$2:$S$367,2,FALSE),NA())</f>
        <v>#N/A</v>
      </c>
    </row>
    <row r="135" spans="19:23" x14ac:dyDescent="0.2">
      <c r="S135" s="76">
        <f t="shared" si="2"/>
        <v>42138</v>
      </c>
      <c r="T135" s="77">
        <f>INDEX([12]ČR!$D$18:$D$383,DATE(2016,MONTH(S135),DAY(S135))-DATE(2016,1,1)+1,1)/1000000</f>
        <v>18.08790069134259</v>
      </c>
      <c r="U135" s="77">
        <f>IF(T!$A$4&gt;=MONTH(S135),VLOOKUP(S135,'[8]Podklady MZ'!$R$2:$S$367,2,FALSE),NA())</f>
        <v>13.531678054988188</v>
      </c>
      <c r="V135" s="176">
        <f>INDEX([5]PT!$AF$16:$AF$381,DATE(2016,MONTH(S135),DAY(S135))-DATE(2016,1,1)+1,1)</f>
        <v>11.7</v>
      </c>
      <c r="W135" s="176" t="e">
        <f>IF(T!$A$4&lt;MONTH(S135),VLOOKUP(S135,'[8]Podklady MZ'!$R$2:$S$367,2,FALSE),NA())</f>
        <v>#N/A</v>
      </c>
    </row>
    <row r="136" spans="19:23" x14ac:dyDescent="0.2">
      <c r="S136" s="76">
        <f t="shared" si="2"/>
        <v>42139</v>
      </c>
      <c r="T136" s="77">
        <f>INDEX([12]ČR!$D$18:$D$383,DATE(2016,MONTH(S136),DAY(S136))-DATE(2016,1,1)+1,1)/1000000</f>
        <v>19.465409272283821</v>
      </c>
      <c r="U136" s="77">
        <f>IF(T!$A$4&gt;=MONTH(S136),VLOOKUP(S136,'[8]Podklady MZ'!$R$2:$S$367,2,FALSE),NA())</f>
        <v>13.086464438385905</v>
      </c>
      <c r="V136" s="176">
        <f>INDEX([5]PT!$AF$16:$AF$381,DATE(2016,MONTH(S136),DAY(S136))-DATE(2016,1,1)+1,1)</f>
        <v>11.1</v>
      </c>
      <c r="W136" s="176" t="e">
        <f>IF(T!$A$4&lt;MONTH(S136),VLOOKUP(S136,'[8]Podklady MZ'!$R$2:$S$367,2,FALSE),NA())</f>
        <v>#N/A</v>
      </c>
    </row>
    <row r="137" spans="19:23" x14ac:dyDescent="0.2">
      <c r="S137" s="76">
        <f t="shared" si="2"/>
        <v>42140</v>
      </c>
      <c r="T137" s="77">
        <f>INDEX([12]ČR!$D$18:$D$383,DATE(2016,MONTH(S137),DAY(S137))-DATE(2016,1,1)+1,1)/1000000</f>
        <v>19.278662465318448</v>
      </c>
      <c r="U137" s="77">
        <f>IF(T!$A$4&gt;=MONTH(S137),VLOOKUP(S137,'[8]Podklady MZ'!$R$2:$S$367,2,FALSE),NA())</f>
        <v>10.500449937414034</v>
      </c>
      <c r="V137" s="176">
        <f>INDEX([5]PT!$AF$16:$AF$381,DATE(2016,MONTH(S137),DAY(S137))-DATE(2016,1,1)+1,1)</f>
        <v>15.1</v>
      </c>
      <c r="W137" s="176" t="e">
        <f>IF(T!$A$4&lt;MONTH(S137),VLOOKUP(S137,'[8]Podklady MZ'!$R$2:$S$367,2,FALSE),NA())</f>
        <v>#N/A</v>
      </c>
    </row>
    <row r="138" spans="19:23" x14ac:dyDescent="0.2">
      <c r="S138" s="76">
        <f t="shared" si="2"/>
        <v>42141</v>
      </c>
      <c r="T138" s="77">
        <f>INDEX([12]ČR!$D$18:$D$383,DATE(2016,MONTH(S138),DAY(S138))-DATE(2016,1,1)+1,1)/1000000</f>
        <v>16.827935520045752</v>
      </c>
      <c r="U138" s="77">
        <f>IF(T!$A$4&gt;=MONTH(S138),VLOOKUP(S138,'[8]Podklady MZ'!$R$2:$S$367,2,FALSE),NA())</f>
        <v>11.476216254816855</v>
      </c>
      <c r="V138" s="176">
        <f>INDEX([5]PT!$AF$16:$AF$381,DATE(2016,MONTH(S138),DAY(S138))-DATE(2016,1,1)+1,1)</f>
        <v>12.1</v>
      </c>
      <c r="W138" s="176" t="e">
        <f>IF(T!$A$4&lt;MONTH(S138),VLOOKUP(S138,'[8]Podklady MZ'!$R$2:$S$367,2,FALSE),NA())</f>
        <v>#N/A</v>
      </c>
    </row>
    <row r="139" spans="19:23" x14ac:dyDescent="0.2">
      <c r="S139" s="76">
        <f t="shared" si="2"/>
        <v>42142</v>
      </c>
      <c r="T139" s="77">
        <f>INDEX([12]ČR!$D$18:$D$383,DATE(2016,MONTH(S139),DAY(S139))-DATE(2016,1,1)+1,1)/1000000</f>
        <v>16.379231071060332</v>
      </c>
      <c r="U139" s="77">
        <f>IF(T!$A$4&gt;=MONTH(S139),VLOOKUP(S139,'[8]Podklady MZ'!$R$2:$S$367,2,FALSE),NA())</f>
        <v>12.67374784235955</v>
      </c>
      <c r="V139" s="176">
        <f>INDEX([5]PT!$AF$16:$AF$381,DATE(2016,MONTH(S139),DAY(S139))-DATE(2016,1,1)+1,1)</f>
        <v>15</v>
      </c>
      <c r="W139" s="176" t="e">
        <f>IF(T!$A$4&lt;MONTH(S139),VLOOKUP(S139,'[8]Podklady MZ'!$R$2:$S$367,2,FALSE),NA())</f>
        <v>#N/A</v>
      </c>
    </row>
    <row r="140" spans="19:23" x14ac:dyDescent="0.2">
      <c r="S140" s="76">
        <f t="shared" si="2"/>
        <v>42143</v>
      </c>
      <c r="T140" s="77">
        <f>INDEX([12]ČR!$D$18:$D$383,DATE(2016,MONTH(S140),DAY(S140))-DATE(2016,1,1)+1,1)/1000000</f>
        <v>14.917899861760551</v>
      </c>
      <c r="U140" s="77">
        <f>IF(T!$A$4&gt;=MONTH(S140),VLOOKUP(S140,'[8]Podklady MZ'!$R$2:$S$367,2,FALSE),NA())</f>
        <v>12.492318306386101</v>
      </c>
      <c r="V140" s="176">
        <f>INDEX([5]PT!$AF$16:$AF$381,DATE(2016,MONTH(S140),DAY(S140))-DATE(2016,1,1)+1,1)</f>
        <v>14.2</v>
      </c>
      <c r="W140" s="176" t="e">
        <f>IF(T!$A$4&lt;MONTH(S140),VLOOKUP(S140,'[8]Podklady MZ'!$R$2:$S$367,2,FALSE),NA())</f>
        <v>#N/A</v>
      </c>
    </row>
    <row r="141" spans="19:23" x14ac:dyDescent="0.2">
      <c r="S141" s="76">
        <f t="shared" si="2"/>
        <v>42144</v>
      </c>
      <c r="T141" s="77">
        <f>INDEX([12]ČR!$D$18:$D$383,DATE(2016,MONTH(S141),DAY(S141))-DATE(2016,1,1)+1,1)/1000000</f>
        <v>12.582811552043109</v>
      </c>
      <c r="U141" s="77">
        <f>IF(T!$A$4&gt;=MONTH(S141),VLOOKUP(S141,'[8]Podklady MZ'!$R$2:$S$367,2,FALSE),NA())</f>
        <v>14.371762580338837</v>
      </c>
      <c r="V141" s="176">
        <f>INDEX([5]PT!$AF$16:$AF$381,DATE(2016,MONTH(S141),DAY(S141))-DATE(2016,1,1)+1,1)</f>
        <v>10</v>
      </c>
      <c r="W141" s="176" t="e">
        <f>IF(T!$A$4&lt;MONTH(S141),VLOOKUP(S141,'[8]Podklady MZ'!$R$2:$S$367,2,FALSE),NA())</f>
        <v>#N/A</v>
      </c>
    </row>
    <row r="142" spans="19:23" x14ac:dyDescent="0.2">
      <c r="S142" s="76">
        <f t="shared" si="2"/>
        <v>42145</v>
      </c>
      <c r="T142" s="77">
        <f>INDEX([12]ČR!$D$18:$D$383,DATE(2016,MONTH(S142),DAY(S142))-DATE(2016,1,1)+1,1)/1000000</f>
        <v>11.65639295006318</v>
      </c>
      <c r="U142" s="77">
        <f>IF(T!$A$4&gt;=MONTH(S142),VLOOKUP(S142,'[8]Podklady MZ'!$R$2:$S$367,2,FALSE),NA())</f>
        <v>14.993792525981231</v>
      </c>
      <c r="V142" s="176">
        <f>INDEX([5]PT!$AF$16:$AF$381,DATE(2016,MONTH(S142),DAY(S142))-DATE(2016,1,1)+1,1)</f>
        <v>10.3</v>
      </c>
      <c r="W142" s="176" t="e">
        <f>IF(T!$A$4&lt;MONTH(S142),VLOOKUP(S142,'[8]Podklady MZ'!$R$2:$S$367,2,FALSE),NA())</f>
        <v>#N/A</v>
      </c>
    </row>
    <row r="143" spans="19:23" x14ac:dyDescent="0.2">
      <c r="S143" s="76">
        <f t="shared" si="2"/>
        <v>42146</v>
      </c>
      <c r="T143" s="77">
        <f>INDEX([12]ČR!$D$18:$D$383,DATE(2016,MONTH(S143),DAY(S143))-DATE(2016,1,1)+1,1)/1000000</f>
        <v>11.132254807470311</v>
      </c>
      <c r="U143" s="77">
        <f>IF(T!$A$4&gt;=MONTH(S143),VLOOKUP(S143,'[8]Podklady MZ'!$R$2:$S$367,2,FALSE),NA())</f>
        <v>13.563665394289348</v>
      </c>
      <c r="V143" s="176">
        <f>INDEX([5]PT!$AF$16:$AF$381,DATE(2016,MONTH(S143),DAY(S143))-DATE(2016,1,1)+1,1)</f>
        <v>12</v>
      </c>
      <c r="W143" s="176" t="e">
        <f>IF(T!$A$4&lt;MONTH(S143),VLOOKUP(S143,'[8]Podklady MZ'!$R$2:$S$367,2,FALSE),NA())</f>
        <v>#N/A</v>
      </c>
    </row>
    <row r="144" spans="19:23" x14ac:dyDescent="0.2">
      <c r="S144" s="76">
        <f t="shared" si="2"/>
        <v>42147</v>
      </c>
      <c r="T144" s="77">
        <f>INDEX([12]ČR!$D$18:$D$383,DATE(2016,MONTH(S144),DAY(S144))-DATE(2016,1,1)+1,1)/1000000</f>
        <v>10.478143930618685</v>
      </c>
      <c r="U144" s="77">
        <f>IF(T!$A$4&gt;=MONTH(S144),VLOOKUP(S144,'[8]Podklady MZ'!$R$2:$S$367,2,FALSE),NA())</f>
        <v>11.94106489789457</v>
      </c>
      <c r="V144" s="176">
        <f>INDEX([5]PT!$AF$16:$AF$381,DATE(2016,MONTH(S144),DAY(S144))-DATE(2016,1,1)+1,1)</f>
        <v>12.2</v>
      </c>
      <c r="W144" s="176" t="e">
        <f>IF(T!$A$4&lt;MONTH(S144),VLOOKUP(S144,'[8]Podklady MZ'!$R$2:$S$367,2,FALSE),NA())</f>
        <v>#N/A</v>
      </c>
    </row>
    <row r="145" spans="19:23" x14ac:dyDescent="0.2">
      <c r="S145" s="76">
        <f t="shared" si="2"/>
        <v>42148</v>
      </c>
      <c r="T145" s="77">
        <f>INDEX([12]ČR!$D$18:$D$383,DATE(2016,MONTH(S145),DAY(S145))-DATE(2016,1,1)+1,1)/1000000</f>
        <v>9.2781211312542951</v>
      </c>
      <c r="U145" s="77">
        <f>IF(T!$A$4&gt;=MONTH(S145),VLOOKUP(S145,'[8]Podklady MZ'!$R$2:$S$367,2,FALSE),NA())</f>
        <v>12.158847009693631</v>
      </c>
      <c r="V145" s="176">
        <f>INDEX([5]PT!$AF$16:$AF$381,DATE(2016,MONTH(S145),DAY(S145))-DATE(2016,1,1)+1,1)</f>
        <v>12.3</v>
      </c>
      <c r="W145" s="176" t="e">
        <f>IF(T!$A$4&lt;MONTH(S145),VLOOKUP(S145,'[8]Podklady MZ'!$R$2:$S$367,2,FALSE),NA())</f>
        <v>#N/A</v>
      </c>
    </row>
    <row r="146" spans="19:23" x14ac:dyDescent="0.2">
      <c r="S146" s="76">
        <f t="shared" si="2"/>
        <v>42149</v>
      </c>
      <c r="T146" s="77">
        <f>INDEX([12]ČR!$D$18:$D$383,DATE(2016,MONTH(S146),DAY(S146))-DATE(2016,1,1)+1,1)/1000000</f>
        <v>9.656171123571907</v>
      </c>
      <c r="U146" s="77">
        <f>IF(T!$A$4&gt;=MONTH(S146),VLOOKUP(S146,'[8]Podklady MZ'!$R$2:$S$367,2,FALSE),NA())</f>
        <v>12.976170584964329</v>
      </c>
      <c r="V146" s="176">
        <f>INDEX([5]PT!$AF$16:$AF$381,DATE(2016,MONTH(S146),DAY(S146))-DATE(2016,1,1)+1,1)</f>
        <v>14.6</v>
      </c>
      <c r="W146" s="176" t="e">
        <f>IF(T!$A$4&lt;MONTH(S146),VLOOKUP(S146,'[8]Podklady MZ'!$R$2:$S$367,2,FALSE),NA())</f>
        <v>#N/A</v>
      </c>
    </row>
    <row r="147" spans="19:23" x14ac:dyDescent="0.2">
      <c r="S147" s="76">
        <f t="shared" si="2"/>
        <v>42150</v>
      </c>
      <c r="T147" s="77">
        <f>INDEX([12]ČR!$D$18:$D$383,DATE(2016,MONTH(S147),DAY(S147))-DATE(2016,1,1)+1,1)/1000000</f>
        <v>10.865945761979171</v>
      </c>
      <c r="U147" s="77">
        <f>IF(T!$A$4&gt;=MONTH(S147),VLOOKUP(S147,'[8]Podklady MZ'!$R$2:$S$367,2,FALSE),NA())</f>
        <v>14.898406635112032</v>
      </c>
      <c r="V147" s="176">
        <f>INDEX([5]PT!$AF$16:$AF$381,DATE(2016,MONTH(S147),DAY(S147))-DATE(2016,1,1)+1,1)</f>
        <v>11.2</v>
      </c>
      <c r="W147" s="176" t="e">
        <f>IF(T!$A$4&lt;MONTH(S147),VLOOKUP(S147,'[8]Podklady MZ'!$R$2:$S$367,2,FALSE),NA())</f>
        <v>#N/A</v>
      </c>
    </row>
    <row r="148" spans="19:23" x14ac:dyDescent="0.2">
      <c r="S148" s="76">
        <f t="shared" si="2"/>
        <v>42151</v>
      </c>
      <c r="T148" s="77">
        <f>INDEX([12]ČR!$D$18:$D$383,DATE(2016,MONTH(S148),DAY(S148))-DATE(2016,1,1)+1,1)/1000000</f>
        <v>11.108612309215228</v>
      </c>
      <c r="U148" s="77">
        <f>IF(T!$A$4&gt;=MONTH(S148),VLOOKUP(S148,'[8]Podklady MZ'!$R$2:$S$367,2,FALSE),NA())</f>
        <v>15.932884208442607</v>
      </c>
      <c r="V148" s="176">
        <f>INDEX([5]PT!$AF$16:$AF$381,DATE(2016,MONTH(S148),DAY(S148))-DATE(2016,1,1)+1,1)</f>
        <v>9.6999999999999993</v>
      </c>
      <c r="W148" s="176" t="e">
        <f>IF(T!$A$4&lt;MONTH(S148),VLOOKUP(S148,'[8]Podklady MZ'!$R$2:$S$367,2,FALSE),NA())</f>
        <v>#N/A</v>
      </c>
    </row>
    <row r="149" spans="19:23" x14ac:dyDescent="0.2">
      <c r="S149" s="76">
        <f t="shared" si="2"/>
        <v>42152</v>
      </c>
      <c r="T149" s="77">
        <f>INDEX([12]ČR!$D$18:$D$383,DATE(2016,MONTH(S149),DAY(S149))-DATE(2016,1,1)+1,1)/1000000</f>
        <v>11.808502084814611</v>
      </c>
      <c r="U149" s="77">
        <f>IF(T!$A$4&gt;=MONTH(S149),VLOOKUP(S149,'[8]Podklady MZ'!$R$2:$S$367,2,FALSE),NA())</f>
        <v>14.175583541636694</v>
      </c>
      <c r="V149" s="176">
        <f>INDEX([5]PT!$AF$16:$AF$381,DATE(2016,MONTH(S149),DAY(S149))-DATE(2016,1,1)+1,1)</f>
        <v>11.3</v>
      </c>
      <c r="W149" s="176" t="e">
        <f>IF(T!$A$4&lt;MONTH(S149),VLOOKUP(S149,'[8]Podklady MZ'!$R$2:$S$367,2,FALSE),NA())</f>
        <v>#N/A</v>
      </c>
    </row>
    <row r="150" spans="19:23" x14ac:dyDescent="0.2">
      <c r="S150" s="76">
        <f t="shared" si="2"/>
        <v>42153</v>
      </c>
      <c r="T150" s="77">
        <f>INDEX([12]ČR!$D$18:$D$383,DATE(2016,MONTH(S150),DAY(S150))-DATE(2016,1,1)+1,1)/1000000</f>
        <v>13.226022867156464</v>
      </c>
      <c r="U150" s="77">
        <f>IF(T!$A$4&gt;=MONTH(S150),VLOOKUP(S150,'[8]Podklady MZ'!$R$2:$S$367,2,FALSE),NA())</f>
        <v>12.172517298062198</v>
      </c>
      <c r="V150" s="176">
        <f>INDEX([5]PT!$AF$16:$AF$381,DATE(2016,MONTH(S150),DAY(S150))-DATE(2016,1,1)+1,1)</f>
        <v>14.8</v>
      </c>
      <c r="W150" s="176" t="e">
        <f>IF(T!$A$4&lt;MONTH(S150),VLOOKUP(S150,'[8]Podklady MZ'!$R$2:$S$367,2,FALSE),NA())</f>
        <v>#N/A</v>
      </c>
    </row>
    <row r="151" spans="19:23" x14ac:dyDescent="0.2">
      <c r="S151" s="76">
        <f t="shared" si="2"/>
        <v>42154</v>
      </c>
      <c r="T151" s="77">
        <f>INDEX([12]ČR!$D$18:$D$383,DATE(2016,MONTH(S151),DAY(S151))-DATE(2016,1,1)+1,1)/1000000</f>
        <v>12.987815079649232</v>
      </c>
      <c r="U151" s="77">
        <f>IF(T!$A$4&gt;=MONTH(S151),VLOOKUP(S151,'[8]Podklady MZ'!$R$2:$S$367,2,FALSE),NA())</f>
        <v>10.217129826079109</v>
      </c>
      <c r="V151" s="176">
        <f>INDEX([5]PT!$AF$16:$AF$381,DATE(2016,MONTH(S151),DAY(S151))-DATE(2016,1,1)+1,1)</f>
        <v>13.9</v>
      </c>
      <c r="W151" s="176" t="e">
        <f>IF(T!$A$4&lt;MONTH(S151),VLOOKUP(S151,'[8]Podklady MZ'!$R$2:$S$367,2,FALSE),NA())</f>
        <v>#N/A</v>
      </c>
    </row>
    <row r="152" spans="19:23" x14ac:dyDescent="0.2">
      <c r="S152" s="76">
        <f t="shared" si="2"/>
        <v>42155</v>
      </c>
      <c r="T152" s="77">
        <f>INDEX([12]ČR!$D$18:$D$383,DATE(2016,MONTH(S152),DAY(S152))-DATE(2016,1,1)+1,1)/1000000</f>
        <v>10.185478109816755</v>
      </c>
      <c r="U152" s="77">
        <f>IF(T!$A$4&gt;=MONTH(S152),VLOOKUP(S152,'[8]Podklady MZ'!$R$2:$S$367,2,FALSE),NA())</f>
        <v>9.9833297936764538</v>
      </c>
      <c r="V152" s="176">
        <f>INDEX([5]PT!$AF$16:$AF$381,DATE(2016,MONTH(S152),DAY(S152))-DATE(2016,1,1)+1,1)</f>
        <v>15.5</v>
      </c>
      <c r="W152" s="176" t="e">
        <f>IF(T!$A$4&lt;MONTH(S152),VLOOKUP(S152,'[8]Podklady MZ'!$R$2:$S$367,2,FALSE),NA())</f>
        <v>#N/A</v>
      </c>
    </row>
    <row r="153" spans="19:23" x14ac:dyDescent="0.2">
      <c r="S153" s="76">
        <f t="shared" si="2"/>
        <v>42156</v>
      </c>
      <c r="T153" s="77">
        <f>INDEX([12]ČR!$D$18:$D$383,DATE(2016,MONTH(S153),DAY(S153))-DATE(2016,1,1)+1,1)/1000000</f>
        <v>10.15248238828606</v>
      </c>
      <c r="U153" s="77">
        <f>IF(T!$A$4&gt;=MONTH(S153),VLOOKUP(S153,'[8]Podklady MZ'!$R$2:$S$367,2,FALSE),NA())</f>
        <v>11.138553848757228</v>
      </c>
      <c r="V153" s="176">
        <f>INDEX([5]PT!$AF$16:$AF$381,DATE(2016,MONTH(S153),DAY(S153))-DATE(2016,1,1)+1,1)</f>
        <v>18.2</v>
      </c>
      <c r="W153" s="176" t="e">
        <f>IF(T!$A$4&lt;MONTH(S153),VLOOKUP(S153,'[8]Podklady MZ'!$R$2:$S$367,2,FALSE),NA())</f>
        <v>#N/A</v>
      </c>
    </row>
    <row r="154" spans="19:23" x14ac:dyDescent="0.2">
      <c r="S154" s="76">
        <f t="shared" si="2"/>
        <v>42157</v>
      </c>
      <c r="T154" s="77">
        <f>INDEX([12]ČR!$D$18:$D$383,DATE(2016,MONTH(S154),DAY(S154))-DATE(2016,1,1)+1,1)/1000000</f>
        <v>11.904707076860088</v>
      </c>
      <c r="U154" s="77">
        <f>IF(T!$A$4&gt;=MONTH(S154),VLOOKUP(S154,'[8]Podklady MZ'!$R$2:$S$367,2,FALSE),NA())</f>
        <v>11.003023012763272</v>
      </c>
      <c r="V154" s="176">
        <f>INDEX([5]PT!$AF$16:$AF$381,DATE(2016,MONTH(S154),DAY(S154))-DATE(2016,1,1)+1,1)</f>
        <v>19.600000000000001</v>
      </c>
      <c r="W154" s="176" t="e">
        <f>IF(T!$A$4&lt;MONTH(S154),VLOOKUP(S154,'[8]Podklady MZ'!$R$2:$S$367,2,FALSE),NA())</f>
        <v>#N/A</v>
      </c>
    </row>
    <row r="155" spans="19:23" x14ac:dyDescent="0.2">
      <c r="S155" s="76">
        <f t="shared" si="2"/>
        <v>42158</v>
      </c>
      <c r="T155" s="77">
        <f>INDEX([12]ČR!$D$18:$D$383,DATE(2016,MONTH(S155),DAY(S155))-DATE(2016,1,1)+1,1)/1000000</f>
        <v>12.10654944422572</v>
      </c>
      <c r="U155" s="77">
        <f>IF(T!$A$4&gt;=MONTH(S155),VLOOKUP(S155,'[8]Podklady MZ'!$R$2:$S$367,2,FALSE),NA())</f>
        <v>10.573388433417819</v>
      </c>
      <c r="V155" s="176">
        <f>INDEX([5]PT!$AF$16:$AF$381,DATE(2016,MONTH(S155),DAY(S155))-DATE(2016,1,1)+1,1)</f>
        <v>22.1</v>
      </c>
      <c r="W155" s="176" t="e">
        <f>IF(T!$A$4&lt;MONTH(S155),VLOOKUP(S155,'[8]Podklady MZ'!$R$2:$S$367,2,FALSE),NA())</f>
        <v>#N/A</v>
      </c>
    </row>
    <row r="156" spans="19:23" x14ac:dyDescent="0.2">
      <c r="S156" s="76">
        <f t="shared" si="2"/>
        <v>42159</v>
      </c>
      <c r="T156" s="77">
        <f>INDEX([12]ČR!$D$18:$D$383,DATE(2016,MONTH(S156),DAY(S156))-DATE(2016,1,1)+1,1)/1000000</f>
        <v>11.447167474483827</v>
      </c>
      <c r="U156" s="77">
        <f>IF(T!$A$4&gt;=MONTH(S156),VLOOKUP(S156,'[8]Podklady MZ'!$R$2:$S$367,2,FALSE),NA())</f>
        <v>10.746849399797272</v>
      </c>
      <c r="V156" s="176">
        <f>INDEX([5]PT!$AF$16:$AF$381,DATE(2016,MONTH(S156),DAY(S156))-DATE(2016,1,1)+1,1)</f>
        <v>18.100000000000001</v>
      </c>
      <c r="W156" s="176" t="e">
        <f>IF(T!$A$4&lt;MONTH(S156),VLOOKUP(S156,'[8]Podklady MZ'!$R$2:$S$367,2,FALSE),NA())</f>
        <v>#N/A</v>
      </c>
    </row>
    <row r="157" spans="19:23" x14ac:dyDescent="0.2">
      <c r="S157" s="76">
        <f t="shared" si="2"/>
        <v>42160</v>
      </c>
      <c r="T157" s="77">
        <f>INDEX([12]ČR!$D$18:$D$383,DATE(2016,MONTH(S157),DAY(S157))-DATE(2016,1,1)+1,1)/1000000</f>
        <v>11.437560478995836</v>
      </c>
      <c r="U157" s="77">
        <f>IF(T!$A$4&gt;=MONTH(S157),VLOOKUP(S157,'[8]Podklady MZ'!$R$2:$S$367,2,FALSE),NA())</f>
        <v>10.160940166784341</v>
      </c>
      <c r="V157" s="176">
        <f>INDEX([5]PT!$AF$16:$AF$381,DATE(2016,MONTH(S157),DAY(S157))-DATE(2016,1,1)+1,1)</f>
        <v>19</v>
      </c>
      <c r="W157" s="176" t="e">
        <f>IF(T!$A$4&lt;MONTH(S157),VLOOKUP(S157,'[8]Podklady MZ'!$R$2:$S$367,2,FALSE),NA())</f>
        <v>#N/A</v>
      </c>
    </row>
    <row r="158" spans="19:23" x14ac:dyDescent="0.2">
      <c r="S158" s="76">
        <f t="shared" si="2"/>
        <v>42161</v>
      </c>
      <c r="T158" s="77">
        <f>INDEX([12]ČR!$D$18:$D$383,DATE(2016,MONTH(S158),DAY(S158))-DATE(2016,1,1)+1,1)/1000000</f>
        <v>10.650905861959252</v>
      </c>
      <c r="U158" s="77">
        <f>IF(T!$A$4&gt;=MONTH(S158),VLOOKUP(S158,'[8]Podklady MZ'!$R$2:$S$367,2,FALSE),NA())</f>
        <v>8.219274334229274</v>
      </c>
      <c r="V158" s="176">
        <f>INDEX([5]PT!$AF$16:$AF$381,DATE(2016,MONTH(S158),DAY(S158))-DATE(2016,1,1)+1,1)</f>
        <v>22</v>
      </c>
      <c r="W158" s="176" t="e">
        <f>IF(T!$A$4&lt;MONTH(S158),VLOOKUP(S158,'[8]Podklady MZ'!$R$2:$S$367,2,FALSE),NA())</f>
        <v>#N/A</v>
      </c>
    </row>
    <row r="159" spans="19:23" x14ac:dyDescent="0.2">
      <c r="S159" s="76">
        <f t="shared" si="2"/>
        <v>42162</v>
      </c>
      <c r="T159" s="77">
        <f>INDEX([12]ČR!$D$18:$D$383,DATE(2016,MONTH(S159),DAY(S159))-DATE(2016,1,1)+1,1)/1000000</f>
        <v>8.3705384507673894</v>
      </c>
      <c r="U159" s="77">
        <f>IF(T!$A$4&gt;=MONTH(S159),VLOOKUP(S159,'[8]Podklady MZ'!$R$2:$S$367,2,FALSE),NA())</f>
        <v>8.7818334472753126</v>
      </c>
      <c r="V159" s="176">
        <f>INDEX([5]PT!$AF$16:$AF$381,DATE(2016,MONTH(S159),DAY(S159))-DATE(2016,1,1)+1,1)</f>
        <v>21.1</v>
      </c>
      <c r="W159" s="176" t="e">
        <f>IF(T!$A$4&lt;MONTH(S159),VLOOKUP(S159,'[8]Podklady MZ'!$R$2:$S$367,2,FALSE),NA())</f>
        <v>#N/A</v>
      </c>
    </row>
    <row r="160" spans="19:23" x14ac:dyDescent="0.2">
      <c r="S160" s="76">
        <f t="shared" si="2"/>
        <v>42163</v>
      </c>
      <c r="T160" s="77">
        <f>INDEX([12]ČR!$D$18:$D$383,DATE(2016,MONTH(S160),DAY(S160))-DATE(2016,1,1)+1,1)/1000000</f>
        <v>8.5228338222967643</v>
      </c>
      <c r="U160" s="77">
        <f>IF(T!$A$4&gt;=MONTH(S160),VLOOKUP(S160,'[8]Podklady MZ'!$R$2:$S$367,2,FALSE),NA())</f>
        <v>10.694449652365083</v>
      </c>
      <c r="V160" s="176">
        <f>INDEX([5]PT!$AF$16:$AF$381,DATE(2016,MONTH(S160),DAY(S160))-DATE(2016,1,1)+1,1)</f>
        <v>17.3</v>
      </c>
      <c r="W160" s="176" t="e">
        <f>IF(T!$A$4&lt;MONTH(S160),VLOOKUP(S160,'[8]Podklady MZ'!$R$2:$S$367,2,FALSE),NA())</f>
        <v>#N/A</v>
      </c>
    </row>
    <row r="161" spans="19:23" x14ac:dyDescent="0.2">
      <c r="S161" s="76">
        <f t="shared" si="2"/>
        <v>42164</v>
      </c>
      <c r="T161" s="77">
        <f>INDEX([12]ČR!$D$18:$D$383,DATE(2016,MONTH(S161),DAY(S161))-DATE(2016,1,1)+1,1)/1000000</f>
        <v>9.9708936924618925</v>
      </c>
      <c r="U161" s="77">
        <f>IF(T!$A$4&gt;=MONTH(S161),VLOOKUP(S161,'[8]Podklady MZ'!$R$2:$S$367,2,FALSE),NA())</f>
        <v>11.318170860413256</v>
      </c>
      <c r="V161" s="176">
        <f>INDEX([5]PT!$AF$16:$AF$381,DATE(2016,MONTH(S161),DAY(S161))-DATE(2016,1,1)+1,1)</f>
        <v>13.5</v>
      </c>
      <c r="W161" s="176" t="e">
        <f>IF(T!$A$4&lt;MONTH(S161),VLOOKUP(S161,'[8]Podklady MZ'!$R$2:$S$367,2,FALSE),NA())</f>
        <v>#N/A</v>
      </c>
    </row>
    <row r="162" spans="19:23" x14ac:dyDescent="0.2">
      <c r="S162" s="76">
        <f t="shared" si="2"/>
        <v>42165</v>
      </c>
      <c r="T162" s="77">
        <f>INDEX([12]ČR!$D$18:$D$383,DATE(2016,MONTH(S162),DAY(S162))-DATE(2016,1,1)+1,1)/1000000</f>
        <v>10.027914164128793</v>
      </c>
      <c r="U162" s="77">
        <f>IF(T!$A$4&gt;=MONTH(S162),VLOOKUP(S162,'[8]Podklady MZ'!$R$2:$S$367,2,FALSE),NA())</f>
        <v>10.856343232966216</v>
      </c>
      <c r="V162" s="176">
        <f>INDEX([5]PT!$AF$16:$AF$381,DATE(2016,MONTH(S162),DAY(S162))-DATE(2016,1,1)+1,1)</f>
        <v>15.6</v>
      </c>
      <c r="W162" s="176" t="e">
        <f>IF(T!$A$4&lt;MONTH(S162),VLOOKUP(S162,'[8]Podklady MZ'!$R$2:$S$367,2,FALSE),NA())</f>
        <v>#N/A</v>
      </c>
    </row>
    <row r="163" spans="19:23" x14ac:dyDescent="0.2">
      <c r="S163" s="76">
        <f t="shared" si="2"/>
        <v>42166</v>
      </c>
      <c r="T163" s="77">
        <f>INDEX([12]ČR!$D$18:$D$383,DATE(2016,MONTH(S163),DAY(S163))-DATE(2016,1,1)+1,1)/1000000</f>
        <v>10.043812557867874</v>
      </c>
      <c r="U163" s="77">
        <f>IF(T!$A$4&gt;=MONTH(S163),VLOOKUP(S163,'[8]Podklady MZ'!$R$2:$S$367,2,FALSE),NA())</f>
        <v>10.592796184617917</v>
      </c>
      <c r="V163" s="176">
        <f>INDEX([5]PT!$AF$16:$AF$381,DATE(2016,MONTH(S163),DAY(S163))-DATE(2016,1,1)+1,1)</f>
        <v>18.399999999999999</v>
      </c>
      <c r="W163" s="176" t="e">
        <f>IF(T!$A$4&lt;MONTH(S163),VLOOKUP(S163,'[8]Podklady MZ'!$R$2:$S$367,2,FALSE),NA())</f>
        <v>#N/A</v>
      </c>
    </row>
    <row r="164" spans="19:23" x14ac:dyDescent="0.2">
      <c r="S164" s="76">
        <f t="shared" si="2"/>
        <v>42167</v>
      </c>
      <c r="T164" s="77">
        <f>INDEX([12]ČR!$D$18:$D$383,DATE(2016,MONTH(S164),DAY(S164))-DATE(2016,1,1)+1,1)/1000000</f>
        <v>10.241127851957762</v>
      </c>
      <c r="U164" s="77">
        <f>IF(T!$A$4&gt;=MONTH(S164),VLOOKUP(S164,'[8]Podklady MZ'!$R$2:$S$367,2,FALSE),NA())</f>
        <v>9.7578283784183615</v>
      </c>
      <c r="V164" s="176">
        <f>INDEX([5]PT!$AF$16:$AF$381,DATE(2016,MONTH(S164),DAY(S164))-DATE(2016,1,1)+1,1)</f>
        <v>22.2</v>
      </c>
      <c r="W164" s="176" t="e">
        <f>IF(T!$A$4&lt;MONTH(S164),VLOOKUP(S164,'[8]Podklady MZ'!$R$2:$S$367,2,FALSE),NA())</f>
        <v>#N/A</v>
      </c>
    </row>
    <row r="165" spans="19:23" x14ac:dyDescent="0.2">
      <c r="S165" s="76">
        <f t="shared" si="2"/>
        <v>42168</v>
      </c>
      <c r="T165" s="77">
        <f>INDEX([12]ČR!$D$18:$D$383,DATE(2016,MONTH(S165),DAY(S165))-DATE(2016,1,1)+1,1)/1000000</f>
        <v>9.9643058678718344</v>
      </c>
      <c r="U165" s="77">
        <f>IF(T!$A$4&gt;=MONTH(S165),VLOOKUP(S165,'[8]Podklady MZ'!$R$2:$S$367,2,FALSE),NA())</f>
        <v>8.0874519176162973</v>
      </c>
      <c r="V165" s="176">
        <f>INDEX([5]PT!$AF$16:$AF$381,DATE(2016,MONTH(S165),DAY(S165))-DATE(2016,1,1)+1,1)</f>
        <v>21</v>
      </c>
      <c r="W165" s="176" t="e">
        <f>IF(T!$A$4&lt;MONTH(S165),VLOOKUP(S165,'[8]Podklady MZ'!$R$2:$S$367,2,FALSE),NA())</f>
        <v>#N/A</v>
      </c>
    </row>
    <row r="166" spans="19:23" x14ac:dyDescent="0.2">
      <c r="S166" s="76">
        <f t="shared" si="2"/>
        <v>42169</v>
      </c>
      <c r="T166" s="77">
        <f>INDEX([12]ČR!$D$18:$D$383,DATE(2016,MONTH(S166),DAY(S166))-DATE(2016,1,1)+1,1)/1000000</f>
        <v>8.3940769619728677</v>
      </c>
      <c r="U166" s="77">
        <f>IF(T!$A$4&gt;=MONTH(S166),VLOOKUP(S166,'[8]Podklady MZ'!$R$2:$S$367,2,FALSE),NA())</f>
        <v>8.3527232431608116</v>
      </c>
      <c r="V166" s="176">
        <f>INDEX([5]PT!$AF$16:$AF$381,DATE(2016,MONTH(S166),DAY(S166))-DATE(2016,1,1)+1,1)</f>
        <v>19.5</v>
      </c>
      <c r="W166" s="176" t="e">
        <f>IF(T!$A$4&lt;MONTH(S166),VLOOKUP(S166,'[8]Podklady MZ'!$R$2:$S$367,2,FALSE),NA())</f>
        <v>#N/A</v>
      </c>
    </row>
    <row r="167" spans="19:23" x14ac:dyDescent="0.2">
      <c r="S167" s="76">
        <f t="shared" si="2"/>
        <v>42170</v>
      </c>
      <c r="T167" s="77">
        <f>INDEX([12]ČR!$D$18:$D$383,DATE(2016,MONTH(S167),DAY(S167))-DATE(2016,1,1)+1,1)/1000000</f>
        <v>8.9615799963818166</v>
      </c>
      <c r="U167" s="77">
        <f>IF(T!$A$4&gt;=MONTH(S167),VLOOKUP(S167,'[8]Podklady MZ'!$R$2:$S$367,2,FALSE),NA())</f>
        <v>10.533784697160701</v>
      </c>
      <c r="V167" s="176">
        <f>INDEX([5]PT!$AF$16:$AF$381,DATE(2016,MONTH(S167),DAY(S167))-DATE(2016,1,1)+1,1)</f>
        <v>16</v>
      </c>
      <c r="W167" s="176" t="e">
        <f>IF(T!$A$4&lt;MONTH(S167),VLOOKUP(S167,'[8]Podklady MZ'!$R$2:$S$367,2,FALSE),NA())</f>
        <v>#N/A</v>
      </c>
    </row>
    <row r="168" spans="19:23" x14ac:dyDescent="0.2">
      <c r="S168" s="76">
        <f t="shared" si="2"/>
        <v>42171</v>
      </c>
      <c r="T168" s="77">
        <f>INDEX([12]ČR!$D$18:$D$383,DATE(2016,MONTH(S168),DAY(S168))-DATE(2016,1,1)+1,1)/1000000</f>
        <v>10.34683262302074</v>
      </c>
      <c r="U168" s="77">
        <f>IF(T!$A$4&gt;=MONTH(S168),VLOOKUP(S168,'[8]Podklady MZ'!$R$2:$S$367,2,FALSE),NA())</f>
        <v>11.051272942360116</v>
      </c>
      <c r="V168" s="176">
        <f>INDEX([5]PT!$AF$16:$AF$381,DATE(2016,MONTH(S168),DAY(S168))-DATE(2016,1,1)+1,1)</f>
        <v>14.5</v>
      </c>
      <c r="W168" s="176" t="e">
        <f>IF(T!$A$4&lt;MONTH(S168),VLOOKUP(S168,'[8]Podklady MZ'!$R$2:$S$367,2,FALSE),NA())</f>
        <v>#N/A</v>
      </c>
    </row>
    <row r="169" spans="19:23" x14ac:dyDescent="0.2">
      <c r="S169" s="76">
        <f t="shared" si="2"/>
        <v>42172</v>
      </c>
      <c r="T169" s="77">
        <f>INDEX([12]ČR!$D$18:$D$383,DATE(2016,MONTH(S169),DAY(S169))-DATE(2016,1,1)+1,1)/1000000</f>
        <v>10.760986581887041</v>
      </c>
      <c r="U169" s="77">
        <f>IF(T!$A$4&gt;=MONTH(S169),VLOOKUP(S169,'[8]Podklady MZ'!$R$2:$S$367,2,FALSE),NA())</f>
        <v>11.171552968152533</v>
      </c>
      <c r="V169" s="176">
        <f>INDEX([5]PT!$AF$16:$AF$381,DATE(2016,MONTH(S169),DAY(S169))-DATE(2016,1,1)+1,1)</f>
        <v>12.3</v>
      </c>
      <c r="W169" s="176" t="e">
        <f>IF(T!$A$4&lt;MONTH(S169),VLOOKUP(S169,'[8]Podklady MZ'!$R$2:$S$367,2,FALSE),NA())</f>
        <v>#N/A</v>
      </c>
    </row>
    <row r="170" spans="19:23" x14ac:dyDescent="0.2">
      <c r="S170" s="76">
        <f t="shared" si="2"/>
        <v>42173</v>
      </c>
      <c r="T170" s="77">
        <f>INDEX([12]ČR!$D$18:$D$383,DATE(2016,MONTH(S170),DAY(S170))-DATE(2016,1,1)+1,1)/1000000</f>
        <v>10.600526513886642</v>
      </c>
      <c r="U170" s="77">
        <f>IF(T!$A$4&gt;=MONTH(S170),VLOOKUP(S170,'[8]Podklady MZ'!$R$2:$S$367,2,FALSE),NA())</f>
        <v>11.287807611347086</v>
      </c>
      <c r="V170" s="176">
        <f>INDEX([5]PT!$AF$16:$AF$381,DATE(2016,MONTH(S170),DAY(S170))-DATE(2016,1,1)+1,1)</f>
        <v>15</v>
      </c>
      <c r="W170" s="176" t="e">
        <f>IF(T!$A$4&lt;MONTH(S170),VLOOKUP(S170,'[8]Podklady MZ'!$R$2:$S$367,2,FALSE),NA())</f>
        <v>#N/A</v>
      </c>
    </row>
    <row r="171" spans="19:23" x14ac:dyDescent="0.2">
      <c r="S171" s="76">
        <f t="shared" si="2"/>
        <v>42174</v>
      </c>
      <c r="T171" s="77">
        <f>INDEX([12]ČR!$D$18:$D$383,DATE(2016,MONTH(S171),DAY(S171))-DATE(2016,1,1)+1,1)/1000000</f>
        <v>10.714300434425487</v>
      </c>
      <c r="U171" s="77">
        <f>IF(T!$A$4&gt;=MONTH(S171),VLOOKUP(S171,'[8]Podklady MZ'!$R$2:$S$367,2,FALSE),NA())</f>
        <v>11.221964926447567</v>
      </c>
      <c r="V171" s="176">
        <f>INDEX([5]PT!$AF$16:$AF$381,DATE(2016,MONTH(S171),DAY(S171))-DATE(2016,1,1)+1,1)</f>
        <v>11.9</v>
      </c>
      <c r="W171" s="176" t="e">
        <f>IF(T!$A$4&lt;MONTH(S171),VLOOKUP(S171,'[8]Podklady MZ'!$R$2:$S$367,2,FALSE),NA())</f>
        <v>#N/A</v>
      </c>
    </row>
    <row r="172" spans="19:23" x14ac:dyDescent="0.2">
      <c r="S172" s="76">
        <f t="shared" si="2"/>
        <v>42175</v>
      </c>
      <c r="T172" s="77">
        <f>INDEX([12]ČR!$D$18:$D$383,DATE(2016,MONTH(S172),DAY(S172))-DATE(2016,1,1)+1,1)/1000000</f>
        <v>10.506713240675518</v>
      </c>
      <c r="U172" s="77">
        <f>IF(T!$A$4&gt;=MONTH(S172),VLOOKUP(S172,'[8]Podklady MZ'!$R$2:$S$367,2,FALSE),NA())</f>
        <v>9.6320657383782624</v>
      </c>
      <c r="V172" s="176">
        <f>INDEX([5]PT!$AF$16:$AF$381,DATE(2016,MONTH(S172),DAY(S172))-DATE(2016,1,1)+1,1)</f>
        <v>11</v>
      </c>
      <c r="W172" s="176" t="e">
        <f>IF(T!$A$4&lt;MONTH(S172),VLOOKUP(S172,'[8]Podklady MZ'!$R$2:$S$367,2,FALSE),NA())</f>
        <v>#N/A</v>
      </c>
    </row>
    <row r="173" spans="19:23" x14ac:dyDescent="0.2">
      <c r="S173" s="76">
        <f t="shared" si="2"/>
        <v>42176</v>
      </c>
      <c r="T173" s="77">
        <f>INDEX([12]ČR!$D$18:$D$383,DATE(2016,MONTH(S173),DAY(S173))-DATE(2016,1,1)+1,1)/1000000</f>
        <v>9.0132577703847474</v>
      </c>
      <c r="U173" s="77">
        <f>IF(T!$A$4&gt;=MONTH(S173),VLOOKUP(S173,'[8]Podklady MZ'!$R$2:$S$367,2,FALSE),NA())</f>
        <v>10.068684557840834</v>
      </c>
      <c r="V173" s="176">
        <f>INDEX([5]PT!$AF$16:$AF$381,DATE(2016,MONTH(S173),DAY(S173))-DATE(2016,1,1)+1,1)</f>
        <v>12.5</v>
      </c>
      <c r="W173" s="176" t="e">
        <f>IF(T!$A$4&lt;MONTH(S173),VLOOKUP(S173,'[8]Podklady MZ'!$R$2:$S$367,2,FALSE),NA())</f>
        <v>#N/A</v>
      </c>
    </row>
    <row r="174" spans="19:23" x14ac:dyDescent="0.2">
      <c r="S174" s="76">
        <f t="shared" si="2"/>
        <v>42177</v>
      </c>
      <c r="T174" s="77">
        <f>INDEX([12]ČR!$D$18:$D$383,DATE(2016,MONTH(S174),DAY(S174))-DATE(2016,1,1)+1,1)/1000000</f>
        <v>9.3324508634722037</v>
      </c>
      <c r="U174" s="77">
        <f>IF(T!$A$4&gt;=MONTH(S174),VLOOKUP(S174,'[8]Podklady MZ'!$R$2:$S$367,2,FALSE),NA())</f>
        <v>11.900793448201846</v>
      </c>
      <c r="V174" s="176">
        <f>INDEX([5]PT!$AF$16:$AF$381,DATE(2016,MONTH(S174),DAY(S174))-DATE(2016,1,1)+1,1)</f>
        <v>13.7</v>
      </c>
      <c r="W174" s="176" t="e">
        <f>IF(T!$A$4&lt;MONTH(S174),VLOOKUP(S174,'[8]Podklady MZ'!$R$2:$S$367,2,FALSE),NA())</f>
        <v>#N/A</v>
      </c>
    </row>
    <row r="175" spans="19:23" x14ac:dyDescent="0.2">
      <c r="S175" s="76">
        <f t="shared" si="2"/>
        <v>42178</v>
      </c>
      <c r="T175" s="77">
        <f>INDEX([12]ČR!$D$18:$D$383,DATE(2016,MONTH(S175),DAY(S175))-DATE(2016,1,1)+1,1)/1000000</f>
        <v>10.792906177955933</v>
      </c>
      <c r="U175" s="77">
        <f>IF(T!$A$4&gt;=MONTH(S175),VLOOKUP(S175,'[8]Podklady MZ'!$R$2:$S$367,2,FALSE),NA())</f>
        <v>12.514668333493278</v>
      </c>
      <c r="V175" s="176">
        <f>INDEX([5]PT!$AF$16:$AF$381,DATE(2016,MONTH(S175),DAY(S175))-DATE(2016,1,1)+1,1)</f>
        <v>12</v>
      </c>
      <c r="W175" s="176" t="e">
        <f>IF(T!$A$4&lt;MONTH(S175),VLOOKUP(S175,'[8]Podklady MZ'!$R$2:$S$367,2,FALSE),NA())</f>
        <v>#N/A</v>
      </c>
    </row>
    <row r="176" spans="19:23" x14ac:dyDescent="0.2">
      <c r="S176" s="76">
        <f t="shared" si="2"/>
        <v>42179</v>
      </c>
      <c r="T176" s="77">
        <f>INDEX([12]ČR!$D$18:$D$383,DATE(2016,MONTH(S176),DAY(S176))-DATE(2016,1,1)+1,1)/1000000</f>
        <v>10.892712800524903</v>
      </c>
      <c r="U176" s="77">
        <f>IF(T!$A$4&gt;=MONTH(S176),VLOOKUP(S176,'[8]Podklady MZ'!$R$2:$S$367,2,FALSE),NA())</f>
        <v>12.524604969460771</v>
      </c>
      <c r="V176" s="176">
        <f>INDEX([5]PT!$AF$16:$AF$381,DATE(2016,MONTH(S176),DAY(S176))-DATE(2016,1,1)+1,1)</f>
        <v>12.8</v>
      </c>
      <c r="W176" s="176" t="e">
        <f>IF(T!$A$4&lt;MONTH(S176),VLOOKUP(S176,'[8]Podklady MZ'!$R$2:$S$367,2,FALSE),NA())</f>
        <v>#N/A</v>
      </c>
    </row>
    <row r="177" spans="19:23" x14ac:dyDescent="0.2">
      <c r="S177" s="76">
        <f t="shared" si="2"/>
        <v>42180</v>
      </c>
      <c r="T177" s="77">
        <f>INDEX([12]ČR!$D$18:$D$383,DATE(2016,MONTH(S177),DAY(S177))-DATE(2016,1,1)+1,1)/1000000</f>
        <v>11.272654750154253</v>
      </c>
      <c r="U177" s="77">
        <f>IF(T!$A$4&gt;=MONTH(S177),VLOOKUP(S177,'[8]Podklady MZ'!$R$2:$S$367,2,FALSE),NA())</f>
        <v>11.591579537906711</v>
      </c>
      <c r="V177" s="176">
        <f>INDEX([5]PT!$AF$16:$AF$381,DATE(2016,MONTH(S177),DAY(S177))-DATE(2016,1,1)+1,1)</f>
        <v>15.3</v>
      </c>
      <c r="W177" s="176" t="e">
        <f>IF(T!$A$4&lt;MONTH(S177),VLOOKUP(S177,'[8]Podklady MZ'!$R$2:$S$367,2,FALSE),NA())</f>
        <v>#N/A</v>
      </c>
    </row>
    <row r="178" spans="19:23" x14ac:dyDescent="0.2">
      <c r="S178" s="76">
        <f t="shared" si="2"/>
        <v>42181</v>
      </c>
      <c r="T178" s="77">
        <f>INDEX([12]ČR!$D$18:$D$383,DATE(2016,MONTH(S178),DAY(S178))-DATE(2016,1,1)+1,1)/1000000</f>
        <v>11.411749418376143</v>
      </c>
      <c r="U178" s="77">
        <f>IF(T!$A$4&gt;=MONTH(S178),VLOOKUP(S178,'[8]Podklady MZ'!$R$2:$S$367,2,FALSE),NA())</f>
        <v>10.491096429598116</v>
      </c>
      <c r="V178" s="176">
        <f>INDEX([5]PT!$AF$16:$AF$381,DATE(2016,MONTH(S178),DAY(S178))-DATE(2016,1,1)+1,1)</f>
        <v>18.2</v>
      </c>
      <c r="W178" s="176" t="e">
        <f>IF(T!$A$4&lt;MONTH(S178),VLOOKUP(S178,'[8]Podklady MZ'!$R$2:$S$367,2,FALSE),NA())</f>
        <v>#N/A</v>
      </c>
    </row>
    <row r="179" spans="19:23" x14ac:dyDescent="0.2">
      <c r="S179" s="76">
        <f t="shared" si="2"/>
        <v>42182</v>
      </c>
      <c r="T179" s="77">
        <f>INDEX([12]ČR!$D$18:$D$383,DATE(2016,MONTH(S179),DAY(S179))-DATE(2016,1,1)+1,1)/1000000</f>
        <v>10.932077565583153</v>
      </c>
      <c r="U179" s="77">
        <f>IF(T!$A$4&gt;=MONTH(S179),VLOOKUP(S179,'[8]Podklady MZ'!$R$2:$S$367,2,FALSE),NA())</f>
        <v>8.9860592689411707</v>
      </c>
      <c r="V179" s="176">
        <f>INDEX([5]PT!$AF$16:$AF$381,DATE(2016,MONTH(S179),DAY(S179))-DATE(2016,1,1)+1,1)</f>
        <v>17.2</v>
      </c>
      <c r="W179" s="176" t="e">
        <f>IF(T!$A$4&lt;MONTH(S179),VLOOKUP(S179,'[8]Podklady MZ'!$R$2:$S$367,2,FALSE),NA())</f>
        <v>#N/A</v>
      </c>
    </row>
    <row r="180" spans="19:23" x14ac:dyDescent="0.2">
      <c r="S180" s="76">
        <f t="shared" si="2"/>
        <v>42183</v>
      </c>
      <c r="T180" s="77">
        <f>INDEX([12]ČR!$D$18:$D$383,DATE(2016,MONTH(S180),DAY(S180))-DATE(2016,1,1)+1,1)/1000000</f>
        <v>9.1549912511486013</v>
      </c>
      <c r="U180" s="77">
        <f>IF(T!$A$4&gt;=MONTH(S180),VLOOKUP(S180,'[8]Podklady MZ'!$R$2:$S$367,2,FALSE),NA())</f>
        <v>9.2388504465816332</v>
      </c>
      <c r="V180" s="176">
        <f>INDEX([5]PT!$AF$16:$AF$381,DATE(2016,MONTH(S180),DAY(S180))-DATE(2016,1,1)+1,1)</f>
        <v>16.2</v>
      </c>
      <c r="W180" s="176" t="e">
        <f>IF(T!$A$4&lt;MONTH(S180),VLOOKUP(S180,'[8]Podklady MZ'!$R$2:$S$367,2,FALSE),NA())</f>
        <v>#N/A</v>
      </c>
    </row>
    <row r="181" spans="19:23" x14ac:dyDescent="0.2">
      <c r="S181" s="76">
        <f t="shared" si="2"/>
        <v>42184</v>
      </c>
      <c r="T181" s="77">
        <f>INDEX([12]ČR!$D$18:$D$383,DATE(2016,MONTH(S181),DAY(S181))-DATE(2016,1,1)+1,1)/1000000</f>
        <v>9.5811525882221371</v>
      </c>
      <c r="U181" s="77">
        <f>IF(T!$A$4&gt;=MONTH(S181),VLOOKUP(S181,'[8]Podklady MZ'!$R$2:$S$367,2,FALSE),NA())</f>
        <v>11.076462548321208</v>
      </c>
      <c r="V181" s="176">
        <f>INDEX([5]PT!$AF$16:$AF$381,DATE(2016,MONTH(S181),DAY(S181))-DATE(2016,1,1)+1,1)</f>
        <v>16.8</v>
      </c>
      <c r="W181" s="176" t="e">
        <f>IF(T!$A$4&lt;MONTH(S181),VLOOKUP(S181,'[8]Podklady MZ'!$R$2:$S$367,2,FALSE),NA())</f>
        <v>#N/A</v>
      </c>
    </row>
    <row r="182" spans="19:23" x14ac:dyDescent="0.2">
      <c r="S182" s="76">
        <f t="shared" si="2"/>
        <v>42185</v>
      </c>
      <c r="T182" s="77">
        <f>INDEX([12]ČR!$D$18:$D$383,DATE(2016,MONTH(S182),DAY(S182))-DATE(2016,1,1)+1,1)/1000000</f>
        <v>11.38615884981731</v>
      </c>
      <c r="U182" s="77">
        <f>IF(T!$A$4&gt;=MONTH(S182),VLOOKUP(S182,'[8]Podklady MZ'!$R$2:$S$367,2,FALSE),NA())</f>
        <v>10.832951940338289</v>
      </c>
      <c r="V182" s="176">
        <f>INDEX([5]PT!$AF$16:$AF$381,DATE(2016,MONTH(S182),DAY(S182))-DATE(2016,1,1)+1,1)</f>
        <v>19.399999999999999</v>
      </c>
      <c r="W182" s="176" t="e">
        <f>IF(T!$A$4&lt;MONTH(S182),VLOOKUP(S182,'[8]Podklady MZ'!$R$2:$S$367,2,FALSE),NA())</f>
        <v>#N/A</v>
      </c>
    </row>
    <row r="183" spans="19:23" x14ac:dyDescent="0.2">
      <c r="S183" s="76">
        <f t="shared" si="2"/>
        <v>42186</v>
      </c>
      <c r="T183" s="77">
        <f>INDEX([12]ČR!$D$18:$D$383,DATE(2016,MONTH(S183),DAY(S183))-DATE(2016,1,1)+1,1)/1000000</f>
        <v>11.058233001489125</v>
      </c>
      <c r="U183" s="77">
        <f>IF(T!$A$4&gt;=MONTH(S183),VLOOKUP(S183,'[8]Podklady MZ'!$R$2:$S$367,2,FALSE),NA())</f>
        <v>10.568222416653482</v>
      </c>
      <c r="V183" s="176">
        <f>INDEX([5]PT!$AF$16:$AF$381,DATE(2016,MONTH(S183),DAY(S183))-DATE(2016,1,1)+1,1)</f>
        <v>21.2</v>
      </c>
      <c r="W183" s="176" t="e">
        <f>IF(T!$A$4&lt;MONTH(S183),VLOOKUP(S183,'[8]Podklady MZ'!$R$2:$S$367,2,FALSE),NA())</f>
        <v>#N/A</v>
      </c>
    </row>
    <row r="184" spans="19:23" x14ac:dyDescent="0.2">
      <c r="S184" s="76">
        <f t="shared" si="2"/>
        <v>42187</v>
      </c>
      <c r="T184" s="77">
        <f>INDEX([12]ČR!$D$18:$D$383,DATE(2016,MONTH(S184),DAY(S184))-DATE(2016,1,1)+1,1)/1000000</f>
        <v>10.945490729591199</v>
      </c>
      <c r="U184" s="77">
        <f>IF(T!$A$4&gt;=MONTH(S184),VLOOKUP(S184,'[8]Podklady MZ'!$R$2:$S$367,2,FALSE),NA())</f>
        <v>10.252008199334703</v>
      </c>
      <c r="V184" s="176">
        <f>INDEX([5]PT!$AF$16:$AF$381,DATE(2016,MONTH(S184),DAY(S184))-DATE(2016,1,1)+1,1)</f>
        <v>22</v>
      </c>
      <c r="W184" s="176" t="e">
        <f>IF(T!$A$4&lt;MONTH(S184),VLOOKUP(S184,'[8]Podklady MZ'!$R$2:$S$367,2,FALSE),NA())</f>
        <v>#N/A</v>
      </c>
    </row>
    <row r="185" spans="19:23" x14ac:dyDescent="0.2">
      <c r="S185" s="76">
        <f t="shared" si="2"/>
        <v>42188</v>
      </c>
      <c r="T185" s="77">
        <f>INDEX([12]ČR!$D$18:$D$383,DATE(2016,MONTH(S185),DAY(S185))-DATE(2016,1,1)+1,1)/1000000</f>
        <v>10.600033656597127</v>
      </c>
      <c r="U185" s="77">
        <f>IF(T!$A$4&gt;=MONTH(S185),VLOOKUP(S185,'[8]Podklady MZ'!$R$2:$S$367,2,FALSE),NA())</f>
        <v>9.4581659337544721</v>
      </c>
      <c r="V185" s="176">
        <f>INDEX([5]PT!$AF$16:$AF$381,DATE(2016,MONTH(S185),DAY(S185))-DATE(2016,1,1)+1,1)</f>
        <v>23.3</v>
      </c>
      <c r="W185" s="176" t="e">
        <f>IF(T!$A$4&lt;MONTH(S185),VLOOKUP(S185,'[8]Podklady MZ'!$R$2:$S$367,2,FALSE),NA())</f>
        <v>#N/A</v>
      </c>
    </row>
    <row r="186" spans="19:23" x14ac:dyDescent="0.2">
      <c r="S186" s="76">
        <f t="shared" si="2"/>
        <v>42189</v>
      </c>
      <c r="T186" s="77">
        <f>INDEX([12]ČR!$D$18:$D$383,DATE(2016,MONTH(S186),DAY(S186))-DATE(2016,1,1)+1,1)/1000000</f>
        <v>11.433981814725991</v>
      </c>
      <c r="U186" s="77">
        <f>IF(T!$A$4&gt;=MONTH(S186),VLOOKUP(S186,'[8]Podklady MZ'!$R$2:$S$367,2,FALSE),NA())</f>
        <v>7.7685839626013005</v>
      </c>
      <c r="V186" s="176">
        <f>INDEX([5]PT!$AF$16:$AF$381,DATE(2016,MONTH(S186),DAY(S186))-DATE(2016,1,1)+1,1)</f>
        <v>24.5</v>
      </c>
      <c r="W186" s="176" t="e">
        <f>IF(T!$A$4&lt;MONTH(S186),VLOOKUP(S186,'[8]Podklady MZ'!$R$2:$S$367,2,FALSE),NA())</f>
        <v>#N/A</v>
      </c>
    </row>
    <row r="187" spans="19:23" x14ac:dyDescent="0.2">
      <c r="S187" s="76">
        <f t="shared" si="2"/>
        <v>42190</v>
      </c>
      <c r="T187" s="77">
        <f>INDEX([12]ČR!$D$18:$D$383,DATE(2016,MONTH(S187),DAY(S187))-DATE(2016,1,1)+1,1)/1000000</f>
        <v>8.4934816050281814</v>
      </c>
      <c r="U187" s="77">
        <f>IF(T!$A$4&gt;=MONTH(S187),VLOOKUP(S187,'[8]Podklady MZ'!$R$2:$S$367,2,FALSE),NA())</f>
        <v>7.4815198200827711</v>
      </c>
      <c r="V187" s="176">
        <f>INDEX([5]PT!$AF$16:$AF$381,DATE(2016,MONTH(S187),DAY(S187))-DATE(2016,1,1)+1,1)</f>
        <v>25.8</v>
      </c>
      <c r="W187" s="176" t="e">
        <f>IF(T!$A$4&lt;MONTH(S187),VLOOKUP(S187,'[8]Podklady MZ'!$R$2:$S$367,2,FALSE),NA())</f>
        <v>#N/A</v>
      </c>
    </row>
    <row r="188" spans="19:23" x14ac:dyDescent="0.2">
      <c r="S188" s="76">
        <f t="shared" si="2"/>
        <v>42191</v>
      </c>
      <c r="T188" s="77">
        <f>INDEX([12]ČR!$D$18:$D$383,DATE(2016,MONTH(S188),DAY(S188))-DATE(2016,1,1)+1,1)/1000000</f>
        <v>8.8607905231701647</v>
      </c>
      <c r="U188" s="77">
        <f>IF(T!$A$4&gt;=MONTH(S188),VLOOKUP(S188,'[8]Podklady MZ'!$R$2:$S$367,2,FALSE),NA())</f>
        <v>8.3956674696080977</v>
      </c>
      <c r="V188" s="176">
        <f>INDEX([5]PT!$AF$16:$AF$381,DATE(2016,MONTH(S188),DAY(S188))-DATE(2016,1,1)+1,1)</f>
        <v>24</v>
      </c>
      <c r="W188" s="176" t="e">
        <f>IF(T!$A$4&lt;MONTH(S188),VLOOKUP(S188,'[8]Podklady MZ'!$R$2:$S$367,2,FALSE),NA())</f>
        <v>#N/A</v>
      </c>
    </row>
    <row r="189" spans="19:23" x14ac:dyDescent="0.2">
      <c r="S189" s="76">
        <f t="shared" si="2"/>
        <v>42192</v>
      </c>
      <c r="T189" s="77">
        <f>INDEX([12]ČR!$D$18:$D$383,DATE(2016,MONTH(S189),DAY(S189))-DATE(2016,1,1)+1,1)/1000000</f>
        <v>10.346897647948978</v>
      </c>
      <c r="U189" s="77">
        <f>IF(T!$A$4&gt;=MONTH(S189),VLOOKUP(S189,'[8]Podklady MZ'!$R$2:$S$367,2,FALSE),NA())</f>
        <v>9.7410070359215304</v>
      </c>
      <c r="V189" s="176">
        <f>INDEX([5]PT!$AF$16:$AF$381,DATE(2016,MONTH(S189),DAY(S189))-DATE(2016,1,1)+1,1)</f>
        <v>26.5</v>
      </c>
      <c r="W189" s="176" t="e">
        <f>IF(T!$A$4&lt;MONTH(S189),VLOOKUP(S189,'[8]Podklady MZ'!$R$2:$S$367,2,FALSE),NA())</f>
        <v>#N/A</v>
      </c>
    </row>
    <row r="190" spans="19:23" x14ac:dyDescent="0.2">
      <c r="S190" s="76">
        <f t="shared" si="2"/>
        <v>42193</v>
      </c>
      <c r="T190" s="77">
        <f>INDEX([12]ČR!$D$18:$D$383,DATE(2016,MONTH(S190),DAY(S190))-DATE(2016,1,1)+1,1)/1000000</f>
        <v>10.041092456549947</v>
      </c>
      <c r="U190" s="77">
        <f>IF(T!$A$4&gt;=MONTH(S190),VLOOKUP(S190,'[8]Podklady MZ'!$R$2:$S$367,2,FALSE),NA())</f>
        <v>10.124209009856298</v>
      </c>
      <c r="V190" s="176">
        <f>INDEX([5]PT!$AF$16:$AF$381,DATE(2016,MONTH(S190),DAY(S190))-DATE(2016,1,1)+1,1)</f>
        <v>18.600000000000001</v>
      </c>
      <c r="W190" s="176" t="e">
        <f>IF(T!$A$4&lt;MONTH(S190),VLOOKUP(S190,'[8]Podklady MZ'!$R$2:$S$367,2,FALSE),NA())</f>
        <v>#N/A</v>
      </c>
    </row>
    <row r="191" spans="19:23" x14ac:dyDescent="0.2">
      <c r="S191" s="76">
        <f t="shared" si="2"/>
        <v>42194</v>
      </c>
      <c r="T191" s="77">
        <f>INDEX([12]ČR!$D$18:$D$383,DATE(2016,MONTH(S191),DAY(S191))-DATE(2016,1,1)+1,1)/1000000</f>
        <v>10.599996532461025</v>
      </c>
      <c r="U191" s="77">
        <f>IF(T!$A$4&gt;=MONTH(S191),VLOOKUP(S191,'[8]Podklady MZ'!$R$2:$S$367,2,FALSE),NA())</f>
        <v>10.304019398838161</v>
      </c>
      <c r="V191" s="176">
        <f>INDEX([5]PT!$AF$16:$AF$381,DATE(2016,MONTH(S191),DAY(S191))-DATE(2016,1,1)+1,1)</f>
        <v>14.5</v>
      </c>
      <c r="W191" s="176" t="e">
        <f>IF(T!$A$4&lt;MONTH(S191),VLOOKUP(S191,'[8]Podklady MZ'!$R$2:$S$367,2,FALSE),NA())</f>
        <v>#N/A</v>
      </c>
    </row>
    <row r="192" spans="19:23" x14ac:dyDescent="0.2">
      <c r="S192" s="76">
        <f t="shared" si="2"/>
        <v>42195</v>
      </c>
      <c r="T192" s="77">
        <f>INDEX([12]ČR!$D$18:$D$383,DATE(2016,MONTH(S192),DAY(S192))-DATE(2016,1,1)+1,1)/1000000</f>
        <v>12.823204404477016</v>
      </c>
      <c r="U192" s="77">
        <f>IF(T!$A$4&gt;=MONTH(S192),VLOOKUP(S192,'[8]Podklady MZ'!$R$2:$S$367,2,FALSE),NA())</f>
        <v>10.221858257142756</v>
      </c>
      <c r="V192" s="176">
        <f>INDEX([5]PT!$AF$16:$AF$381,DATE(2016,MONTH(S192),DAY(S192))-DATE(2016,1,1)+1,1)</f>
        <v>14.6</v>
      </c>
      <c r="W192" s="176" t="e">
        <f>IF(T!$A$4&lt;MONTH(S192),VLOOKUP(S192,'[8]Podklady MZ'!$R$2:$S$367,2,FALSE),NA())</f>
        <v>#N/A</v>
      </c>
    </row>
    <row r="193" spans="19:23" x14ac:dyDescent="0.2">
      <c r="S193" s="76">
        <f t="shared" si="2"/>
        <v>42196</v>
      </c>
      <c r="T193" s="77">
        <f>INDEX([12]ČR!$D$18:$D$383,DATE(2016,MONTH(S193),DAY(S193))-DATE(2016,1,1)+1,1)/1000000</f>
        <v>12.0528210143035</v>
      </c>
      <c r="U193" s="77">
        <f>IF(T!$A$4&gt;=MONTH(S193),VLOOKUP(S193,'[8]Podklady MZ'!$R$2:$S$367,2,FALSE),NA())</f>
        <v>8.3894033132418855</v>
      </c>
      <c r="V193" s="176">
        <f>INDEX([5]PT!$AF$16:$AF$381,DATE(2016,MONTH(S193),DAY(S193))-DATE(2016,1,1)+1,1)</f>
        <v>17.7</v>
      </c>
      <c r="W193" s="176" t="e">
        <f>IF(T!$A$4&lt;MONTH(S193),VLOOKUP(S193,'[8]Podklady MZ'!$R$2:$S$367,2,FALSE),NA())</f>
        <v>#N/A</v>
      </c>
    </row>
    <row r="194" spans="19:23" x14ac:dyDescent="0.2">
      <c r="S194" s="76">
        <f t="shared" si="2"/>
        <v>42197</v>
      </c>
      <c r="T194" s="77">
        <f>INDEX([12]ČR!$D$18:$D$383,DATE(2016,MONTH(S194),DAY(S194))-DATE(2016,1,1)+1,1)/1000000</f>
        <v>9.5699875809135833</v>
      </c>
      <c r="U194" s="77">
        <f>IF(T!$A$4&gt;=MONTH(S194),VLOOKUP(S194,'[8]Podklady MZ'!$R$2:$S$367,2,FALSE),NA())</f>
        <v>8.3843553337064272</v>
      </c>
      <c r="V194" s="176">
        <f>INDEX([5]PT!$AF$16:$AF$381,DATE(2016,MONTH(S194),DAY(S194))-DATE(2016,1,1)+1,1)</f>
        <v>22</v>
      </c>
      <c r="W194" s="176" t="e">
        <f>IF(T!$A$4&lt;MONTH(S194),VLOOKUP(S194,'[8]Podklady MZ'!$R$2:$S$367,2,FALSE),NA())</f>
        <v>#N/A</v>
      </c>
    </row>
    <row r="195" spans="19:23" x14ac:dyDescent="0.2">
      <c r="S195" s="76">
        <f t="shared" si="2"/>
        <v>42198</v>
      </c>
      <c r="T195" s="77">
        <f>INDEX([12]ČR!$D$18:$D$383,DATE(2016,MONTH(S195),DAY(S195))-DATE(2016,1,1)+1,1)/1000000</f>
        <v>8.6325223799616904</v>
      </c>
      <c r="U195" s="77">
        <f>IF(T!$A$4&gt;=MONTH(S195),VLOOKUP(S195,'[8]Podklady MZ'!$R$2:$S$367,2,FALSE),NA())</f>
        <v>10.601010610209597</v>
      </c>
      <c r="V195" s="176">
        <f>INDEX([5]PT!$AF$16:$AF$381,DATE(2016,MONTH(S195),DAY(S195))-DATE(2016,1,1)+1,1)</f>
        <v>17.399999999999999</v>
      </c>
      <c r="W195" s="176" t="e">
        <f>IF(T!$A$4&lt;MONTH(S195),VLOOKUP(S195,'[8]Podklady MZ'!$R$2:$S$367,2,FALSE),NA())</f>
        <v>#N/A</v>
      </c>
    </row>
    <row r="196" spans="19:23" x14ac:dyDescent="0.2">
      <c r="S196" s="76">
        <f t="shared" ref="S196:S259" si="3">S195+1</f>
        <v>42199</v>
      </c>
      <c r="T196" s="77">
        <f>INDEX([12]ČR!$D$18:$D$383,DATE(2016,MONTH(S196),DAY(S196))-DATE(2016,1,1)+1,1)/1000000</f>
        <v>10.023829644110265</v>
      </c>
      <c r="U196" s="77">
        <f>IF(T!$A$4&gt;=MONTH(S196),VLOOKUP(S196,'[8]Podklady MZ'!$R$2:$S$367,2,FALSE),NA())</f>
        <v>10.208741115734895</v>
      </c>
      <c r="V196" s="176">
        <f>INDEX([5]PT!$AF$16:$AF$381,DATE(2016,MONTH(S196),DAY(S196))-DATE(2016,1,1)+1,1)</f>
        <v>18.600000000000001</v>
      </c>
      <c r="W196" s="176" t="e">
        <f>IF(T!$A$4&lt;MONTH(S196),VLOOKUP(S196,'[8]Podklady MZ'!$R$2:$S$367,2,FALSE),NA())</f>
        <v>#N/A</v>
      </c>
    </row>
    <row r="197" spans="19:23" x14ac:dyDescent="0.2">
      <c r="S197" s="76">
        <f t="shared" si="3"/>
        <v>42200</v>
      </c>
      <c r="T197" s="77">
        <f>INDEX([12]ČR!$D$18:$D$383,DATE(2016,MONTH(S197),DAY(S197))-DATE(2016,1,1)+1,1)/1000000</f>
        <v>9.9774835818951537</v>
      </c>
      <c r="U197" s="77">
        <f>IF(T!$A$4&gt;=MONTH(S197),VLOOKUP(S197,'[8]Podklady MZ'!$R$2:$S$367,2,FALSE),NA())</f>
        <v>12.924143254571844</v>
      </c>
      <c r="V197" s="176">
        <f>INDEX([5]PT!$AF$16:$AF$381,DATE(2016,MONTH(S197),DAY(S197))-DATE(2016,1,1)+1,1)</f>
        <v>19.2</v>
      </c>
      <c r="W197" s="176" t="e">
        <f>IF(T!$A$4&lt;MONTH(S197),VLOOKUP(S197,'[8]Podklady MZ'!$R$2:$S$367,2,FALSE),NA())</f>
        <v>#N/A</v>
      </c>
    </row>
    <row r="198" spans="19:23" x14ac:dyDescent="0.2">
      <c r="S198" s="76">
        <f t="shared" si="3"/>
        <v>42201</v>
      </c>
      <c r="T198" s="77">
        <f>INDEX([12]ČR!$D$18:$D$383,DATE(2016,MONTH(S198),DAY(S198))-DATE(2016,1,1)+1,1)/1000000</f>
        <v>9.9337418028508626</v>
      </c>
      <c r="U198" s="77">
        <f>IF(T!$A$4&gt;=MONTH(S198),VLOOKUP(S198,'[8]Podklady MZ'!$R$2:$S$367,2,FALSE),NA())</f>
        <v>12.551668019700053</v>
      </c>
      <c r="V198" s="176">
        <f>INDEX([5]PT!$AF$16:$AF$381,DATE(2016,MONTH(S198),DAY(S198))-DATE(2016,1,1)+1,1)</f>
        <v>22.7</v>
      </c>
      <c r="W198" s="176" t="e">
        <f>IF(T!$A$4&lt;MONTH(S198),VLOOKUP(S198,'[8]Podklady MZ'!$R$2:$S$367,2,FALSE),NA())</f>
        <v>#N/A</v>
      </c>
    </row>
    <row r="199" spans="19:23" x14ac:dyDescent="0.2">
      <c r="S199" s="76">
        <f t="shared" si="3"/>
        <v>42202</v>
      </c>
      <c r="T199" s="77">
        <f>INDEX([12]ČR!$D$18:$D$383,DATE(2016,MONTH(S199),DAY(S199))-DATE(2016,1,1)+1,1)/1000000</f>
        <v>9.8346370207824485</v>
      </c>
      <c r="U199" s="77">
        <f>IF(T!$A$4&gt;=MONTH(S199),VLOOKUP(S199,'[8]Podklady MZ'!$R$2:$S$367,2,FALSE),NA())</f>
        <v>9.2990339430508389</v>
      </c>
      <c r="V199" s="176">
        <f>INDEX([5]PT!$AF$16:$AF$381,DATE(2016,MONTH(S199),DAY(S199))-DATE(2016,1,1)+1,1)</f>
        <v>24.1</v>
      </c>
      <c r="W199" s="176" t="e">
        <f>IF(T!$A$4&lt;MONTH(S199),VLOOKUP(S199,'[8]Podklady MZ'!$R$2:$S$367,2,FALSE),NA())</f>
        <v>#N/A</v>
      </c>
    </row>
    <row r="200" spans="19:23" x14ac:dyDescent="0.2">
      <c r="S200" s="76">
        <f t="shared" si="3"/>
        <v>42203</v>
      </c>
      <c r="T200" s="77">
        <f>INDEX([12]ČR!$D$18:$D$383,DATE(2016,MONTH(S200),DAY(S200))-DATE(2016,1,1)+1,1)/1000000</f>
        <v>9.1789610460226054</v>
      </c>
      <c r="U200" s="77">
        <f>IF(T!$A$4&gt;=MONTH(S200),VLOOKUP(S200,'[8]Podklady MZ'!$R$2:$S$367,2,FALSE),NA())</f>
        <v>7.6959416619133822</v>
      </c>
      <c r="V200" s="176">
        <f>INDEX([5]PT!$AF$16:$AF$381,DATE(2016,MONTH(S200),DAY(S200))-DATE(2016,1,1)+1,1)</f>
        <v>25.1</v>
      </c>
      <c r="W200" s="176" t="e">
        <f>IF(T!$A$4&lt;MONTH(S200),VLOOKUP(S200,'[8]Podklady MZ'!$R$2:$S$367,2,FALSE),NA())</f>
        <v>#N/A</v>
      </c>
    </row>
    <row r="201" spans="19:23" x14ac:dyDescent="0.2">
      <c r="S201" s="76">
        <f t="shared" si="3"/>
        <v>42204</v>
      </c>
      <c r="T201" s="77">
        <f>INDEX([12]ČR!$D$18:$D$383,DATE(2016,MONTH(S201),DAY(S201))-DATE(2016,1,1)+1,1)/1000000</f>
        <v>7.6722663783172056</v>
      </c>
      <c r="U201" s="77">
        <f>IF(T!$A$4&gt;=MONTH(S201),VLOOKUP(S201,'[8]Podklady MZ'!$R$2:$S$367,2,FALSE),NA())</f>
        <v>8.1498811526718686</v>
      </c>
      <c r="V201" s="176">
        <f>INDEX([5]PT!$AF$16:$AF$381,DATE(2016,MONTH(S201),DAY(S201))-DATE(2016,1,1)+1,1)</f>
        <v>25.4</v>
      </c>
      <c r="W201" s="176" t="e">
        <f>IF(T!$A$4&lt;MONTH(S201),VLOOKUP(S201,'[8]Podklady MZ'!$R$2:$S$367,2,FALSE),NA())</f>
        <v>#N/A</v>
      </c>
    </row>
    <row r="202" spans="19:23" x14ac:dyDescent="0.2">
      <c r="S202" s="76">
        <f t="shared" si="3"/>
        <v>42205</v>
      </c>
      <c r="T202" s="77">
        <f>INDEX([12]ČR!$D$18:$D$383,DATE(2016,MONTH(S202),DAY(S202))-DATE(2016,1,1)+1,1)/1000000</f>
        <v>7.8044073243827974</v>
      </c>
      <c r="U202" s="77">
        <f>IF(T!$A$4&gt;=MONTH(S202),VLOOKUP(S202,'[8]Podklady MZ'!$R$2:$S$367,2,FALSE),NA())</f>
        <v>9.6753351346492096</v>
      </c>
      <c r="V202" s="176">
        <f>INDEX([5]PT!$AF$16:$AF$381,DATE(2016,MONTH(S202),DAY(S202))-DATE(2016,1,1)+1,1)</f>
        <v>22.2</v>
      </c>
      <c r="W202" s="176" t="e">
        <f>IF(T!$A$4&lt;MONTH(S202),VLOOKUP(S202,'[8]Podklady MZ'!$R$2:$S$367,2,FALSE),NA())</f>
        <v>#N/A</v>
      </c>
    </row>
    <row r="203" spans="19:23" x14ac:dyDescent="0.2">
      <c r="S203" s="76">
        <f t="shared" si="3"/>
        <v>42206</v>
      </c>
      <c r="T203" s="77">
        <f>INDEX([12]ČR!$D$18:$D$383,DATE(2016,MONTH(S203),DAY(S203))-DATE(2016,1,1)+1,1)/1000000</f>
        <v>9.3012826852739359</v>
      </c>
      <c r="U203" s="77">
        <f>IF(T!$A$4&gt;=MONTH(S203),VLOOKUP(S203,'[8]Podklady MZ'!$R$2:$S$367,2,FALSE),NA())</f>
        <v>9.662856919296491</v>
      </c>
      <c r="V203" s="176">
        <f>INDEX([5]PT!$AF$16:$AF$381,DATE(2016,MONTH(S203),DAY(S203))-DATE(2016,1,1)+1,1)</f>
        <v>25.3</v>
      </c>
      <c r="W203" s="176" t="e">
        <f>IF(T!$A$4&lt;MONTH(S203),VLOOKUP(S203,'[8]Podklady MZ'!$R$2:$S$367,2,FALSE),NA())</f>
        <v>#N/A</v>
      </c>
    </row>
    <row r="204" spans="19:23" x14ac:dyDescent="0.2">
      <c r="S204" s="76">
        <f t="shared" si="3"/>
        <v>42207</v>
      </c>
      <c r="T204" s="77">
        <f>INDEX([12]ČR!$D$18:$D$383,DATE(2016,MONTH(S204),DAY(S204))-DATE(2016,1,1)+1,1)/1000000</f>
        <v>9.613325478616396</v>
      </c>
      <c r="U204" s="77">
        <f>IF(T!$A$4&gt;=MONTH(S204),VLOOKUP(S204,'[8]Podklady MZ'!$R$2:$S$367,2,FALSE),NA())</f>
        <v>11.966225353661841</v>
      </c>
      <c r="V204" s="176">
        <f>INDEX([5]PT!$AF$16:$AF$381,DATE(2016,MONTH(S204),DAY(S204))-DATE(2016,1,1)+1,1)</f>
        <v>27.4</v>
      </c>
      <c r="W204" s="176" t="e">
        <f>IF(T!$A$4&lt;MONTH(S204),VLOOKUP(S204,'[8]Podklady MZ'!$R$2:$S$367,2,FALSE),NA())</f>
        <v>#N/A</v>
      </c>
    </row>
    <row r="205" spans="19:23" x14ac:dyDescent="0.2">
      <c r="S205" s="76">
        <f t="shared" si="3"/>
        <v>42208</v>
      </c>
      <c r="T205" s="77">
        <f>INDEX([12]ČR!$D$18:$D$383,DATE(2016,MONTH(S205),DAY(S205))-DATE(2016,1,1)+1,1)/1000000</f>
        <v>10.428420309352932</v>
      </c>
      <c r="U205" s="77">
        <f>IF(T!$A$4&gt;=MONTH(S205),VLOOKUP(S205,'[8]Podklady MZ'!$R$2:$S$367,2,FALSE),NA())</f>
        <v>11.939966236043933</v>
      </c>
      <c r="V205" s="176">
        <f>INDEX([5]PT!$AF$16:$AF$381,DATE(2016,MONTH(S205),DAY(S205))-DATE(2016,1,1)+1,1)</f>
        <v>22.3</v>
      </c>
      <c r="W205" s="176" t="e">
        <f>IF(T!$A$4&lt;MONTH(S205),VLOOKUP(S205,'[8]Podklady MZ'!$R$2:$S$367,2,FALSE),NA())</f>
        <v>#N/A</v>
      </c>
    </row>
    <row r="206" spans="19:23" x14ac:dyDescent="0.2">
      <c r="S206" s="76">
        <f t="shared" si="3"/>
        <v>42209</v>
      </c>
      <c r="T206" s="77">
        <f>INDEX([12]ČR!$D$18:$D$383,DATE(2016,MONTH(S206),DAY(S206))-DATE(2016,1,1)+1,1)/1000000</f>
        <v>10.63011751680351</v>
      </c>
      <c r="U206" s="77">
        <f>IF(T!$A$4&gt;=MONTH(S206),VLOOKUP(S206,'[8]Podklady MZ'!$R$2:$S$367,2,FALSE),NA())</f>
        <v>9.5720171627676969</v>
      </c>
      <c r="V206" s="176">
        <f>INDEX([5]PT!$AF$16:$AF$381,DATE(2016,MONTH(S206),DAY(S206))-DATE(2016,1,1)+1,1)</f>
        <v>23.8</v>
      </c>
      <c r="W206" s="176" t="e">
        <f>IF(T!$A$4&lt;MONTH(S206),VLOOKUP(S206,'[8]Podklady MZ'!$R$2:$S$367,2,FALSE),NA())</f>
        <v>#N/A</v>
      </c>
    </row>
    <row r="207" spans="19:23" x14ac:dyDescent="0.2">
      <c r="S207" s="76">
        <f t="shared" si="3"/>
        <v>42210</v>
      </c>
      <c r="T207" s="77">
        <f>INDEX([12]ČR!$D$18:$D$383,DATE(2016,MONTH(S207),DAY(S207))-DATE(2016,1,1)+1,1)/1000000</f>
        <v>10.150119335925959</v>
      </c>
      <c r="U207" s="77">
        <f>IF(T!$A$4&gt;=MONTH(S207),VLOOKUP(S207,'[8]Podklady MZ'!$R$2:$S$367,2,FALSE),NA())</f>
        <v>8.0197646721725331</v>
      </c>
      <c r="V207" s="176">
        <f>INDEX([5]PT!$AF$16:$AF$381,DATE(2016,MONTH(S207),DAY(S207))-DATE(2016,1,1)+1,1)</f>
        <v>22</v>
      </c>
      <c r="W207" s="176" t="e">
        <f>IF(T!$A$4&lt;MONTH(S207),VLOOKUP(S207,'[8]Podklady MZ'!$R$2:$S$367,2,FALSE),NA())</f>
        <v>#N/A</v>
      </c>
    </row>
    <row r="208" spans="19:23" x14ac:dyDescent="0.2">
      <c r="S208" s="76">
        <f t="shared" si="3"/>
        <v>42211</v>
      </c>
      <c r="T208" s="77">
        <f>INDEX([12]ČR!$D$18:$D$383,DATE(2016,MONTH(S208),DAY(S208))-DATE(2016,1,1)+1,1)/1000000</f>
        <v>8.739314200288657</v>
      </c>
      <c r="U208" s="77">
        <f>IF(T!$A$4&gt;=MONTH(S208),VLOOKUP(S208,'[8]Podklady MZ'!$R$2:$S$367,2,FALSE),NA())</f>
        <v>8.041607397011342</v>
      </c>
      <c r="V208" s="176">
        <f>INDEX([5]PT!$AF$16:$AF$381,DATE(2016,MONTH(S208),DAY(S208))-DATE(2016,1,1)+1,1)</f>
        <v>16.600000000000001</v>
      </c>
      <c r="W208" s="176" t="e">
        <f>IF(T!$A$4&lt;MONTH(S208),VLOOKUP(S208,'[8]Podklady MZ'!$R$2:$S$367,2,FALSE),NA())</f>
        <v>#N/A</v>
      </c>
    </row>
    <row r="209" spans="19:23" x14ac:dyDescent="0.2">
      <c r="S209" s="76">
        <f t="shared" si="3"/>
        <v>42212</v>
      </c>
      <c r="T209" s="77">
        <f>INDEX([12]ČR!$D$18:$D$383,DATE(2016,MONTH(S209),DAY(S209))-DATE(2016,1,1)+1,1)/1000000</f>
        <v>8.6554588637650465</v>
      </c>
      <c r="U209" s="77">
        <f>IF(T!$A$4&gt;=MONTH(S209),VLOOKUP(S209,'[8]Podklady MZ'!$R$2:$S$367,2,FALSE),NA())</f>
        <v>9.2368345783925179</v>
      </c>
      <c r="V209" s="176">
        <f>INDEX([5]PT!$AF$16:$AF$381,DATE(2016,MONTH(S209),DAY(S209))-DATE(2016,1,1)+1,1)</f>
        <v>15.6</v>
      </c>
      <c r="W209" s="176" t="e">
        <f>IF(T!$A$4&lt;MONTH(S209),VLOOKUP(S209,'[8]Podklady MZ'!$R$2:$S$367,2,FALSE),NA())</f>
        <v>#N/A</v>
      </c>
    </row>
    <row r="210" spans="19:23" x14ac:dyDescent="0.2">
      <c r="S210" s="76">
        <f t="shared" si="3"/>
        <v>42213</v>
      </c>
      <c r="T210" s="77">
        <f>INDEX([12]ČR!$D$18:$D$383,DATE(2016,MONTH(S210),DAY(S210))-DATE(2016,1,1)+1,1)/1000000</f>
        <v>10.007400528645363</v>
      </c>
      <c r="U210" s="77">
        <f>IF(T!$A$4&gt;=MONTH(S210),VLOOKUP(S210,'[8]Podklady MZ'!$R$2:$S$367,2,FALSE),NA())</f>
        <v>9.2604844650181324</v>
      </c>
      <c r="V210" s="176">
        <f>INDEX([5]PT!$AF$16:$AF$381,DATE(2016,MONTH(S210),DAY(S210))-DATE(2016,1,1)+1,1)</f>
        <v>18.399999999999999</v>
      </c>
      <c r="W210" s="176" t="e">
        <f>IF(T!$A$4&lt;MONTH(S210),VLOOKUP(S210,'[8]Podklady MZ'!$R$2:$S$367,2,FALSE),NA())</f>
        <v>#N/A</v>
      </c>
    </row>
    <row r="211" spans="19:23" x14ac:dyDescent="0.2">
      <c r="S211" s="76">
        <f t="shared" si="3"/>
        <v>42214</v>
      </c>
      <c r="T211" s="77">
        <f>INDEX([12]ČR!$D$18:$D$383,DATE(2016,MONTH(S211),DAY(S211))-DATE(2016,1,1)+1,1)/1000000</f>
        <v>9.3544529085270369</v>
      </c>
      <c r="U211" s="77">
        <f>IF(T!$A$4&gt;=MONTH(S211),VLOOKUP(S211,'[8]Podklady MZ'!$R$2:$S$367,2,FALSE),NA())</f>
        <v>9.5109604735889803</v>
      </c>
      <c r="V211" s="176">
        <f>INDEX([5]PT!$AF$16:$AF$381,DATE(2016,MONTH(S211),DAY(S211))-DATE(2016,1,1)+1,1)</f>
        <v>15.7</v>
      </c>
      <c r="W211" s="176" t="e">
        <f>IF(T!$A$4&lt;MONTH(S211),VLOOKUP(S211,'[8]Podklady MZ'!$R$2:$S$367,2,FALSE),NA())</f>
        <v>#N/A</v>
      </c>
    </row>
    <row r="212" spans="19:23" x14ac:dyDescent="0.2">
      <c r="S212" s="76">
        <f t="shared" si="3"/>
        <v>42215</v>
      </c>
      <c r="T212" s="77">
        <f>INDEX([12]ČR!$D$18:$D$383,DATE(2016,MONTH(S212),DAY(S212))-DATE(2016,1,1)+1,1)/1000000</f>
        <v>9.4523264471237418</v>
      </c>
      <c r="U212" s="77">
        <f>IF(T!$A$4&gt;=MONTH(S212),VLOOKUP(S212,'[8]Podklady MZ'!$R$2:$S$367,2,FALSE),NA())</f>
        <v>9.960010804085428</v>
      </c>
      <c r="V212" s="176">
        <f>INDEX([5]PT!$AF$16:$AF$381,DATE(2016,MONTH(S212),DAY(S212))-DATE(2016,1,1)+1,1)</f>
        <v>15.6</v>
      </c>
      <c r="W212" s="176" t="e">
        <f>IF(T!$A$4&lt;MONTH(S212),VLOOKUP(S212,'[8]Podklady MZ'!$R$2:$S$367,2,FALSE),NA())</f>
        <v>#N/A</v>
      </c>
    </row>
    <row r="213" spans="19:23" x14ac:dyDescent="0.2">
      <c r="S213" s="76">
        <f t="shared" si="3"/>
        <v>42216</v>
      </c>
      <c r="T213" s="77">
        <f>INDEX([12]ČR!$D$18:$D$383,DATE(2016,MONTH(S213),DAY(S213))-DATE(2016,1,1)+1,1)/1000000</f>
        <v>9.2471253614376749</v>
      </c>
      <c r="U213" s="77">
        <f>IF(T!$A$4&gt;=MONTH(S213),VLOOKUP(S213,'[8]Podklady MZ'!$R$2:$S$367,2,FALSE),NA())</f>
        <v>9.0208912166222479</v>
      </c>
      <c r="V213" s="176">
        <f>INDEX([5]PT!$AF$16:$AF$381,DATE(2016,MONTH(S213),DAY(S213))-DATE(2016,1,1)+1,1)</f>
        <v>16.3</v>
      </c>
      <c r="W213" s="176" t="e">
        <f>IF(T!$A$4&lt;MONTH(S213),VLOOKUP(S213,'[8]Podklady MZ'!$R$2:$S$367,2,FALSE),NA())</f>
        <v>#N/A</v>
      </c>
    </row>
    <row r="214" spans="19:23" x14ac:dyDescent="0.2">
      <c r="S214" s="76">
        <f t="shared" si="3"/>
        <v>42217</v>
      </c>
      <c r="T214" s="77">
        <f>INDEX([12]ČR!$D$18:$D$383,DATE(2016,MONTH(S214),DAY(S214))-DATE(2016,1,1)+1,1)/1000000</f>
        <v>8.7526101351575232</v>
      </c>
      <c r="U214" s="77">
        <f>IF(T!$A$4&gt;=MONTH(S214),VLOOKUP(S214,'[8]Podklady MZ'!$R$2:$S$367,2,FALSE),NA())</f>
        <v>7.3274770439122872</v>
      </c>
      <c r="V214" s="176">
        <f>INDEX([5]PT!$AF$16:$AF$381,DATE(2016,MONTH(S214),DAY(S214))-DATE(2016,1,1)+1,1)</f>
        <v>19.899999999999999</v>
      </c>
      <c r="W214" s="176" t="e">
        <f>IF(T!$A$4&lt;MONTH(S214),VLOOKUP(S214,'[8]Podklady MZ'!$R$2:$S$367,2,FALSE),NA())</f>
        <v>#N/A</v>
      </c>
    </row>
    <row r="215" spans="19:23" x14ac:dyDescent="0.2">
      <c r="S215" s="76">
        <f t="shared" si="3"/>
        <v>42218</v>
      </c>
      <c r="T215" s="77">
        <f>INDEX([12]ČR!$D$18:$D$383,DATE(2016,MONTH(S215),DAY(S215))-DATE(2016,1,1)+1,1)/1000000</f>
        <v>7.3398109362101893</v>
      </c>
      <c r="U215" s="77">
        <f>IF(T!$A$4&gt;=MONTH(S215),VLOOKUP(S215,'[8]Podklady MZ'!$R$2:$S$367,2,FALSE),NA())</f>
        <v>7.3591133063275187</v>
      </c>
      <c r="V215" s="176">
        <f>INDEX([5]PT!$AF$16:$AF$381,DATE(2016,MONTH(S215),DAY(S215))-DATE(2016,1,1)+1,1)</f>
        <v>18.7</v>
      </c>
      <c r="W215" s="176" t="e">
        <f>IF(T!$A$4&lt;MONTH(S215),VLOOKUP(S215,'[8]Podklady MZ'!$R$2:$S$367,2,FALSE),NA())</f>
        <v>#N/A</v>
      </c>
    </row>
    <row r="216" spans="19:23" x14ac:dyDescent="0.2">
      <c r="S216" s="76">
        <f t="shared" si="3"/>
        <v>42219</v>
      </c>
      <c r="T216" s="77">
        <f>INDEX([12]ČR!$D$18:$D$383,DATE(2016,MONTH(S216),DAY(S216))-DATE(2016,1,1)+1,1)/1000000</f>
        <v>7.4255598574784685</v>
      </c>
      <c r="U216" s="77">
        <f>IF(T!$A$4&gt;=MONTH(S216),VLOOKUP(S216,'[8]Podklady MZ'!$R$2:$S$367,2,FALSE),NA())</f>
        <v>8.4957021969041211</v>
      </c>
      <c r="V216" s="176">
        <f>INDEX([5]PT!$AF$16:$AF$381,DATE(2016,MONTH(S216),DAY(S216))-DATE(2016,1,1)+1,1)</f>
        <v>21.8</v>
      </c>
      <c r="W216" s="176" t="e">
        <f>IF(T!$A$4&lt;MONTH(S216),VLOOKUP(S216,'[8]Podklady MZ'!$R$2:$S$367,2,FALSE),NA())</f>
        <v>#N/A</v>
      </c>
    </row>
    <row r="217" spans="19:23" x14ac:dyDescent="0.2">
      <c r="S217" s="76">
        <f t="shared" si="3"/>
        <v>42220</v>
      </c>
      <c r="T217" s="77">
        <f>INDEX([12]ČR!$D$18:$D$383,DATE(2016,MONTH(S217),DAY(S217))-DATE(2016,1,1)+1,1)/1000000</f>
        <v>9.928633428250226</v>
      </c>
      <c r="U217" s="77">
        <f>IF(T!$A$4&gt;=MONTH(S217),VLOOKUP(S217,'[8]Podklady MZ'!$R$2:$S$367,2,FALSE),NA())</f>
        <v>8.5215988993338367</v>
      </c>
      <c r="V217" s="176">
        <f>INDEX([5]PT!$AF$16:$AF$381,DATE(2016,MONTH(S217),DAY(S217))-DATE(2016,1,1)+1,1)</f>
        <v>24.3</v>
      </c>
      <c r="W217" s="176" t="e">
        <f>IF(T!$A$4&lt;MONTH(S217),VLOOKUP(S217,'[8]Podklady MZ'!$R$2:$S$367,2,FALSE),NA())</f>
        <v>#N/A</v>
      </c>
    </row>
    <row r="218" spans="19:23" x14ac:dyDescent="0.2">
      <c r="S218" s="76">
        <f t="shared" si="3"/>
        <v>42221</v>
      </c>
      <c r="T218" s="77">
        <f>INDEX([12]ČR!$D$18:$D$383,DATE(2016,MONTH(S218),DAY(S218))-DATE(2016,1,1)+1,1)/1000000</f>
        <v>9.0057527470622318</v>
      </c>
      <c r="U218" s="77">
        <f>IF(T!$A$4&gt;=MONTH(S218),VLOOKUP(S218,'[8]Podklady MZ'!$R$2:$S$367,2,FALSE),NA())</f>
        <v>8.3804475972986712</v>
      </c>
      <c r="V218" s="176">
        <f>INDEX([5]PT!$AF$16:$AF$381,DATE(2016,MONTH(S218),DAY(S218))-DATE(2016,1,1)+1,1)</f>
        <v>24</v>
      </c>
      <c r="W218" s="176" t="e">
        <f>IF(T!$A$4&lt;MONTH(S218),VLOOKUP(S218,'[8]Podklady MZ'!$R$2:$S$367,2,FALSE),NA())</f>
        <v>#N/A</v>
      </c>
    </row>
    <row r="219" spans="19:23" x14ac:dyDescent="0.2">
      <c r="S219" s="76">
        <f t="shared" si="3"/>
        <v>42222</v>
      </c>
      <c r="T219" s="77">
        <f>INDEX([12]ČR!$D$18:$D$383,DATE(2016,MONTH(S219),DAY(S219))-DATE(2016,1,1)+1,1)/1000000</f>
        <v>9.0292564269688711</v>
      </c>
      <c r="U219" s="77">
        <f>IF(T!$A$4&gt;=MONTH(S219),VLOOKUP(S219,'[8]Podklady MZ'!$R$2:$S$367,2,FALSE),NA())</f>
        <v>8.7797788551200622</v>
      </c>
      <c r="V219" s="176">
        <f>INDEX([5]PT!$AF$16:$AF$381,DATE(2016,MONTH(S219),DAY(S219))-DATE(2016,1,1)+1,1)</f>
        <v>25.8</v>
      </c>
      <c r="W219" s="176" t="e">
        <f>IF(T!$A$4&lt;MONTH(S219),VLOOKUP(S219,'[8]Podklady MZ'!$R$2:$S$367,2,FALSE),NA())</f>
        <v>#N/A</v>
      </c>
    </row>
    <row r="220" spans="19:23" x14ac:dyDescent="0.2">
      <c r="S220" s="76">
        <f t="shared" si="3"/>
        <v>42223</v>
      </c>
      <c r="T220" s="77">
        <f>INDEX([12]ČR!$D$18:$D$383,DATE(2016,MONTH(S220),DAY(S220))-DATE(2016,1,1)+1,1)/1000000</f>
        <v>10.520128208517267</v>
      </c>
      <c r="U220" s="77">
        <f>IF(T!$A$4&gt;=MONTH(S220),VLOOKUP(S220,'[8]Podklady MZ'!$R$2:$S$367,2,FALSE),NA())</f>
        <v>7.897185705717761</v>
      </c>
      <c r="V220" s="176">
        <f>INDEX([5]PT!$AF$16:$AF$381,DATE(2016,MONTH(S220),DAY(S220))-DATE(2016,1,1)+1,1)</f>
        <v>27.2</v>
      </c>
      <c r="W220" s="176" t="e">
        <f>IF(T!$A$4&lt;MONTH(S220),VLOOKUP(S220,'[8]Podklady MZ'!$R$2:$S$367,2,FALSE),NA())</f>
        <v>#N/A</v>
      </c>
    </row>
    <row r="221" spans="19:23" x14ac:dyDescent="0.2">
      <c r="S221" s="76">
        <f t="shared" si="3"/>
        <v>42224</v>
      </c>
      <c r="T221" s="77">
        <f>INDEX([12]ČR!$D$18:$D$383,DATE(2016,MONTH(S221),DAY(S221))-DATE(2016,1,1)+1,1)/1000000</f>
        <v>9.7839386392334209</v>
      </c>
      <c r="U221" s="77">
        <f>IF(T!$A$4&gt;=MONTH(S221),VLOOKUP(S221,'[8]Podklady MZ'!$R$2:$S$367,2,FALSE),NA())</f>
        <v>6.9156343597705554</v>
      </c>
      <c r="V221" s="176">
        <f>INDEX([5]PT!$AF$16:$AF$381,DATE(2016,MONTH(S221),DAY(S221))-DATE(2016,1,1)+1,1)</f>
        <v>27.4</v>
      </c>
      <c r="W221" s="176" t="e">
        <f>IF(T!$A$4&lt;MONTH(S221),VLOOKUP(S221,'[8]Podklady MZ'!$R$2:$S$367,2,FALSE),NA())</f>
        <v>#N/A</v>
      </c>
    </row>
    <row r="222" spans="19:23" x14ac:dyDescent="0.2">
      <c r="S222" s="76">
        <f t="shared" si="3"/>
        <v>42225</v>
      </c>
      <c r="T222" s="77">
        <f>INDEX([12]ČR!$D$18:$D$383,DATE(2016,MONTH(S222),DAY(S222))-DATE(2016,1,1)+1,1)/1000000</f>
        <v>7.0910306035338904</v>
      </c>
      <c r="U222" s="77">
        <f>IF(T!$A$4&gt;=MONTH(S222),VLOOKUP(S222,'[8]Podklady MZ'!$R$2:$S$367,2,FALSE),NA())</f>
        <v>7.0797433898515889</v>
      </c>
      <c r="V222" s="176">
        <f>INDEX([5]PT!$AF$16:$AF$381,DATE(2016,MONTH(S222),DAY(S222))-DATE(2016,1,1)+1,1)</f>
        <v>26</v>
      </c>
      <c r="W222" s="176" t="e">
        <f>IF(T!$A$4&lt;MONTH(S222),VLOOKUP(S222,'[8]Podklady MZ'!$R$2:$S$367,2,FALSE),NA())</f>
        <v>#N/A</v>
      </c>
    </row>
    <row r="223" spans="19:23" x14ac:dyDescent="0.2">
      <c r="S223" s="76">
        <f t="shared" si="3"/>
        <v>42226</v>
      </c>
      <c r="T223" s="77">
        <f>INDEX([12]ČR!$D$18:$D$383,DATE(2016,MONTH(S223),DAY(S223))-DATE(2016,1,1)+1,1)/1000000</f>
        <v>7.1634838935834511</v>
      </c>
      <c r="U223" s="77">
        <f>IF(T!$A$4&gt;=MONTH(S223),VLOOKUP(S223,'[8]Podklady MZ'!$R$2:$S$367,2,FALSE),NA())</f>
        <v>8.7429757997753992</v>
      </c>
      <c r="V223" s="176">
        <f>INDEX([5]PT!$AF$16:$AF$381,DATE(2016,MONTH(S223),DAY(S223))-DATE(2016,1,1)+1,1)</f>
        <v>25.8</v>
      </c>
      <c r="W223" s="176" t="e">
        <f>IF(T!$A$4&lt;MONTH(S223),VLOOKUP(S223,'[8]Podklady MZ'!$R$2:$S$367,2,FALSE),NA())</f>
        <v>#N/A</v>
      </c>
    </row>
    <row r="224" spans="19:23" x14ac:dyDescent="0.2">
      <c r="S224" s="76">
        <f t="shared" si="3"/>
        <v>42227</v>
      </c>
      <c r="T224" s="77">
        <f>INDEX([12]ČR!$D$18:$D$383,DATE(2016,MONTH(S224),DAY(S224))-DATE(2016,1,1)+1,1)/1000000</f>
        <v>8.8331045259040213</v>
      </c>
      <c r="U224" s="77">
        <f>IF(T!$A$4&gt;=MONTH(S224),VLOOKUP(S224,'[8]Podklady MZ'!$R$2:$S$367,2,FALSE),NA())</f>
        <v>8.8873771330949971</v>
      </c>
      <c r="V224" s="176">
        <f>INDEX([5]PT!$AF$16:$AF$381,DATE(2016,MONTH(S224),DAY(S224))-DATE(2016,1,1)+1,1)</f>
        <v>25.5</v>
      </c>
      <c r="W224" s="176" t="e">
        <f>IF(T!$A$4&lt;MONTH(S224),VLOOKUP(S224,'[8]Podklady MZ'!$R$2:$S$367,2,FALSE),NA())</f>
        <v>#N/A</v>
      </c>
    </row>
    <row r="225" spans="19:23" x14ac:dyDescent="0.2">
      <c r="S225" s="76">
        <f t="shared" si="3"/>
        <v>42228</v>
      </c>
      <c r="T225" s="77">
        <f>INDEX([12]ČR!$D$18:$D$383,DATE(2016,MONTH(S225),DAY(S225))-DATE(2016,1,1)+1,1)/1000000</f>
        <v>9.248917129711181</v>
      </c>
      <c r="U225" s="77">
        <f>IF(T!$A$4&gt;=MONTH(S225),VLOOKUP(S225,'[8]Podklady MZ'!$R$2:$S$367,2,FALSE),NA())</f>
        <v>9.342068052433266</v>
      </c>
      <c r="V225" s="176">
        <f>INDEX([5]PT!$AF$16:$AF$381,DATE(2016,MONTH(S225),DAY(S225))-DATE(2016,1,1)+1,1)</f>
        <v>25.1</v>
      </c>
      <c r="W225" s="176" t="e">
        <f>IF(T!$A$4&lt;MONTH(S225),VLOOKUP(S225,'[8]Podklady MZ'!$R$2:$S$367,2,FALSE),NA())</f>
        <v>#N/A</v>
      </c>
    </row>
    <row r="226" spans="19:23" x14ac:dyDescent="0.2">
      <c r="S226" s="76">
        <f t="shared" si="3"/>
        <v>42229</v>
      </c>
      <c r="T226" s="77">
        <f>INDEX([12]ČR!$D$18:$D$383,DATE(2016,MONTH(S226),DAY(S226))-DATE(2016,1,1)+1,1)/1000000</f>
        <v>9.5495590540677178</v>
      </c>
      <c r="U226" s="77">
        <f>IF(T!$A$4&gt;=MONTH(S226),VLOOKUP(S226,'[8]Podklady MZ'!$R$2:$S$367,2,FALSE),NA())</f>
        <v>9.0227963088585845</v>
      </c>
      <c r="V226" s="176">
        <f>INDEX([5]PT!$AF$16:$AF$381,DATE(2016,MONTH(S226),DAY(S226))-DATE(2016,1,1)+1,1)</f>
        <v>26.6</v>
      </c>
      <c r="W226" s="176" t="e">
        <f>IF(T!$A$4&lt;MONTH(S226),VLOOKUP(S226,'[8]Podklady MZ'!$R$2:$S$367,2,FALSE),NA())</f>
        <v>#N/A</v>
      </c>
    </row>
    <row r="227" spans="19:23" x14ac:dyDescent="0.2">
      <c r="S227" s="76">
        <f t="shared" si="3"/>
        <v>42230</v>
      </c>
      <c r="T227" s="77">
        <f>INDEX([12]ČR!$D$18:$D$383,DATE(2016,MONTH(S227),DAY(S227))-DATE(2016,1,1)+1,1)/1000000</f>
        <v>9.7385542915261478</v>
      </c>
      <c r="U227" s="77">
        <f>IF(T!$A$4&gt;=MONTH(S227),VLOOKUP(S227,'[8]Podklady MZ'!$R$2:$S$367,2,FALSE),NA())</f>
        <v>8.617923221165789</v>
      </c>
      <c r="V227" s="176">
        <f>INDEX([5]PT!$AF$16:$AF$381,DATE(2016,MONTH(S227),DAY(S227))-DATE(2016,1,1)+1,1)</f>
        <v>27</v>
      </c>
      <c r="W227" s="176" t="e">
        <f>IF(T!$A$4&lt;MONTH(S227),VLOOKUP(S227,'[8]Podklady MZ'!$R$2:$S$367,2,FALSE),NA())</f>
        <v>#N/A</v>
      </c>
    </row>
    <row r="228" spans="19:23" x14ac:dyDescent="0.2">
      <c r="S228" s="76">
        <f t="shared" si="3"/>
        <v>42231</v>
      </c>
      <c r="T228" s="77">
        <f>INDEX([12]ČR!$D$18:$D$383,DATE(2016,MONTH(S228),DAY(S228))-DATE(2016,1,1)+1,1)/1000000</f>
        <v>9.4648779405683712</v>
      </c>
      <c r="U228" s="77">
        <f>IF(T!$A$4&gt;=MONTH(S228),VLOOKUP(S228,'[8]Podklady MZ'!$R$2:$S$367,2,FALSE),NA())</f>
        <v>7.6367264902928698</v>
      </c>
      <c r="V228" s="176">
        <f>INDEX([5]PT!$AF$16:$AF$381,DATE(2016,MONTH(S228),DAY(S228))-DATE(2016,1,1)+1,1)</f>
        <v>26.7</v>
      </c>
      <c r="W228" s="176" t="e">
        <f>IF(T!$A$4&lt;MONTH(S228),VLOOKUP(S228,'[8]Podklady MZ'!$R$2:$S$367,2,FALSE),NA())</f>
        <v>#N/A</v>
      </c>
    </row>
    <row r="229" spans="19:23" x14ac:dyDescent="0.2">
      <c r="S229" s="76">
        <f t="shared" si="3"/>
        <v>42232</v>
      </c>
      <c r="T229" s="77">
        <f>INDEX([12]ČR!$D$18:$D$383,DATE(2016,MONTH(S229),DAY(S229))-DATE(2016,1,1)+1,1)/1000000</f>
        <v>8.1674339130343689</v>
      </c>
      <c r="U229" s="77">
        <f>IF(T!$A$4&gt;=MONTH(S229),VLOOKUP(S229,'[8]Podklady MZ'!$R$2:$S$367,2,FALSE),NA())</f>
        <v>7.6500080231819716</v>
      </c>
      <c r="V229" s="176">
        <f>INDEX([5]PT!$AF$16:$AF$381,DATE(2016,MONTH(S229),DAY(S229))-DATE(2016,1,1)+1,1)</f>
        <v>20.6</v>
      </c>
      <c r="W229" s="176" t="e">
        <f>IF(T!$A$4&lt;MONTH(S229),VLOOKUP(S229,'[8]Podklady MZ'!$R$2:$S$367,2,FALSE),NA())</f>
        <v>#N/A</v>
      </c>
    </row>
    <row r="230" spans="19:23" x14ac:dyDescent="0.2">
      <c r="S230" s="76">
        <f t="shared" si="3"/>
        <v>42233</v>
      </c>
      <c r="T230" s="77">
        <f>INDEX([12]ČR!$D$18:$D$383,DATE(2016,MONTH(S230),DAY(S230))-DATE(2016,1,1)+1,1)/1000000</f>
        <v>8.2641739384361408</v>
      </c>
      <c r="U230" s="77">
        <f>IF(T!$A$4&gt;=MONTH(S230),VLOOKUP(S230,'[8]Podklady MZ'!$R$2:$S$367,2,FALSE),NA())</f>
        <v>10.770115115200538</v>
      </c>
      <c r="V230" s="176">
        <f>INDEX([5]PT!$AF$16:$AF$381,DATE(2016,MONTH(S230),DAY(S230))-DATE(2016,1,1)+1,1)</f>
        <v>17.2</v>
      </c>
      <c r="W230" s="176" t="e">
        <f>IF(T!$A$4&lt;MONTH(S230),VLOOKUP(S230,'[8]Podklady MZ'!$R$2:$S$367,2,FALSE),NA())</f>
        <v>#N/A</v>
      </c>
    </row>
    <row r="231" spans="19:23" x14ac:dyDescent="0.2">
      <c r="S231" s="76">
        <f t="shared" si="3"/>
        <v>42234</v>
      </c>
      <c r="T231" s="77">
        <f>INDEX([12]ČR!$D$18:$D$383,DATE(2016,MONTH(S231),DAY(S231))-DATE(2016,1,1)+1,1)/1000000</f>
        <v>10.437155900913542</v>
      </c>
      <c r="U231" s="77">
        <f>IF(T!$A$4&gt;=MONTH(S231),VLOOKUP(S231,'[8]Podklady MZ'!$R$2:$S$367,2,FALSE),NA())</f>
        <v>12.275837216732805</v>
      </c>
      <c r="V231" s="176">
        <f>INDEX([5]PT!$AF$16:$AF$381,DATE(2016,MONTH(S231),DAY(S231))-DATE(2016,1,1)+1,1)</f>
        <v>14.8</v>
      </c>
      <c r="W231" s="176" t="e">
        <f>IF(T!$A$4&lt;MONTH(S231),VLOOKUP(S231,'[8]Podklady MZ'!$R$2:$S$367,2,FALSE),NA())</f>
        <v>#N/A</v>
      </c>
    </row>
    <row r="232" spans="19:23" x14ac:dyDescent="0.2">
      <c r="S232" s="76">
        <f t="shared" si="3"/>
        <v>42235</v>
      </c>
      <c r="T232" s="77">
        <f>INDEX([12]ČR!$D$18:$D$383,DATE(2016,MONTH(S232),DAY(S232))-DATE(2016,1,1)+1,1)/1000000</f>
        <v>10.817177006758481</v>
      </c>
      <c r="U232" s="77">
        <f>IF(T!$A$4&gt;=MONTH(S232),VLOOKUP(S232,'[8]Podklady MZ'!$R$2:$S$367,2,FALSE),NA())</f>
        <v>10.30598544170101</v>
      </c>
      <c r="V232" s="176">
        <f>INDEX([5]PT!$AF$16:$AF$381,DATE(2016,MONTH(S232),DAY(S232))-DATE(2016,1,1)+1,1)</f>
        <v>15.6</v>
      </c>
      <c r="W232" s="176" t="e">
        <f>IF(T!$A$4&lt;MONTH(S232),VLOOKUP(S232,'[8]Podklady MZ'!$R$2:$S$367,2,FALSE),NA())</f>
        <v>#N/A</v>
      </c>
    </row>
    <row r="233" spans="19:23" x14ac:dyDescent="0.2">
      <c r="S233" s="76">
        <f t="shared" si="3"/>
        <v>42236</v>
      </c>
      <c r="T233" s="77">
        <f>INDEX([12]ČR!$D$18:$D$383,DATE(2016,MONTH(S233),DAY(S233))-DATE(2016,1,1)+1,1)/1000000</f>
        <v>10.876105489382656</v>
      </c>
      <c r="U233" s="77">
        <f>IF(T!$A$4&gt;=MONTH(S233),VLOOKUP(S233,'[8]Podklady MZ'!$R$2:$S$367,2,FALSE),NA())</f>
        <v>10.198907925134305</v>
      </c>
      <c r="V233" s="176">
        <f>INDEX([5]PT!$AF$16:$AF$381,DATE(2016,MONTH(S233),DAY(S233))-DATE(2016,1,1)+1,1)</f>
        <v>16.100000000000001</v>
      </c>
      <c r="W233" s="176" t="e">
        <f>IF(T!$A$4&lt;MONTH(S233),VLOOKUP(S233,'[8]Podklady MZ'!$R$2:$S$367,2,FALSE),NA())</f>
        <v>#N/A</v>
      </c>
    </row>
    <row r="234" spans="19:23" x14ac:dyDescent="0.2">
      <c r="S234" s="76">
        <f t="shared" si="3"/>
        <v>42237</v>
      </c>
      <c r="T234" s="77">
        <f>INDEX([12]ČR!$D$18:$D$383,DATE(2016,MONTH(S234),DAY(S234))-DATE(2016,1,1)+1,1)/1000000</f>
        <v>11.291716303982307</v>
      </c>
      <c r="U234" s="77">
        <f>IF(T!$A$4&gt;=MONTH(S234),VLOOKUP(S234,'[8]Podklady MZ'!$R$2:$S$367,2,FALSE),NA())</f>
        <v>9.732554603645001</v>
      </c>
      <c r="V234" s="176">
        <f>INDEX([5]PT!$AF$16:$AF$381,DATE(2016,MONTH(S234),DAY(S234))-DATE(2016,1,1)+1,1)</f>
        <v>16.600000000000001</v>
      </c>
      <c r="W234" s="176" t="e">
        <f>IF(T!$A$4&lt;MONTH(S234),VLOOKUP(S234,'[8]Podklady MZ'!$R$2:$S$367,2,FALSE),NA())</f>
        <v>#N/A</v>
      </c>
    </row>
    <row r="235" spans="19:23" x14ac:dyDescent="0.2">
      <c r="S235" s="76">
        <f t="shared" si="3"/>
        <v>42238</v>
      </c>
      <c r="T235" s="77">
        <f>INDEX([12]ČR!$D$18:$D$383,DATE(2016,MONTH(S235),DAY(S235))-DATE(2016,1,1)+1,1)/1000000</f>
        <v>10.608889207773215</v>
      </c>
      <c r="U235" s="77">
        <f>IF(T!$A$4&gt;=MONTH(S235),VLOOKUP(S235,'[8]Podklady MZ'!$R$2:$S$367,2,FALSE),NA())</f>
        <v>8.1906102744069553</v>
      </c>
      <c r="V235" s="176">
        <f>INDEX([5]PT!$AF$16:$AF$381,DATE(2016,MONTH(S235),DAY(S235))-DATE(2016,1,1)+1,1)</f>
        <v>16</v>
      </c>
      <c r="W235" s="176" t="e">
        <f>IF(T!$A$4&lt;MONTH(S235),VLOOKUP(S235,'[8]Podklady MZ'!$R$2:$S$367,2,FALSE),NA())</f>
        <v>#N/A</v>
      </c>
    </row>
    <row r="236" spans="19:23" x14ac:dyDescent="0.2">
      <c r="S236" s="76">
        <f t="shared" si="3"/>
        <v>42239</v>
      </c>
      <c r="T236" s="77">
        <f>INDEX([12]ČR!$D$18:$D$383,DATE(2016,MONTH(S236),DAY(S236))-DATE(2016,1,1)+1,1)/1000000</f>
        <v>9.0766717210401815</v>
      </c>
      <c r="U236" s="77">
        <f>IF(T!$A$4&gt;=MONTH(S236),VLOOKUP(S236,'[8]Podklady MZ'!$R$2:$S$367,2,FALSE),NA())</f>
        <v>8.2763648372854224</v>
      </c>
      <c r="V236" s="176">
        <f>INDEX([5]PT!$AF$16:$AF$381,DATE(2016,MONTH(S236),DAY(S236))-DATE(2016,1,1)+1,1)</f>
        <v>17.3</v>
      </c>
      <c r="W236" s="176" t="e">
        <f>IF(T!$A$4&lt;MONTH(S236),VLOOKUP(S236,'[8]Podklady MZ'!$R$2:$S$367,2,FALSE),NA())</f>
        <v>#N/A</v>
      </c>
    </row>
    <row r="237" spans="19:23" x14ac:dyDescent="0.2">
      <c r="S237" s="76">
        <f t="shared" si="3"/>
        <v>42240</v>
      </c>
      <c r="T237" s="77">
        <f>INDEX([12]ČR!$D$18:$D$383,DATE(2016,MONTH(S237),DAY(S237))-DATE(2016,1,1)+1,1)/1000000</f>
        <v>9.6811858112596934</v>
      </c>
      <c r="U237" s="77">
        <f>IF(T!$A$4&gt;=MONTH(S237),VLOOKUP(S237,'[8]Podklady MZ'!$R$2:$S$367,2,FALSE),NA())</f>
        <v>10.116631278412976</v>
      </c>
      <c r="V237" s="176">
        <f>INDEX([5]PT!$AF$16:$AF$381,DATE(2016,MONTH(S237),DAY(S237))-DATE(2016,1,1)+1,1)</f>
        <v>20.399999999999999</v>
      </c>
      <c r="W237" s="176" t="e">
        <f>IF(T!$A$4&lt;MONTH(S237),VLOOKUP(S237,'[8]Podklady MZ'!$R$2:$S$367,2,FALSE),NA())</f>
        <v>#N/A</v>
      </c>
    </row>
    <row r="238" spans="19:23" x14ac:dyDescent="0.2">
      <c r="S238" s="76">
        <f t="shared" si="3"/>
        <v>42241</v>
      </c>
      <c r="T238" s="77">
        <f>INDEX([12]ČR!$D$18:$D$383,DATE(2016,MONTH(S238),DAY(S238))-DATE(2016,1,1)+1,1)/1000000</f>
        <v>11.401840931354577</v>
      </c>
      <c r="U238" s="77">
        <f>IF(T!$A$4&gt;=MONTH(S238),VLOOKUP(S238,'[8]Podklady MZ'!$R$2:$S$367,2,FALSE),NA())</f>
        <v>10.634514211604086</v>
      </c>
      <c r="V238" s="176">
        <f>INDEX([5]PT!$AF$16:$AF$381,DATE(2016,MONTH(S238),DAY(S238))-DATE(2016,1,1)+1,1)</f>
        <v>15.6</v>
      </c>
      <c r="W238" s="176" t="e">
        <f>IF(T!$A$4&lt;MONTH(S238),VLOOKUP(S238,'[8]Podklady MZ'!$R$2:$S$367,2,FALSE),NA())</f>
        <v>#N/A</v>
      </c>
    </row>
    <row r="239" spans="19:23" x14ac:dyDescent="0.2">
      <c r="S239" s="76">
        <f t="shared" si="3"/>
        <v>42242</v>
      </c>
      <c r="T239" s="77">
        <f>INDEX([12]ČR!$D$18:$D$383,DATE(2016,MONTH(S239),DAY(S239))-DATE(2016,1,1)+1,1)/1000000</f>
        <v>12.199019353276988</v>
      </c>
      <c r="U239" s="77">
        <f>IF(T!$A$4&gt;=MONTH(S239),VLOOKUP(S239,'[8]Podklady MZ'!$R$2:$S$367,2,FALSE),NA())</f>
        <v>10.43281949410752</v>
      </c>
      <c r="V239" s="176">
        <f>INDEX([5]PT!$AF$16:$AF$381,DATE(2016,MONTH(S239),DAY(S239))-DATE(2016,1,1)+1,1)</f>
        <v>17.3</v>
      </c>
      <c r="W239" s="176" t="e">
        <f>IF(T!$A$4&lt;MONTH(S239),VLOOKUP(S239,'[8]Podklady MZ'!$R$2:$S$367,2,FALSE),NA())</f>
        <v>#N/A</v>
      </c>
    </row>
    <row r="240" spans="19:23" x14ac:dyDescent="0.2">
      <c r="S240" s="76">
        <f t="shared" si="3"/>
        <v>42243</v>
      </c>
      <c r="T240" s="77">
        <f>INDEX([12]ČR!$D$18:$D$383,DATE(2016,MONTH(S240),DAY(S240))-DATE(2016,1,1)+1,1)/1000000</f>
        <v>12.040001761096969</v>
      </c>
      <c r="U240" s="77">
        <f>IF(T!$A$4&gt;=MONTH(S240),VLOOKUP(S240,'[8]Podklady MZ'!$R$2:$S$367,2,FALSE),NA())</f>
        <v>10.258901112878878</v>
      </c>
      <c r="V240" s="176">
        <f>INDEX([5]PT!$AF$16:$AF$381,DATE(2016,MONTH(S240),DAY(S240))-DATE(2016,1,1)+1,1)</f>
        <v>20.9</v>
      </c>
      <c r="W240" s="176" t="e">
        <f>IF(T!$A$4&lt;MONTH(S240),VLOOKUP(S240,'[8]Podklady MZ'!$R$2:$S$367,2,FALSE),NA())</f>
        <v>#N/A</v>
      </c>
    </row>
    <row r="241" spans="19:23" x14ac:dyDescent="0.2">
      <c r="S241" s="76">
        <f t="shared" si="3"/>
        <v>42244</v>
      </c>
      <c r="T241" s="77">
        <f>INDEX([12]ČR!$D$18:$D$383,DATE(2016,MONTH(S241),DAY(S241))-DATE(2016,1,1)+1,1)/1000000</f>
        <v>11.614278045055139</v>
      </c>
      <c r="U241" s="77">
        <f>IF(T!$A$4&gt;=MONTH(S241),VLOOKUP(S241,'[8]Podklady MZ'!$R$2:$S$367,2,FALSE),NA())</f>
        <v>9.621705007623234</v>
      </c>
      <c r="V241" s="176">
        <f>INDEX([5]PT!$AF$16:$AF$381,DATE(2016,MONTH(S241),DAY(S241))-DATE(2016,1,1)+1,1)</f>
        <v>22.9</v>
      </c>
      <c r="W241" s="176" t="e">
        <f>IF(T!$A$4&lt;MONTH(S241),VLOOKUP(S241,'[8]Podklady MZ'!$R$2:$S$367,2,FALSE),NA())</f>
        <v>#N/A</v>
      </c>
    </row>
    <row r="242" spans="19:23" x14ac:dyDescent="0.2">
      <c r="S242" s="76">
        <f t="shared" si="3"/>
        <v>42245</v>
      </c>
      <c r="T242" s="77">
        <f>INDEX([12]ČR!$D$18:$D$383,DATE(2016,MONTH(S242),DAY(S242))-DATE(2016,1,1)+1,1)/1000000</f>
        <v>12.05634528188342</v>
      </c>
      <c r="U242" s="77">
        <f>IF(T!$A$4&gt;=MONTH(S242),VLOOKUP(S242,'[8]Podklady MZ'!$R$2:$S$367,2,FALSE),NA())</f>
        <v>7.90341361582934</v>
      </c>
      <c r="V242" s="176">
        <f>INDEX([5]PT!$AF$16:$AF$381,DATE(2016,MONTH(S242),DAY(S242))-DATE(2016,1,1)+1,1)</f>
        <v>23.4</v>
      </c>
      <c r="W242" s="176" t="e">
        <f>IF(T!$A$4&lt;MONTH(S242),VLOOKUP(S242,'[8]Podklady MZ'!$R$2:$S$367,2,FALSE),NA())</f>
        <v>#N/A</v>
      </c>
    </row>
    <row r="243" spans="19:23" x14ac:dyDescent="0.2">
      <c r="S243" s="76">
        <f t="shared" si="3"/>
        <v>42246</v>
      </c>
      <c r="T243" s="77">
        <f>INDEX([12]ČR!$D$18:$D$383,DATE(2016,MONTH(S243),DAY(S243))-DATE(2016,1,1)+1,1)/1000000</f>
        <v>9.031495101169039</v>
      </c>
      <c r="U243" s="77">
        <f>IF(T!$A$4&gt;=MONTH(S243),VLOOKUP(S243,'[8]Podklady MZ'!$R$2:$S$367,2,FALSE),NA())</f>
        <v>8.0524275904776808</v>
      </c>
      <c r="V243" s="176">
        <f>INDEX([5]PT!$AF$16:$AF$381,DATE(2016,MONTH(S243),DAY(S243))-DATE(2016,1,1)+1,1)</f>
        <v>24.3</v>
      </c>
      <c r="W243" s="176" t="e">
        <f>IF(T!$A$4&lt;MONTH(S243),VLOOKUP(S243,'[8]Podklady MZ'!$R$2:$S$367,2,FALSE),NA())</f>
        <v>#N/A</v>
      </c>
    </row>
    <row r="244" spans="19:23" x14ac:dyDescent="0.2">
      <c r="S244" s="76">
        <f t="shared" si="3"/>
        <v>42247</v>
      </c>
      <c r="T244" s="77">
        <f>INDEX([12]ČR!$D$18:$D$383,DATE(2016,MONTH(S244),DAY(S244))-DATE(2016,1,1)+1,1)/1000000</f>
        <v>9.5905805212413799</v>
      </c>
      <c r="U244" s="77">
        <f>IF(T!$A$4&gt;=MONTH(S244),VLOOKUP(S244,'[8]Podklady MZ'!$R$2:$S$367,2,FALSE),NA())</f>
        <v>10.083864108825882</v>
      </c>
      <c r="V244" s="176">
        <f>INDEX([5]PT!$AF$16:$AF$381,DATE(2016,MONTH(S244),DAY(S244))-DATE(2016,1,1)+1,1)</f>
        <v>24.4</v>
      </c>
      <c r="W244" s="176" t="e">
        <f>IF(T!$A$4&lt;MONTH(S244),VLOOKUP(S244,'[8]Podklady MZ'!$R$2:$S$367,2,FALSE),NA())</f>
        <v>#N/A</v>
      </c>
    </row>
    <row r="245" spans="19:23" x14ac:dyDescent="0.2">
      <c r="S245" s="76">
        <f t="shared" si="3"/>
        <v>42248</v>
      </c>
      <c r="T245" s="77">
        <f>INDEX([12]ČR!$D$18:$D$383,DATE(2016,MONTH(S245),DAY(S245))-DATE(2016,1,1)+1,1)/1000000</f>
        <v>13.326613626984381</v>
      </c>
      <c r="U245" s="77">
        <f>IF(T!$A$4&gt;=MONTH(S245),VLOOKUP(S245,'[8]Podklady MZ'!$R$2:$S$367,2,FALSE),NA())</f>
        <v>9.7007445267766368</v>
      </c>
      <c r="V245" s="176">
        <f>INDEX([5]PT!$AF$16:$AF$381,DATE(2016,MONTH(S245),DAY(S245))-DATE(2016,1,1)+1,1)</f>
        <v>23.5</v>
      </c>
      <c r="W245" s="176" t="e">
        <f>IF(T!$A$4&lt;MONTH(S245),VLOOKUP(S245,'[8]Podklady MZ'!$R$2:$S$367,2,FALSE),NA())</f>
        <v>#N/A</v>
      </c>
    </row>
    <row r="246" spans="19:23" x14ac:dyDescent="0.2">
      <c r="S246" s="76">
        <f t="shared" si="3"/>
        <v>42249</v>
      </c>
      <c r="T246" s="77">
        <f>INDEX([12]ČR!$D$18:$D$383,DATE(2016,MONTH(S246),DAY(S246))-DATE(2016,1,1)+1,1)/1000000</f>
        <v>14.196894787642554</v>
      </c>
      <c r="U246" s="77">
        <f>IF(T!$A$4&gt;=MONTH(S246),VLOOKUP(S246,'[8]Podklady MZ'!$R$2:$S$367,2,FALSE),NA())</f>
        <v>10.351424075733302</v>
      </c>
      <c r="V246" s="176">
        <f>INDEX([5]PT!$AF$16:$AF$381,DATE(2016,MONTH(S246),DAY(S246))-DATE(2016,1,1)+1,1)</f>
        <v>15.6</v>
      </c>
      <c r="W246" s="176" t="e">
        <f>IF(T!$A$4&lt;MONTH(S246),VLOOKUP(S246,'[8]Podklady MZ'!$R$2:$S$367,2,FALSE),NA())</f>
        <v>#N/A</v>
      </c>
    </row>
    <row r="247" spans="19:23" x14ac:dyDescent="0.2">
      <c r="S247" s="76">
        <f t="shared" si="3"/>
        <v>42250</v>
      </c>
      <c r="T247" s="77">
        <f>INDEX([12]ČR!$D$18:$D$383,DATE(2016,MONTH(S247),DAY(S247))-DATE(2016,1,1)+1,1)/1000000</f>
        <v>12.05878174257896</v>
      </c>
      <c r="U247" s="77">
        <f>IF(T!$A$4&gt;=MONTH(S247),VLOOKUP(S247,'[8]Podklady MZ'!$R$2:$S$367,2,FALSE),NA())</f>
        <v>10.675088543805986</v>
      </c>
      <c r="V247" s="176">
        <f>INDEX([5]PT!$AF$16:$AF$381,DATE(2016,MONTH(S247),DAY(S247))-DATE(2016,1,1)+1,1)</f>
        <v>16</v>
      </c>
      <c r="W247" s="176" t="e">
        <f>IF(T!$A$4&lt;MONTH(S247),VLOOKUP(S247,'[8]Podklady MZ'!$R$2:$S$367,2,FALSE),NA())</f>
        <v>#N/A</v>
      </c>
    </row>
    <row r="248" spans="19:23" x14ac:dyDescent="0.2">
      <c r="S248" s="76">
        <f t="shared" si="3"/>
        <v>42251</v>
      </c>
      <c r="T248" s="77">
        <f>INDEX([12]ČR!$D$18:$D$383,DATE(2016,MONTH(S248),DAY(S248))-DATE(2016,1,1)+1,1)/1000000</f>
        <v>11.152921822205252</v>
      </c>
      <c r="U248" s="77">
        <f>IF(T!$A$4&gt;=MONTH(S248),VLOOKUP(S248,'[8]Podklady MZ'!$R$2:$S$367,2,FALSE),NA())</f>
        <v>11.29469983214782</v>
      </c>
      <c r="V248" s="176">
        <f>INDEX([5]PT!$AF$16:$AF$381,DATE(2016,MONTH(S248),DAY(S248))-DATE(2016,1,1)+1,1)</f>
        <v>15</v>
      </c>
      <c r="W248" s="176" t="e">
        <f>IF(T!$A$4&lt;MONTH(S248),VLOOKUP(S248,'[8]Podklady MZ'!$R$2:$S$367,2,FALSE),NA())</f>
        <v>#N/A</v>
      </c>
    </row>
    <row r="249" spans="19:23" x14ac:dyDescent="0.2">
      <c r="S249" s="76">
        <f t="shared" si="3"/>
        <v>42252</v>
      </c>
      <c r="T249" s="77">
        <f>INDEX([12]ČR!$D$18:$D$383,DATE(2016,MONTH(S249),DAY(S249))-DATE(2016,1,1)+1,1)/1000000</f>
        <v>11.18945156841357</v>
      </c>
      <c r="U249" s="77">
        <f>IF(T!$A$4&gt;=MONTH(S249),VLOOKUP(S249,'[8]Podklady MZ'!$R$2:$S$367,2,FALSE),NA())</f>
        <v>8.1970730704195525</v>
      </c>
      <c r="V249" s="176">
        <f>INDEX([5]PT!$AF$16:$AF$381,DATE(2016,MONTH(S249),DAY(S249))-DATE(2016,1,1)+1,1)</f>
        <v>13.8</v>
      </c>
      <c r="W249" s="176" t="e">
        <f>IF(T!$A$4&lt;MONTH(S249),VLOOKUP(S249,'[8]Podklady MZ'!$R$2:$S$367,2,FALSE),NA())</f>
        <v>#N/A</v>
      </c>
    </row>
    <row r="250" spans="19:23" x14ac:dyDescent="0.2">
      <c r="S250" s="76">
        <f t="shared" si="3"/>
        <v>42253</v>
      </c>
      <c r="T250" s="77">
        <f>INDEX([12]ČR!$D$18:$D$383,DATE(2016,MONTH(S250),DAY(S250))-DATE(2016,1,1)+1,1)/1000000</f>
        <v>8.7177705120471813</v>
      </c>
      <c r="U250" s="77">
        <f>IF(T!$A$4&gt;=MONTH(S250),VLOOKUP(S250,'[8]Podklady MZ'!$R$2:$S$367,2,FALSE),NA())</f>
        <v>9.2336958503371118</v>
      </c>
      <c r="V250" s="176">
        <f>INDEX([5]PT!$AF$16:$AF$381,DATE(2016,MONTH(S250),DAY(S250))-DATE(2016,1,1)+1,1)</f>
        <v>11.8</v>
      </c>
      <c r="W250" s="176" t="e">
        <f>IF(T!$A$4&lt;MONTH(S250),VLOOKUP(S250,'[8]Podklady MZ'!$R$2:$S$367,2,FALSE),NA())</f>
        <v>#N/A</v>
      </c>
    </row>
    <row r="251" spans="19:23" x14ac:dyDescent="0.2">
      <c r="S251" s="76">
        <f t="shared" si="3"/>
        <v>42254</v>
      </c>
      <c r="T251" s="77">
        <f>INDEX([12]ČR!$D$18:$D$383,DATE(2016,MONTH(S251),DAY(S251))-DATE(2016,1,1)+1,1)/1000000</f>
        <v>9.0133461746747372</v>
      </c>
      <c r="U251" s="77">
        <f>IF(T!$A$4&gt;=MONTH(S251),VLOOKUP(S251,'[8]Podklady MZ'!$R$2:$S$367,2,FALSE),NA())</f>
        <v>11.597554488210992</v>
      </c>
      <c r="V251" s="176">
        <f>INDEX([5]PT!$AF$16:$AF$381,DATE(2016,MONTH(S251),DAY(S251))-DATE(2016,1,1)+1,1)</f>
        <v>10.6</v>
      </c>
      <c r="W251" s="176" t="e">
        <f>IF(T!$A$4&lt;MONTH(S251),VLOOKUP(S251,'[8]Podklady MZ'!$R$2:$S$367,2,FALSE),NA())</f>
        <v>#N/A</v>
      </c>
    </row>
    <row r="252" spans="19:23" x14ac:dyDescent="0.2">
      <c r="S252" s="76">
        <f t="shared" si="3"/>
        <v>42255</v>
      </c>
      <c r="T252" s="77">
        <f>INDEX([12]ČR!$D$18:$D$383,DATE(2016,MONTH(S252),DAY(S252))-DATE(2016,1,1)+1,1)/1000000</f>
        <v>10.548433325279383</v>
      </c>
      <c r="U252" s="77">
        <f>IF(T!$A$4&gt;=MONTH(S252),VLOOKUP(S252,'[8]Podklady MZ'!$R$2:$S$367,2,FALSE),NA())</f>
        <v>11.40204196931642</v>
      </c>
      <c r="V252" s="176">
        <f>INDEX([5]PT!$AF$16:$AF$381,DATE(2016,MONTH(S252),DAY(S252))-DATE(2016,1,1)+1,1)</f>
        <v>11.1</v>
      </c>
      <c r="W252" s="176" t="e">
        <f>IF(T!$A$4&lt;MONTH(S252),VLOOKUP(S252,'[8]Podklady MZ'!$R$2:$S$367,2,FALSE),NA())</f>
        <v>#N/A</v>
      </c>
    </row>
    <row r="253" spans="19:23" x14ac:dyDescent="0.2">
      <c r="S253" s="76">
        <f t="shared" si="3"/>
        <v>42256</v>
      </c>
      <c r="T253" s="77">
        <f>INDEX([12]ČR!$D$18:$D$383,DATE(2016,MONTH(S253),DAY(S253))-DATE(2016,1,1)+1,1)/1000000</f>
        <v>10.862729181597722</v>
      </c>
      <c r="U253" s="77">
        <f>IF(T!$A$4&gt;=MONTH(S253),VLOOKUP(S253,'[8]Podklady MZ'!$R$2:$S$367,2,FALSE),NA())</f>
        <v>12.222584744863941</v>
      </c>
      <c r="V253" s="176">
        <f>INDEX([5]PT!$AF$16:$AF$381,DATE(2016,MONTH(S253),DAY(S253))-DATE(2016,1,1)+1,1)</f>
        <v>9.9</v>
      </c>
      <c r="W253" s="176" t="e">
        <f>IF(T!$A$4&lt;MONTH(S253),VLOOKUP(S253,'[8]Podklady MZ'!$R$2:$S$367,2,FALSE),NA())</f>
        <v>#N/A</v>
      </c>
    </row>
    <row r="254" spans="19:23" x14ac:dyDescent="0.2">
      <c r="S254" s="76">
        <f t="shared" si="3"/>
        <v>42257</v>
      </c>
      <c r="T254" s="77">
        <f>INDEX([12]ČR!$D$18:$D$383,DATE(2016,MONTH(S254),DAY(S254))-DATE(2016,1,1)+1,1)/1000000</f>
        <v>11.090167949052262</v>
      </c>
      <c r="U254" s="77">
        <f>IF(T!$A$4&gt;=MONTH(S254),VLOOKUP(S254,'[8]Podklady MZ'!$R$2:$S$367,2,FALSE),NA())</f>
        <v>12.198425235856467</v>
      </c>
      <c r="V254" s="176">
        <f>INDEX([5]PT!$AF$16:$AF$381,DATE(2016,MONTH(S254),DAY(S254))-DATE(2016,1,1)+1,1)</f>
        <v>11.5</v>
      </c>
      <c r="W254" s="176" t="e">
        <f>IF(T!$A$4&lt;MONTH(S254),VLOOKUP(S254,'[8]Podklady MZ'!$R$2:$S$367,2,FALSE),NA())</f>
        <v>#N/A</v>
      </c>
    </row>
    <row r="255" spans="19:23" x14ac:dyDescent="0.2">
      <c r="S255" s="76">
        <f t="shared" si="3"/>
        <v>42258</v>
      </c>
      <c r="T255" s="77">
        <f>INDEX([12]ČR!$D$18:$D$383,DATE(2016,MONTH(S255),DAY(S255))-DATE(2016,1,1)+1,1)/1000000</f>
        <v>11.666969474165212</v>
      </c>
      <c r="U255" s="77">
        <f>IF(T!$A$4&gt;=MONTH(S255),VLOOKUP(S255,'[8]Podklady MZ'!$R$2:$S$367,2,FALSE),NA())</f>
        <v>14.667928928492055</v>
      </c>
      <c r="V255" s="176">
        <f>INDEX([5]PT!$AF$16:$AF$381,DATE(2016,MONTH(S255),DAY(S255))-DATE(2016,1,1)+1,1)</f>
        <v>13</v>
      </c>
      <c r="W255" s="176" t="e">
        <f>IF(T!$A$4&lt;MONTH(S255),VLOOKUP(S255,'[8]Podklady MZ'!$R$2:$S$367,2,FALSE),NA())</f>
        <v>#N/A</v>
      </c>
    </row>
    <row r="256" spans="19:23" x14ac:dyDescent="0.2">
      <c r="S256" s="76">
        <f t="shared" si="3"/>
        <v>42259</v>
      </c>
      <c r="T256" s="77">
        <f>INDEX([12]ČR!$D$18:$D$383,DATE(2016,MONTH(S256),DAY(S256))-DATE(2016,1,1)+1,1)/1000000</f>
        <v>11.076569173853182</v>
      </c>
      <c r="U256" s="77">
        <f>IF(T!$A$4&gt;=MONTH(S256),VLOOKUP(S256,'[8]Podklady MZ'!$R$2:$S$367,2,FALSE),NA())</f>
        <v>9.4355036584976215</v>
      </c>
      <c r="V256" s="176">
        <f>INDEX([5]PT!$AF$16:$AF$381,DATE(2016,MONTH(S256),DAY(S256))-DATE(2016,1,1)+1,1)</f>
        <v>14.9</v>
      </c>
      <c r="W256" s="176" t="e">
        <f>IF(T!$A$4&lt;MONTH(S256),VLOOKUP(S256,'[8]Podklady MZ'!$R$2:$S$367,2,FALSE),NA())</f>
        <v>#N/A</v>
      </c>
    </row>
    <row r="257" spans="19:23" x14ac:dyDescent="0.2">
      <c r="S257" s="76">
        <f t="shared" si="3"/>
        <v>42260</v>
      </c>
      <c r="T257" s="77">
        <f>INDEX([12]ČR!$D$18:$D$383,DATE(2016,MONTH(S257),DAY(S257))-DATE(2016,1,1)+1,1)/1000000</f>
        <v>9.4018983077620142</v>
      </c>
      <c r="U257" s="77">
        <f>IF(T!$A$4&gt;=MONTH(S257),VLOOKUP(S257,'[8]Podklady MZ'!$R$2:$S$367,2,FALSE),NA())</f>
        <v>9.3491360221922815</v>
      </c>
      <c r="V257" s="176">
        <f>INDEX([5]PT!$AF$16:$AF$381,DATE(2016,MONTH(S257),DAY(S257))-DATE(2016,1,1)+1,1)</f>
        <v>17.399999999999999</v>
      </c>
      <c r="W257" s="176" t="e">
        <f>IF(T!$A$4&lt;MONTH(S257),VLOOKUP(S257,'[8]Podklady MZ'!$R$2:$S$367,2,FALSE),NA())</f>
        <v>#N/A</v>
      </c>
    </row>
    <row r="258" spans="19:23" x14ac:dyDescent="0.2">
      <c r="S258" s="76">
        <f t="shared" si="3"/>
        <v>42261</v>
      </c>
      <c r="T258" s="77">
        <f>INDEX([12]ČR!$D$18:$D$383,DATE(2016,MONTH(S258),DAY(S258))-DATE(2016,1,1)+1,1)/1000000</f>
        <v>9.9522193286723191</v>
      </c>
      <c r="U258" s="77">
        <f>IF(T!$A$4&gt;=MONTH(S258),VLOOKUP(S258,'[8]Podklady MZ'!$R$2:$S$367,2,FALSE),NA())</f>
        <v>11.066872022129369</v>
      </c>
      <c r="V258" s="176">
        <f>INDEX([5]PT!$AF$16:$AF$381,DATE(2016,MONTH(S258),DAY(S258))-DATE(2016,1,1)+1,1)</f>
        <v>15.5</v>
      </c>
      <c r="W258" s="176" t="e">
        <f>IF(T!$A$4&lt;MONTH(S258),VLOOKUP(S258,'[8]Podklady MZ'!$R$2:$S$367,2,FALSE),NA())</f>
        <v>#N/A</v>
      </c>
    </row>
    <row r="259" spans="19:23" x14ac:dyDescent="0.2">
      <c r="S259" s="76">
        <f t="shared" si="3"/>
        <v>42262</v>
      </c>
      <c r="T259" s="77">
        <f>INDEX([12]ČR!$D$18:$D$383,DATE(2016,MONTH(S259),DAY(S259))-DATE(2016,1,1)+1,1)/1000000</f>
        <v>11.503468036013899</v>
      </c>
      <c r="U259" s="77">
        <f>IF(T!$A$4&gt;=MONTH(S259),VLOOKUP(S259,'[8]Podklady MZ'!$R$2:$S$367,2,FALSE),NA())</f>
        <v>11.139047681373635</v>
      </c>
      <c r="V259" s="176">
        <f>INDEX([5]PT!$AF$16:$AF$381,DATE(2016,MONTH(S259),DAY(S259))-DATE(2016,1,1)+1,1)</f>
        <v>15.6</v>
      </c>
      <c r="W259" s="176" t="e">
        <f>IF(T!$A$4&lt;MONTH(S259),VLOOKUP(S259,'[8]Podklady MZ'!$R$2:$S$367,2,FALSE),NA())</f>
        <v>#N/A</v>
      </c>
    </row>
    <row r="260" spans="19:23" x14ac:dyDescent="0.2">
      <c r="S260" s="76">
        <f t="shared" ref="S260:S323" si="4">S259+1</f>
        <v>42263</v>
      </c>
      <c r="T260" s="77">
        <f>INDEX([12]ČR!$D$18:$D$383,DATE(2016,MONTH(S260),DAY(S260))-DATE(2016,1,1)+1,1)/1000000</f>
        <v>11.57493681078339</v>
      </c>
      <c r="U260" s="77">
        <f>IF(T!$A$4&gt;=MONTH(S260),VLOOKUP(S260,'[8]Podklady MZ'!$R$2:$S$367,2,FALSE),NA())</f>
        <v>10.696748561847132</v>
      </c>
      <c r="V260" s="176">
        <f>INDEX([5]PT!$AF$16:$AF$381,DATE(2016,MONTH(S260),DAY(S260))-DATE(2016,1,1)+1,1)</f>
        <v>18.7</v>
      </c>
      <c r="W260" s="176" t="e">
        <f>IF(T!$A$4&lt;MONTH(S260),VLOOKUP(S260,'[8]Podklady MZ'!$R$2:$S$367,2,FALSE),NA())</f>
        <v>#N/A</v>
      </c>
    </row>
    <row r="261" spans="19:23" x14ac:dyDescent="0.2">
      <c r="S261" s="76">
        <f t="shared" si="4"/>
        <v>42264</v>
      </c>
      <c r="T261" s="77">
        <f>INDEX([12]ČR!$D$18:$D$383,DATE(2016,MONTH(S261),DAY(S261))-DATE(2016,1,1)+1,1)/1000000</f>
        <v>12.671244461294396</v>
      </c>
      <c r="U261" s="77">
        <f>IF(T!$A$4&gt;=MONTH(S261),VLOOKUP(S261,'[8]Podklady MZ'!$R$2:$S$367,2,FALSE),NA())</f>
        <v>10.390631158546531</v>
      </c>
      <c r="V261" s="176">
        <f>INDEX([5]PT!$AF$16:$AF$381,DATE(2016,MONTH(S261),DAY(S261))-DATE(2016,1,1)+1,1)</f>
        <v>20.6</v>
      </c>
      <c r="W261" s="176" t="e">
        <f>IF(T!$A$4&lt;MONTH(S261),VLOOKUP(S261,'[8]Podklady MZ'!$R$2:$S$367,2,FALSE),NA())</f>
        <v>#N/A</v>
      </c>
    </row>
    <row r="262" spans="19:23" x14ac:dyDescent="0.2">
      <c r="S262" s="76">
        <f t="shared" si="4"/>
        <v>42265</v>
      </c>
      <c r="T262" s="77">
        <f>INDEX([12]ČR!$D$18:$D$383,DATE(2016,MONTH(S262),DAY(S262))-DATE(2016,1,1)+1,1)/1000000</f>
        <v>11.989948031649744</v>
      </c>
      <c r="U262" s="77">
        <f>IF(T!$A$4&gt;=MONTH(S262),VLOOKUP(S262,'[8]Podklady MZ'!$R$2:$S$367,2,FALSE),NA())</f>
        <v>10.437855721536367</v>
      </c>
      <c r="V262" s="176">
        <f>INDEX([5]PT!$AF$16:$AF$381,DATE(2016,MONTH(S262),DAY(S262))-DATE(2016,1,1)+1,1)</f>
        <v>14.1</v>
      </c>
      <c r="W262" s="176" t="e">
        <f>IF(T!$A$4&lt;MONTH(S262),VLOOKUP(S262,'[8]Podklady MZ'!$R$2:$S$367,2,FALSE),NA())</f>
        <v>#N/A</v>
      </c>
    </row>
    <row r="263" spans="19:23" x14ac:dyDescent="0.2">
      <c r="S263" s="76">
        <f t="shared" si="4"/>
        <v>42266</v>
      </c>
      <c r="T263" s="77">
        <f>INDEX([12]ČR!$D$18:$D$383,DATE(2016,MONTH(S263),DAY(S263))-DATE(2016,1,1)+1,1)/1000000</f>
        <v>11.364076094157173</v>
      </c>
      <c r="U263" s="77">
        <f>IF(T!$A$4&gt;=MONTH(S263),VLOOKUP(S263,'[8]Podklady MZ'!$R$2:$S$367,2,FALSE),NA())</f>
        <v>8.9750896284534942</v>
      </c>
      <c r="V263" s="176">
        <f>INDEX([5]PT!$AF$16:$AF$381,DATE(2016,MONTH(S263),DAY(S263))-DATE(2016,1,1)+1,1)</f>
        <v>14.7</v>
      </c>
      <c r="W263" s="176" t="e">
        <f>IF(T!$A$4&lt;MONTH(S263),VLOOKUP(S263,'[8]Podklady MZ'!$R$2:$S$367,2,FALSE),NA())</f>
        <v>#N/A</v>
      </c>
    </row>
    <row r="264" spans="19:23" x14ac:dyDescent="0.2">
      <c r="S264" s="76">
        <f t="shared" si="4"/>
        <v>42267</v>
      </c>
      <c r="T264" s="77">
        <f>INDEX([12]ČR!$D$18:$D$383,DATE(2016,MONTH(S264),DAY(S264))-DATE(2016,1,1)+1,1)/1000000</f>
        <v>9.8209909016072672</v>
      </c>
      <c r="U264" s="77">
        <f>IF(T!$A$4&gt;=MONTH(S264),VLOOKUP(S264,'[8]Podklady MZ'!$R$2:$S$367,2,FALSE),NA())</f>
        <v>10.140231654609236</v>
      </c>
      <c r="V264" s="176">
        <f>INDEX([5]PT!$AF$16:$AF$381,DATE(2016,MONTH(S264),DAY(S264))-DATE(2016,1,1)+1,1)</f>
        <v>11.4</v>
      </c>
      <c r="W264" s="176" t="e">
        <f>IF(T!$A$4&lt;MONTH(S264),VLOOKUP(S264,'[8]Podklady MZ'!$R$2:$S$367,2,FALSE),NA())</f>
        <v>#N/A</v>
      </c>
    </row>
    <row r="265" spans="19:23" x14ac:dyDescent="0.2">
      <c r="S265" s="76">
        <f t="shared" si="4"/>
        <v>42268</v>
      </c>
      <c r="T265" s="77">
        <f>INDEX([12]ČR!$D$18:$D$383,DATE(2016,MONTH(S265),DAY(S265))-DATE(2016,1,1)+1,1)/1000000</f>
        <v>10.249617120759694</v>
      </c>
      <c r="U265" s="77">
        <f>IF(T!$A$4&gt;=MONTH(S265),VLOOKUP(S265,'[8]Podklady MZ'!$R$2:$S$367,2,FALSE),NA())</f>
        <v>14.685402776933721</v>
      </c>
      <c r="V265" s="176">
        <f>INDEX([5]PT!$AF$16:$AF$381,DATE(2016,MONTH(S265),DAY(S265))-DATE(2016,1,1)+1,1)</f>
        <v>10.3</v>
      </c>
      <c r="W265" s="176" t="e">
        <f>IF(T!$A$4&lt;MONTH(S265),VLOOKUP(S265,'[8]Podklady MZ'!$R$2:$S$367,2,FALSE),NA())</f>
        <v>#N/A</v>
      </c>
    </row>
    <row r="266" spans="19:23" x14ac:dyDescent="0.2">
      <c r="S266" s="76">
        <f t="shared" si="4"/>
        <v>42269</v>
      </c>
      <c r="T266" s="77">
        <f>INDEX([12]ČR!$D$18:$D$383,DATE(2016,MONTH(S266),DAY(S266))-DATE(2016,1,1)+1,1)/1000000</f>
        <v>13.441887604874745</v>
      </c>
      <c r="U266" s="77">
        <f>IF(T!$A$4&gt;=MONTH(S266),VLOOKUP(S266,'[8]Podklady MZ'!$R$2:$S$367,2,FALSE),NA())</f>
        <v>12.553554758620496</v>
      </c>
      <c r="V266" s="176">
        <f>INDEX([5]PT!$AF$16:$AF$381,DATE(2016,MONTH(S266),DAY(S266))-DATE(2016,1,1)+1,1)</f>
        <v>13.1</v>
      </c>
      <c r="W266" s="176" t="e">
        <f>IF(T!$A$4&lt;MONTH(S266),VLOOKUP(S266,'[8]Podklady MZ'!$R$2:$S$367,2,FALSE),NA())</f>
        <v>#N/A</v>
      </c>
    </row>
    <row r="267" spans="19:23" x14ac:dyDescent="0.2">
      <c r="S267" s="76">
        <f t="shared" si="4"/>
        <v>42270</v>
      </c>
      <c r="T267" s="77">
        <f>INDEX([12]ČR!$D$18:$D$383,DATE(2016,MONTH(S267),DAY(S267))-DATE(2016,1,1)+1,1)/1000000</f>
        <v>15.490501500711011</v>
      </c>
      <c r="U267" s="77">
        <f>IF(T!$A$4&gt;=MONTH(S267),VLOOKUP(S267,'[8]Podklady MZ'!$R$2:$S$367,2,FALSE),NA())</f>
        <v>14.359633688987152</v>
      </c>
      <c r="V267" s="176">
        <f>INDEX([5]PT!$AF$16:$AF$381,DATE(2016,MONTH(S267),DAY(S267))-DATE(2016,1,1)+1,1)</f>
        <v>11.5</v>
      </c>
      <c r="W267" s="176" t="e">
        <f>IF(T!$A$4&lt;MONTH(S267),VLOOKUP(S267,'[8]Podklady MZ'!$R$2:$S$367,2,FALSE),NA())</f>
        <v>#N/A</v>
      </c>
    </row>
    <row r="268" spans="19:23" x14ac:dyDescent="0.2">
      <c r="S268" s="76">
        <f t="shared" si="4"/>
        <v>42271</v>
      </c>
      <c r="T268" s="77">
        <f>INDEX([12]ČR!$D$18:$D$383,DATE(2016,MONTH(S268),DAY(S268))-DATE(2016,1,1)+1,1)/1000000</f>
        <v>16.24927609940001</v>
      </c>
      <c r="U268" s="77">
        <f>IF(T!$A$4&gt;=MONTH(S268),VLOOKUP(S268,'[8]Podklady MZ'!$R$2:$S$367,2,FALSE),NA())</f>
        <v>13.187685903645663</v>
      </c>
      <c r="V268" s="176">
        <f>INDEX([5]PT!$AF$16:$AF$381,DATE(2016,MONTH(S268),DAY(S268))-DATE(2016,1,1)+1,1)</f>
        <v>12.6</v>
      </c>
      <c r="W268" s="176" t="e">
        <f>IF(T!$A$4&lt;MONTH(S268),VLOOKUP(S268,'[8]Podklady MZ'!$R$2:$S$367,2,FALSE),NA())</f>
        <v>#N/A</v>
      </c>
    </row>
    <row r="269" spans="19:23" x14ac:dyDescent="0.2">
      <c r="S269" s="76">
        <f t="shared" si="4"/>
        <v>42272</v>
      </c>
      <c r="T269" s="77">
        <f>INDEX([12]ČR!$D$18:$D$383,DATE(2016,MONTH(S269),DAY(S269))-DATE(2016,1,1)+1,1)/1000000</f>
        <v>15.939579205348613</v>
      </c>
      <c r="U269" s="77">
        <f>IF(T!$A$4&gt;=MONTH(S269),VLOOKUP(S269,'[8]Podklady MZ'!$R$2:$S$367,2,FALSE),NA())</f>
        <v>12.952785702018016</v>
      </c>
      <c r="V269" s="176">
        <f>INDEX([5]PT!$AF$16:$AF$381,DATE(2016,MONTH(S269),DAY(S269))-DATE(2016,1,1)+1,1)</f>
        <v>13.7</v>
      </c>
      <c r="W269" s="176" t="e">
        <f>IF(T!$A$4&lt;MONTH(S269),VLOOKUP(S269,'[8]Podklady MZ'!$R$2:$S$367,2,FALSE),NA())</f>
        <v>#N/A</v>
      </c>
    </row>
    <row r="270" spans="19:23" x14ac:dyDescent="0.2">
      <c r="S270" s="76">
        <f t="shared" si="4"/>
        <v>42273</v>
      </c>
      <c r="T270" s="77">
        <f>INDEX([12]ČR!$D$18:$D$383,DATE(2016,MONTH(S270),DAY(S270))-DATE(2016,1,1)+1,1)/1000000</f>
        <v>15.784708074920571</v>
      </c>
      <c r="U270" s="77">
        <f>IF(T!$A$4&gt;=MONTH(S270),VLOOKUP(S270,'[8]Podklady MZ'!$R$2:$S$367,2,FALSE),NA())</f>
        <v>11.714102901755435</v>
      </c>
      <c r="V270" s="176">
        <f>INDEX([5]PT!$AF$16:$AF$381,DATE(2016,MONTH(S270),DAY(S270))-DATE(2016,1,1)+1,1)</f>
        <v>12.1</v>
      </c>
      <c r="W270" s="176" t="e">
        <f>IF(T!$A$4&lt;MONTH(S270),VLOOKUP(S270,'[8]Podklady MZ'!$R$2:$S$367,2,FALSE),NA())</f>
        <v>#N/A</v>
      </c>
    </row>
    <row r="271" spans="19:23" x14ac:dyDescent="0.2">
      <c r="S271" s="76">
        <f t="shared" si="4"/>
        <v>42274</v>
      </c>
      <c r="T271" s="77">
        <f>INDEX([12]ČR!$D$18:$D$383,DATE(2016,MONTH(S271),DAY(S271))-DATE(2016,1,1)+1,1)/1000000</f>
        <v>12.817301637118813</v>
      </c>
      <c r="U271" s="77">
        <f>IF(T!$A$4&gt;=MONTH(S271),VLOOKUP(S271,'[8]Podklady MZ'!$R$2:$S$367,2,FALSE),NA())</f>
        <v>12.05665177038618</v>
      </c>
      <c r="V271" s="176">
        <f>INDEX([5]PT!$AF$16:$AF$381,DATE(2016,MONTH(S271),DAY(S271))-DATE(2016,1,1)+1,1)</f>
        <v>11</v>
      </c>
      <c r="W271" s="176" t="e">
        <f>IF(T!$A$4&lt;MONTH(S271),VLOOKUP(S271,'[8]Podklady MZ'!$R$2:$S$367,2,FALSE),NA())</f>
        <v>#N/A</v>
      </c>
    </row>
    <row r="272" spans="19:23" x14ac:dyDescent="0.2">
      <c r="S272" s="76">
        <f t="shared" si="4"/>
        <v>42275</v>
      </c>
      <c r="T272" s="77">
        <f>INDEX([12]ČR!$D$18:$D$383,DATE(2016,MONTH(S272),DAY(S272))-DATE(2016,1,1)+1,1)/1000000</f>
        <v>12.838785139497604</v>
      </c>
      <c r="U272" s="77">
        <f>IF(T!$A$4&gt;=MONTH(S272),VLOOKUP(S272,'[8]Podklady MZ'!$R$2:$S$367,2,FALSE),NA())</f>
        <v>13.31929253083147</v>
      </c>
      <c r="V272" s="176">
        <f>INDEX([5]PT!$AF$16:$AF$381,DATE(2016,MONTH(S272),DAY(S272))-DATE(2016,1,1)+1,1)</f>
        <v>10</v>
      </c>
      <c r="W272" s="176" t="e">
        <f>IF(T!$A$4&lt;MONTH(S272),VLOOKUP(S272,'[8]Podklady MZ'!$R$2:$S$367,2,FALSE),NA())</f>
        <v>#N/A</v>
      </c>
    </row>
    <row r="273" spans="19:23" x14ac:dyDescent="0.2">
      <c r="S273" s="76">
        <f t="shared" si="4"/>
        <v>42276</v>
      </c>
      <c r="T273" s="77">
        <f>INDEX([12]ČR!$D$18:$D$383,DATE(2016,MONTH(S273),DAY(S273))-DATE(2016,1,1)+1,1)/1000000</f>
        <v>14.427943495360427</v>
      </c>
      <c r="U273" s="77">
        <f>IF(T!$A$4&gt;=MONTH(S273),VLOOKUP(S273,'[8]Podklady MZ'!$R$2:$S$367,2,FALSE),NA())</f>
        <v>16.378723737316371</v>
      </c>
      <c r="V273" s="176">
        <f>INDEX([5]PT!$AF$16:$AF$381,DATE(2016,MONTH(S273),DAY(S273))-DATE(2016,1,1)+1,1)</f>
        <v>9.1999999999999993</v>
      </c>
      <c r="W273" s="176" t="e">
        <f>IF(T!$A$4&lt;MONTH(S273),VLOOKUP(S273,'[8]Podklady MZ'!$R$2:$S$367,2,FALSE),NA())</f>
        <v>#N/A</v>
      </c>
    </row>
    <row r="274" spans="19:23" x14ac:dyDescent="0.2">
      <c r="S274" s="76">
        <f t="shared" si="4"/>
        <v>42277</v>
      </c>
      <c r="T274" s="77">
        <f>INDEX([12]ČR!$D$18:$D$383,DATE(2016,MONTH(S274),DAY(S274))-DATE(2016,1,1)+1,1)/1000000</f>
        <v>14.342826680174253</v>
      </c>
      <c r="U274" s="77">
        <f>IF(T!$A$4&gt;=MONTH(S274),VLOOKUP(S274,'[8]Podklady MZ'!$R$2:$S$367,2,FALSE),NA())</f>
        <v>18.580584968434316</v>
      </c>
      <c r="V274" s="176">
        <f>INDEX([5]PT!$AF$16:$AF$381,DATE(2016,MONTH(S274),DAY(S274))-DATE(2016,1,1)+1,1)</f>
        <v>7.6</v>
      </c>
      <c r="W274" s="176" t="e">
        <f>IF(T!$A$4&lt;MONTH(S274),VLOOKUP(S274,'[8]Podklady MZ'!$R$2:$S$367,2,FALSE),NA())</f>
        <v>#N/A</v>
      </c>
    </row>
    <row r="275" spans="19:23" x14ac:dyDescent="0.2">
      <c r="S275" s="76">
        <f t="shared" si="4"/>
        <v>42278</v>
      </c>
      <c r="T275" s="77">
        <f>INDEX([12]ČR!$D$18:$D$383,DATE(2016,MONTH(S275),DAY(S275))-DATE(2016,1,1)+1,1)/1000000</f>
        <v>14.672599361198165</v>
      </c>
      <c r="U275" s="77">
        <f>IF(T!$A$4&gt;=MONTH(S275),VLOOKUP(S275,'[8]Podklady MZ'!$R$2:$S$367,2,FALSE),NA())</f>
        <v>18.92168176607754</v>
      </c>
      <c r="V275" s="176">
        <f>INDEX([5]PT!$AF$16:$AF$381,DATE(2016,MONTH(S275),DAY(S275))-DATE(2016,1,1)+1,1)</f>
        <v>7.2</v>
      </c>
      <c r="W275" s="176" t="e">
        <f>IF(T!$A$4&lt;MONTH(S275),VLOOKUP(S275,'[8]Podklady MZ'!$R$2:$S$367,2,FALSE),NA())</f>
        <v>#N/A</v>
      </c>
    </row>
    <row r="276" spans="19:23" x14ac:dyDescent="0.2">
      <c r="S276" s="76">
        <f t="shared" si="4"/>
        <v>42279</v>
      </c>
      <c r="T276" s="77">
        <f>INDEX([12]ČR!$D$18:$D$383,DATE(2016,MONTH(S276),DAY(S276))-DATE(2016,1,1)+1,1)/1000000</f>
        <v>14.937437234854114</v>
      </c>
      <c r="U276" s="77">
        <f>IF(T!$A$4&gt;=MONTH(S276),VLOOKUP(S276,'[8]Podklady MZ'!$R$2:$S$367,2,FALSE),NA())</f>
        <v>17.859079077775508</v>
      </c>
      <c r="V276" s="176">
        <f>INDEX([5]PT!$AF$16:$AF$381,DATE(2016,MONTH(S276),DAY(S276))-DATE(2016,1,1)+1,1)</f>
        <v>9.8000000000000007</v>
      </c>
      <c r="W276" s="176" t="e">
        <f>IF(T!$A$4&lt;MONTH(S276),VLOOKUP(S276,'[8]Podklady MZ'!$R$2:$S$367,2,FALSE),NA())</f>
        <v>#N/A</v>
      </c>
    </row>
    <row r="277" spans="19:23" x14ac:dyDescent="0.2">
      <c r="S277" s="76">
        <f t="shared" si="4"/>
        <v>42280</v>
      </c>
      <c r="T277" s="77">
        <f>INDEX([12]ČR!$D$18:$D$383,DATE(2016,MONTH(S277),DAY(S277))-DATE(2016,1,1)+1,1)/1000000</f>
        <v>15.024224818934954</v>
      </c>
      <c r="U277" s="77">
        <f>IF(T!$A$4&gt;=MONTH(S277),VLOOKUP(S277,'[8]Podklady MZ'!$R$2:$S$367,2,FALSE),NA())</f>
        <v>14.158911197204462</v>
      </c>
      <c r="V277" s="176">
        <f>INDEX([5]PT!$AF$16:$AF$381,DATE(2016,MONTH(S277),DAY(S277))-DATE(2016,1,1)+1,1)</f>
        <v>13.1</v>
      </c>
      <c r="W277" s="176" t="e">
        <f>IF(T!$A$4&lt;MONTH(S277),VLOOKUP(S277,'[8]Podklady MZ'!$R$2:$S$367,2,FALSE),NA())</f>
        <v>#N/A</v>
      </c>
    </row>
    <row r="278" spans="19:23" x14ac:dyDescent="0.2">
      <c r="S278" s="76">
        <f t="shared" si="4"/>
        <v>42281</v>
      </c>
      <c r="T278" s="77">
        <f>INDEX([12]ČR!$D$18:$D$383,DATE(2016,MONTH(S278),DAY(S278))-DATE(2016,1,1)+1,1)/1000000</f>
        <v>14.082394436836998</v>
      </c>
      <c r="U278" s="77">
        <f>IF(T!$A$4&gt;=MONTH(S278),VLOOKUP(S278,'[8]Podklady MZ'!$R$2:$S$367,2,FALSE),NA())</f>
        <v>13.891405785625052</v>
      </c>
      <c r="V278" s="176">
        <f>INDEX([5]PT!$AF$16:$AF$381,DATE(2016,MONTH(S278),DAY(S278))-DATE(2016,1,1)+1,1)</f>
        <v>12.4</v>
      </c>
      <c r="W278" s="176" t="e">
        <f>IF(T!$A$4&lt;MONTH(S278),VLOOKUP(S278,'[8]Podklady MZ'!$R$2:$S$367,2,FALSE),NA())</f>
        <v>#N/A</v>
      </c>
    </row>
    <row r="279" spans="19:23" x14ac:dyDescent="0.2">
      <c r="S279" s="76">
        <f t="shared" si="4"/>
        <v>42282</v>
      </c>
      <c r="T279" s="77">
        <f>INDEX([12]ČR!$D$18:$D$383,DATE(2016,MONTH(S279),DAY(S279))-DATE(2016,1,1)+1,1)/1000000</f>
        <v>14.703838786388099</v>
      </c>
      <c r="U279" s="77">
        <f>IF(T!$A$4&gt;=MONTH(S279),VLOOKUP(S279,'[8]Podklady MZ'!$R$2:$S$367,2,FALSE),NA())</f>
        <v>15.701599472846643</v>
      </c>
      <c r="V279" s="176">
        <f>INDEX([5]PT!$AF$16:$AF$381,DATE(2016,MONTH(S279),DAY(S279))-DATE(2016,1,1)+1,1)</f>
        <v>12.3</v>
      </c>
      <c r="W279" s="176" t="e">
        <f>IF(T!$A$4&lt;MONTH(S279),VLOOKUP(S279,'[8]Podklady MZ'!$R$2:$S$367,2,FALSE),NA())</f>
        <v>#N/A</v>
      </c>
    </row>
    <row r="280" spans="19:23" x14ac:dyDescent="0.2">
      <c r="S280" s="76">
        <f t="shared" si="4"/>
        <v>42283</v>
      </c>
      <c r="T280" s="77">
        <f>INDEX([12]ČR!$D$18:$D$383,DATE(2016,MONTH(S280),DAY(S280))-DATE(2016,1,1)+1,1)/1000000</f>
        <v>16.851060623207204</v>
      </c>
      <c r="U280" s="77">
        <f>IF(T!$A$4&gt;=MONTH(S280),VLOOKUP(S280,'[8]Podklady MZ'!$R$2:$S$367,2,FALSE),NA())</f>
        <v>16.066707061324717</v>
      </c>
      <c r="V280" s="176">
        <f>INDEX([5]PT!$AF$16:$AF$381,DATE(2016,MONTH(S280),DAY(S280))-DATE(2016,1,1)+1,1)</f>
        <v>12.9</v>
      </c>
      <c r="W280" s="176" t="e">
        <f>IF(T!$A$4&lt;MONTH(S280),VLOOKUP(S280,'[8]Podklady MZ'!$R$2:$S$367,2,FALSE),NA())</f>
        <v>#N/A</v>
      </c>
    </row>
    <row r="281" spans="19:23" x14ac:dyDescent="0.2">
      <c r="S281" s="76">
        <f t="shared" si="4"/>
        <v>42284</v>
      </c>
      <c r="T281" s="77">
        <f>INDEX([12]ČR!$D$18:$D$383,DATE(2016,MONTH(S281),DAY(S281))-DATE(2016,1,1)+1,1)/1000000</f>
        <v>17.837122085778574</v>
      </c>
      <c r="U281" s="77">
        <f>IF(T!$A$4&gt;=MONTH(S281),VLOOKUP(S281,'[8]Podklady MZ'!$R$2:$S$367,2,FALSE),NA())</f>
        <v>18.367584583883939</v>
      </c>
      <c r="V281" s="176">
        <f>INDEX([5]PT!$AF$16:$AF$381,DATE(2016,MONTH(S281),DAY(S281))-DATE(2016,1,1)+1,1)</f>
        <v>13.4</v>
      </c>
      <c r="W281" s="176" t="e">
        <f>IF(T!$A$4&lt;MONTH(S281),VLOOKUP(S281,'[8]Podklady MZ'!$R$2:$S$367,2,FALSE),NA())</f>
        <v>#N/A</v>
      </c>
    </row>
    <row r="282" spans="19:23" x14ac:dyDescent="0.2">
      <c r="S282" s="76">
        <f t="shared" si="4"/>
        <v>42285</v>
      </c>
      <c r="T282" s="77">
        <f>INDEX([12]ČR!$D$18:$D$383,DATE(2016,MONTH(S282),DAY(S282))-DATE(2016,1,1)+1,1)/1000000</f>
        <v>16.556639874486695</v>
      </c>
      <c r="U282" s="77">
        <f>IF(T!$A$4&gt;=MONTH(S282),VLOOKUP(S282,'[8]Podklady MZ'!$R$2:$S$367,2,FALSE),NA())</f>
        <v>19.573674881397462</v>
      </c>
      <c r="V282" s="176">
        <f>INDEX([5]PT!$AF$16:$AF$381,DATE(2016,MONTH(S282),DAY(S282))-DATE(2016,1,1)+1,1)</f>
        <v>12.1</v>
      </c>
      <c r="W282" s="176" t="e">
        <f>IF(T!$A$4&lt;MONTH(S282),VLOOKUP(S282,'[8]Podklady MZ'!$R$2:$S$367,2,FALSE),NA())</f>
        <v>#N/A</v>
      </c>
    </row>
    <row r="283" spans="19:23" x14ac:dyDescent="0.2">
      <c r="S283" s="76">
        <f t="shared" si="4"/>
        <v>42286</v>
      </c>
      <c r="T283" s="77">
        <f>INDEX([12]ČR!$D$18:$D$383,DATE(2016,MONTH(S283),DAY(S283))-DATE(2016,1,1)+1,1)/1000000</f>
        <v>15.092905475487182</v>
      </c>
      <c r="U283" s="77">
        <f>IF(T!$A$4&gt;=MONTH(S283),VLOOKUP(S283,'[8]Podklady MZ'!$R$2:$S$367,2,FALSE),NA())</f>
        <v>20.108905185047394</v>
      </c>
      <c r="V283" s="176">
        <f>INDEX([5]PT!$AF$16:$AF$381,DATE(2016,MONTH(S283),DAY(S283))-DATE(2016,1,1)+1,1)</f>
        <v>10.199999999999999</v>
      </c>
      <c r="W283" s="176" t="e">
        <f>IF(T!$A$4&lt;MONTH(S283),VLOOKUP(S283,'[8]Podklady MZ'!$R$2:$S$367,2,FALSE),NA())</f>
        <v>#N/A</v>
      </c>
    </row>
    <row r="284" spans="19:23" x14ac:dyDescent="0.2">
      <c r="S284" s="76">
        <f t="shared" si="4"/>
        <v>42287</v>
      </c>
      <c r="T284" s="77">
        <f>INDEX([12]ČR!$D$18:$D$383,DATE(2016,MONTH(S284),DAY(S284))-DATE(2016,1,1)+1,1)/1000000</f>
        <v>14.757388313683579</v>
      </c>
      <c r="U284" s="77">
        <f>IF(T!$A$4&gt;=MONTH(S284),VLOOKUP(S284,'[8]Podklady MZ'!$R$2:$S$367,2,FALSE),NA())</f>
        <v>17.884759805823556</v>
      </c>
      <c r="V284" s="176">
        <f>INDEX([5]PT!$AF$16:$AF$381,DATE(2016,MONTH(S284),DAY(S284))-DATE(2016,1,1)+1,1)</f>
        <v>7.8</v>
      </c>
      <c r="W284" s="176" t="e">
        <f>IF(T!$A$4&lt;MONTH(S284),VLOOKUP(S284,'[8]Podklady MZ'!$R$2:$S$367,2,FALSE),NA())</f>
        <v>#N/A</v>
      </c>
    </row>
    <row r="285" spans="19:23" x14ac:dyDescent="0.2">
      <c r="S285" s="76">
        <f t="shared" si="4"/>
        <v>42288</v>
      </c>
      <c r="T285" s="77">
        <f>INDEX([12]ČR!$D$18:$D$383,DATE(2016,MONTH(S285),DAY(S285))-DATE(2016,1,1)+1,1)/1000000</f>
        <v>12.577807255365114</v>
      </c>
      <c r="U285" s="77">
        <f>IF(T!$A$4&gt;=MONTH(S285),VLOOKUP(S285,'[8]Podklady MZ'!$R$2:$S$367,2,FALSE),NA())</f>
        <v>20.746931442756491</v>
      </c>
      <c r="V285" s="176">
        <f>INDEX([5]PT!$AF$16:$AF$381,DATE(2016,MONTH(S285),DAY(S285))-DATE(2016,1,1)+1,1)</f>
        <v>4.4000000000000004</v>
      </c>
      <c r="W285" s="176" t="e">
        <f>IF(T!$A$4&lt;MONTH(S285),VLOOKUP(S285,'[8]Podklady MZ'!$R$2:$S$367,2,FALSE),NA())</f>
        <v>#N/A</v>
      </c>
    </row>
    <row r="286" spans="19:23" x14ac:dyDescent="0.2">
      <c r="S286" s="76">
        <f t="shared" si="4"/>
        <v>42289</v>
      </c>
      <c r="T286" s="77">
        <f>INDEX([12]ČR!$D$18:$D$383,DATE(2016,MONTH(S286),DAY(S286))-DATE(2016,1,1)+1,1)/1000000</f>
        <v>12.420204680277019</v>
      </c>
      <c r="U286" s="77">
        <f>IF(T!$A$4&gt;=MONTH(S286),VLOOKUP(S286,'[8]Podklady MZ'!$R$2:$S$367,2,FALSE),NA())</f>
        <v>27.530719494693717</v>
      </c>
      <c r="V286" s="176">
        <f>INDEX([5]PT!$AF$16:$AF$381,DATE(2016,MONTH(S286),DAY(S286))-DATE(2016,1,1)+1,1)</f>
        <v>2.1</v>
      </c>
      <c r="W286" s="176" t="e">
        <f>IF(T!$A$4&lt;MONTH(S286),VLOOKUP(S286,'[8]Podklady MZ'!$R$2:$S$367,2,FALSE),NA())</f>
        <v>#N/A</v>
      </c>
    </row>
    <row r="287" spans="19:23" x14ac:dyDescent="0.2">
      <c r="S287" s="76">
        <f t="shared" si="4"/>
        <v>42290</v>
      </c>
      <c r="T287" s="77">
        <f>INDEX([12]ČR!$D$18:$D$383,DATE(2016,MONTH(S287),DAY(S287))-DATE(2016,1,1)+1,1)/1000000</f>
        <v>14.379633515847994</v>
      </c>
      <c r="U287" s="77">
        <f>IF(T!$A$4&gt;=MONTH(S287),VLOOKUP(S287,'[8]Podklady MZ'!$R$2:$S$367,2,FALSE),NA())</f>
        <v>30.622928281272621</v>
      </c>
      <c r="V287" s="176">
        <f>INDEX([5]PT!$AF$16:$AF$381,DATE(2016,MONTH(S287),DAY(S287))-DATE(2016,1,1)+1,1)</f>
        <v>3</v>
      </c>
      <c r="W287" s="176" t="e">
        <f>IF(T!$A$4&lt;MONTH(S287),VLOOKUP(S287,'[8]Podklady MZ'!$R$2:$S$367,2,FALSE),NA())</f>
        <v>#N/A</v>
      </c>
    </row>
    <row r="288" spans="19:23" x14ac:dyDescent="0.2">
      <c r="S288" s="76">
        <f t="shared" si="4"/>
        <v>42291</v>
      </c>
      <c r="T288" s="77">
        <f>INDEX([12]ČR!$D$18:$D$383,DATE(2016,MONTH(S288),DAY(S288))-DATE(2016,1,1)+1,1)/1000000</f>
        <v>14.975768861072046</v>
      </c>
      <c r="U288" s="77">
        <f>IF(T!$A$4&gt;=MONTH(S288),VLOOKUP(S288,'[8]Podklady MZ'!$R$2:$S$367,2,FALSE),NA())</f>
        <v>29.183774606730523</v>
      </c>
      <c r="V288" s="176">
        <f>INDEX([5]PT!$AF$16:$AF$381,DATE(2016,MONTH(S288),DAY(S288))-DATE(2016,1,1)+1,1)</f>
        <v>6.3</v>
      </c>
      <c r="W288" s="176" t="e">
        <f>IF(T!$A$4&lt;MONTH(S288),VLOOKUP(S288,'[8]Podklady MZ'!$R$2:$S$367,2,FALSE),NA())</f>
        <v>#N/A</v>
      </c>
    </row>
    <row r="289" spans="19:23" x14ac:dyDescent="0.2">
      <c r="S289" s="76">
        <f t="shared" si="4"/>
        <v>42292</v>
      </c>
      <c r="T289" s="77">
        <f>INDEX([12]ČR!$D$18:$D$383,DATE(2016,MONTH(S289),DAY(S289))-DATE(2016,1,1)+1,1)/1000000</f>
        <v>16.572652806813757</v>
      </c>
      <c r="U289" s="77">
        <f>IF(T!$A$4&gt;=MONTH(S289),VLOOKUP(S289,'[8]Podklady MZ'!$R$2:$S$367,2,FALSE),NA())</f>
        <v>28.202373459662063</v>
      </c>
      <c r="V289" s="176">
        <f>INDEX([5]PT!$AF$16:$AF$381,DATE(2016,MONTH(S289),DAY(S289))-DATE(2016,1,1)+1,1)</f>
        <v>9.4</v>
      </c>
      <c r="W289" s="176" t="e">
        <f>IF(T!$A$4&lt;MONTH(S289),VLOOKUP(S289,'[8]Podklady MZ'!$R$2:$S$367,2,FALSE),NA())</f>
        <v>#N/A</v>
      </c>
    </row>
    <row r="290" spans="19:23" x14ac:dyDescent="0.2">
      <c r="S290" s="76">
        <f t="shared" si="4"/>
        <v>42293</v>
      </c>
      <c r="T290" s="77">
        <f>INDEX([12]ČR!$D$18:$D$383,DATE(2016,MONTH(S290),DAY(S290))-DATE(2016,1,1)+1,1)/1000000</f>
        <v>16.32268119993379</v>
      </c>
      <c r="U290" s="77">
        <f>IF(T!$A$4&gt;=MONTH(S290),VLOOKUP(S290,'[8]Podklady MZ'!$R$2:$S$367,2,FALSE),NA())</f>
        <v>25.078679715217604</v>
      </c>
      <c r="V290" s="176">
        <f>INDEX([5]PT!$AF$16:$AF$381,DATE(2016,MONTH(S290),DAY(S290))-DATE(2016,1,1)+1,1)</f>
        <v>8.4</v>
      </c>
      <c r="W290" s="176" t="e">
        <f>IF(T!$A$4&lt;MONTH(S290),VLOOKUP(S290,'[8]Podklady MZ'!$R$2:$S$367,2,FALSE),NA())</f>
        <v>#N/A</v>
      </c>
    </row>
    <row r="291" spans="19:23" x14ac:dyDescent="0.2">
      <c r="S291" s="76">
        <f t="shared" si="4"/>
        <v>42294</v>
      </c>
      <c r="T291" s="77">
        <f>INDEX([12]ČR!$D$18:$D$383,DATE(2016,MONTH(S291),DAY(S291))-DATE(2016,1,1)+1,1)/1000000</f>
        <v>16.501299539387901</v>
      </c>
      <c r="U291" s="77">
        <f>IF(T!$A$4&gt;=MONTH(S291),VLOOKUP(S291,'[8]Podklady MZ'!$R$2:$S$367,2,FALSE),NA())</f>
        <v>21.138062621865899</v>
      </c>
      <c r="V291" s="176">
        <f>INDEX([5]PT!$AF$16:$AF$381,DATE(2016,MONTH(S291),DAY(S291))-DATE(2016,1,1)+1,1)</f>
        <v>5.3</v>
      </c>
      <c r="W291" s="176" t="e">
        <f>IF(T!$A$4&lt;MONTH(S291),VLOOKUP(S291,'[8]Podklady MZ'!$R$2:$S$367,2,FALSE),NA())</f>
        <v>#N/A</v>
      </c>
    </row>
    <row r="292" spans="19:23" x14ac:dyDescent="0.2">
      <c r="S292" s="76">
        <f t="shared" si="4"/>
        <v>42295</v>
      </c>
      <c r="T292" s="77">
        <f>INDEX([12]ČR!$D$18:$D$383,DATE(2016,MONTH(S292),DAY(S292))-DATE(2016,1,1)+1,1)/1000000</f>
        <v>14.211969279977012</v>
      </c>
      <c r="U292" s="77">
        <f>IF(T!$A$4&gt;=MONTH(S292),VLOOKUP(S292,'[8]Podklady MZ'!$R$2:$S$367,2,FALSE),NA())</f>
        <v>22.284270149972549</v>
      </c>
      <c r="V292" s="176">
        <f>INDEX([5]PT!$AF$16:$AF$381,DATE(2016,MONTH(S292),DAY(S292))-DATE(2016,1,1)+1,1)</f>
        <v>5.9</v>
      </c>
      <c r="W292" s="176" t="e">
        <f>IF(T!$A$4&lt;MONTH(S292),VLOOKUP(S292,'[8]Podklady MZ'!$R$2:$S$367,2,FALSE),NA())</f>
        <v>#N/A</v>
      </c>
    </row>
    <row r="293" spans="19:23" x14ac:dyDescent="0.2">
      <c r="S293" s="76">
        <f t="shared" si="4"/>
        <v>42296</v>
      </c>
      <c r="T293" s="77">
        <f>INDEX([12]ČR!$D$18:$D$383,DATE(2016,MONTH(S293),DAY(S293))-DATE(2016,1,1)+1,1)/1000000</f>
        <v>14.947717499801447</v>
      </c>
      <c r="U293" s="77">
        <f>IF(T!$A$4&gt;=MONTH(S293),VLOOKUP(S293,'[8]Podklady MZ'!$R$2:$S$367,2,FALSE),NA())</f>
        <v>27.370289306637236</v>
      </c>
      <c r="V293" s="176">
        <f>INDEX([5]PT!$AF$16:$AF$381,DATE(2016,MONTH(S293),DAY(S293))-DATE(2016,1,1)+1,1)</f>
        <v>6.9</v>
      </c>
      <c r="W293" s="176" t="e">
        <f>IF(T!$A$4&lt;MONTH(S293),VLOOKUP(S293,'[8]Podklady MZ'!$R$2:$S$367,2,FALSE),NA())</f>
        <v>#N/A</v>
      </c>
    </row>
    <row r="294" spans="19:23" x14ac:dyDescent="0.2">
      <c r="S294" s="76">
        <f t="shared" si="4"/>
        <v>42297</v>
      </c>
      <c r="T294" s="77">
        <f>INDEX([12]ČR!$D$18:$D$383,DATE(2016,MONTH(S294),DAY(S294))-DATE(2016,1,1)+1,1)/1000000</f>
        <v>17.188499080847375</v>
      </c>
      <c r="U294" s="77">
        <f>IF(T!$A$4&gt;=MONTH(S294),VLOOKUP(S294,'[8]Podklady MZ'!$R$2:$S$367,2,FALSE),NA())</f>
        <v>28.051681025234185</v>
      </c>
      <c r="V294" s="176">
        <f>INDEX([5]PT!$AF$16:$AF$381,DATE(2016,MONTH(S294),DAY(S294))-DATE(2016,1,1)+1,1)</f>
        <v>5.9</v>
      </c>
      <c r="W294" s="176" t="e">
        <f>IF(T!$A$4&lt;MONTH(S294),VLOOKUP(S294,'[8]Podklady MZ'!$R$2:$S$367,2,FALSE),NA())</f>
        <v>#N/A</v>
      </c>
    </row>
    <row r="295" spans="19:23" x14ac:dyDescent="0.2">
      <c r="S295" s="76">
        <f t="shared" si="4"/>
        <v>42298</v>
      </c>
      <c r="T295" s="77">
        <f>INDEX([12]ČR!$D$18:$D$383,DATE(2016,MONTH(S295),DAY(S295))-DATE(2016,1,1)+1,1)/1000000</f>
        <v>17.722348648076419</v>
      </c>
      <c r="U295" s="77">
        <f>IF(T!$A$4&gt;=MONTH(S295),VLOOKUP(S295,'[8]Podklady MZ'!$R$2:$S$367,2,FALSE),NA())</f>
        <v>27.064873591736855</v>
      </c>
      <c r="V295" s="176">
        <f>INDEX([5]PT!$AF$16:$AF$381,DATE(2016,MONTH(S295),DAY(S295))-DATE(2016,1,1)+1,1)</f>
        <v>7.4</v>
      </c>
      <c r="W295" s="176" t="e">
        <f>IF(T!$A$4&lt;MONTH(S295),VLOOKUP(S295,'[8]Podklady MZ'!$R$2:$S$367,2,FALSE),NA())</f>
        <v>#N/A</v>
      </c>
    </row>
    <row r="296" spans="19:23" x14ac:dyDescent="0.2">
      <c r="S296" s="76">
        <f t="shared" si="4"/>
        <v>42299</v>
      </c>
      <c r="T296" s="77">
        <f>INDEX([12]ČR!$D$18:$D$383,DATE(2016,MONTH(S296),DAY(S296))-DATE(2016,1,1)+1,1)/1000000</f>
        <v>22.243381728859848</v>
      </c>
      <c r="U296" s="77">
        <f>IF(T!$A$4&gt;=MONTH(S296),VLOOKUP(S296,'[8]Podklady MZ'!$R$2:$S$367,2,FALSE),NA())</f>
        <v>24.094114205962875</v>
      </c>
      <c r="V296" s="176">
        <f>INDEX([5]PT!$AF$16:$AF$381,DATE(2016,MONTH(S296),DAY(S296))-DATE(2016,1,1)+1,1)</f>
        <v>7.6</v>
      </c>
      <c r="W296" s="176" t="e">
        <f>IF(T!$A$4&lt;MONTH(S296),VLOOKUP(S296,'[8]Podklady MZ'!$R$2:$S$367,2,FALSE),NA())</f>
        <v>#N/A</v>
      </c>
    </row>
    <row r="297" spans="19:23" x14ac:dyDescent="0.2">
      <c r="S297" s="76">
        <f t="shared" si="4"/>
        <v>42300</v>
      </c>
      <c r="T297" s="77">
        <f>INDEX([12]ČR!$D$18:$D$383,DATE(2016,MONTH(S297),DAY(S297))-DATE(2016,1,1)+1,1)/1000000</f>
        <v>23.527685238451532</v>
      </c>
      <c r="U297" s="77">
        <f>IF(T!$A$4&gt;=MONTH(S297),VLOOKUP(S297,'[8]Podklady MZ'!$R$2:$S$367,2,FALSE),NA())</f>
        <v>22.978637688539639</v>
      </c>
      <c r="V297" s="176">
        <f>INDEX([5]PT!$AF$16:$AF$381,DATE(2016,MONTH(S297),DAY(S297))-DATE(2016,1,1)+1,1)</f>
        <v>7.2</v>
      </c>
      <c r="W297" s="176" t="e">
        <f>IF(T!$A$4&lt;MONTH(S297),VLOOKUP(S297,'[8]Podklady MZ'!$R$2:$S$367,2,FALSE),NA())</f>
        <v>#N/A</v>
      </c>
    </row>
    <row r="298" spans="19:23" x14ac:dyDescent="0.2">
      <c r="S298" s="76">
        <f t="shared" si="4"/>
        <v>42301</v>
      </c>
      <c r="T298" s="77">
        <f>INDEX([12]ČR!$D$18:$D$383,DATE(2016,MONTH(S298),DAY(S298))-DATE(2016,1,1)+1,1)/1000000</f>
        <v>24.01690304632206</v>
      </c>
      <c r="U298" s="77">
        <f>IF(T!$A$4&gt;=MONTH(S298),VLOOKUP(S298,'[8]Podklady MZ'!$R$2:$S$367,2,FALSE),NA())</f>
        <v>21.87958899760692</v>
      </c>
      <c r="V298" s="176">
        <f>INDEX([5]PT!$AF$16:$AF$381,DATE(2016,MONTH(S298),DAY(S298))-DATE(2016,1,1)+1,1)</f>
        <v>5.8</v>
      </c>
      <c r="W298" s="176" t="e">
        <f>IF(T!$A$4&lt;MONTH(S298),VLOOKUP(S298,'[8]Podklady MZ'!$R$2:$S$367,2,FALSE),NA())</f>
        <v>#N/A</v>
      </c>
    </row>
    <row r="299" spans="19:23" x14ac:dyDescent="0.2">
      <c r="S299" s="76">
        <f t="shared" si="4"/>
        <v>42302</v>
      </c>
      <c r="T299" s="77">
        <f>INDEX([12]ČR!$D$18:$D$383,DATE(2016,MONTH(S299),DAY(S299))-DATE(2016,1,1)+1,1)/1000000</f>
        <v>22.937737450480171</v>
      </c>
      <c r="U299" s="77">
        <f>IF(T!$A$4&gt;=MONTH(S299),VLOOKUP(S299,'[8]Podklady MZ'!$R$2:$S$367,2,FALSE),NA())</f>
        <v>21.544798719380612</v>
      </c>
      <c r="V299" s="176">
        <f>INDEX([5]PT!$AF$16:$AF$381,DATE(2016,MONTH(S299),DAY(S299))-DATE(2016,1,1)+1,1)</f>
        <v>7.9</v>
      </c>
      <c r="W299" s="176" t="e">
        <f>IF(T!$A$4&lt;MONTH(S299),VLOOKUP(S299,'[8]Podklady MZ'!$R$2:$S$367,2,FALSE),NA())</f>
        <v>#N/A</v>
      </c>
    </row>
    <row r="300" spans="19:23" x14ac:dyDescent="0.2">
      <c r="S300" s="76">
        <f t="shared" si="4"/>
        <v>42303</v>
      </c>
      <c r="T300" s="77">
        <f>INDEX([12]ČR!$D$18:$D$383,DATE(2016,MONTH(S300),DAY(S300))-DATE(2016,1,1)+1,1)/1000000</f>
        <v>21.763778511162005</v>
      </c>
      <c r="U300" s="77">
        <f>IF(T!$A$4&gt;=MONTH(S300),VLOOKUP(S300,'[8]Podklady MZ'!$R$2:$S$367,2,FALSE),NA())</f>
        <v>23.314474077801947</v>
      </c>
      <c r="V300" s="176">
        <f>INDEX([5]PT!$AF$16:$AF$381,DATE(2016,MONTH(S300),DAY(S300))-DATE(2016,1,1)+1,1)</f>
        <v>8.6</v>
      </c>
      <c r="W300" s="176" t="e">
        <f>IF(T!$A$4&lt;MONTH(S300),VLOOKUP(S300,'[8]Podklady MZ'!$R$2:$S$367,2,FALSE),NA())</f>
        <v>#N/A</v>
      </c>
    </row>
    <row r="301" spans="19:23" x14ac:dyDescent="0.2">
      <c r="S301" s="76">
        <f t="shared" si="4"/>
        <v>42304</v>
      </c>
      <c r="T301" s="77">
        <f>INDEX([12]ČR!$D$18:$D$383,DATE(2016,MONTH(S301),DAY(S301))-DATE(2016,1,1)+1,1)/1000000</f>
        <v>24.888371905281861</v>
      </c>
      <c r="U301" s="77">
        <f>IF(T!$A$4&gt;=MONTH(S301),VLOOKUP(S301,'[8]Podklady MZ'!$R$2:$S$367,2,FALSE),NA())</f>
        <v>23.946853764479457</v>
      </c>
      <c r="V301" s="176">
        <f>INDEX([5]PT!$AF$16:$AF$381,DATE(2016,MONTH(S301),DAY(S301))-DATE(2016,1,1)+1,1)</f>
        <v>8.3000000000000007</v>
      </c>
      <c r="W301" s="176" t="e">
        <f>IF(T!$A$4&lt;MONTH(S301),VLOOKUP(S301,'[8]Podklady MZ'!$R$2:$S$367,2,FALSE),NA())</f>
        <v>#N/A</v>
      </c>
    </row>
    <row r="302" spans="19:23" x14ac:dyDescent="0.2">
      <c r="S302" s="76">
        <f t="shared" si="4"/>
        <v>42305</v>
      </c>
      <c r="T302" s="77">
        <f>INDEX([12]ČR!$D$18:$D$383,DATE(2016,MONTH(S302),DAY(S302))-DATE(2016,1,1)+1,1)/1000000</f>
        <v>25.370627351791391</v>
      </c>
      <c r="U302" s="77">
        <f>IF(T!$A$4&gt;=MONTH(S302),VLOOKUP(S302,'[8]Podklady MZ'!$R$2:$S$367,2,FALSE),NA())</f>
        <v>24.437909136442212</v>
      </c>
      <c r="V302" s="176">
        <f>INDEX([5]PT!$AF$16:$AF$381,DATE(2016,MONTH(S302),DAY(S302))-DATE(2016,1,1)+1,1)</f>
        <v>8.1</v>
      </c>
      <c r="W302" s="176" t="e">
        <f>IF(T!$A$4&lt;MONTH(S302),VLOOKUP(S302,'[8]Podklady MZ'!$R$2:$S$367,2,FALSE),NA())</f>
        <v>#N/A</v>
      </c>
    </row>
    <row r="303" spans="19:23" x14ac:dyDescent="0.2">
      <c r="S303" s="76">
        <f t="shared" si="4"/>
        <v>42306</v>
      </c>
      <c r="T303" s="77">
        <f>INDEX([12]ČR!$D$18:$D$383,DATE(2016,MONTH(S303),DAY(S303))-DATE(2016,1,1)+1,1)/1000000</f>
        <v>28.2283612955835</v>
      </c>
      <c r="U303" s="77">
        <f>IF(T!$A$4&gt;=MONTH(S303),VLOOKUP(S303,'[8]Podklady MZ'!$R$2:$S$367,2,FALSE),NA())</f>
        <v>25.783659866615498</v>
      </c>
      <c r="V303" s="176">
        <f>INDEX([5]PT!$AF$16:$AF$381,DATE(2016,MONTH(S303),DAY(S303))-DATE(2016,1,1)+1,1)</f>
        <v>7.9</v>
      </c>
      <c r="W303" s="176" t="e">
        <f>IF(T!$A$4&lt;MONTH(S303),VLOOKUP(S303,'[8]Podklady MZ'!$R$2:$S$367,2,FALSE),NA())</f>
        <v>#N/A</v>
      </c>
    </row>
    <row r="304" spans="19:23" x14ac:dyDescent="0.2">
      <c r="S304" s="76">
        <f t="shared" si="4"/>
        <v>42307</v>
      </c>
      <c r="T304" s="77">
        <f>INDEX([12]ČR!$D$18:$D$383,DATE(2016,MONTH(S304),DAY(S304))-DATE(2016,1,1)+1,1)/1000000</f>
        <v>26.823677433161933</v>
      </c>
      <c r="U304" s="77">
        <f>IF(T!$A$4&gt;=MONTH(S304),VLOOKUP(S304,'[8]Podklady MZ'!$R$2:$S$367,2,FALSE),NA())</f>
        <v>24.610811256989859</v>
      </c>
      <c r="V304" s="176">
        <f>INDEX([5]PT!$AF$16:$AF$381,DATE(2016,MONTH(S304),DAY(S304))-DATE(2016,1,1)+1,1)</f>
        <v>7.5</v>
      </c>
      <c r="W304" s="176" t="e">
        <f>IF(T!$A$4&lt;MONTH(S304),VLOOKUP(S304,'[8]Podklady MZ'!$R$2:$S$367,2,FALSE),NA())</f>
        <v>#N/A</v>
      </c>
    </row>
    <row r="305" spans="19:23" x14ac:dyDescent="0.2">
      <c r="S305" s="76">
        <f t="shared" si="4"/>
        <v>42308</v>
      </c>
      <c r="T305" s="77">
        <f>INDEX([12]ČR!$D$18:$D$383,DATE(2016,MONTH(S305),DAY(S305))-DATE(2016,1,1)+1,1)/1000000</f>
        <v>24.493415582819839</v>
      </c>
      <c r="U305" s="77">
        <f>IF(T!$A$4&gt;=MONTH(S305),VLOOKUP(S305,'[8]Podklady MZ'!$R$2:$S$367,2,FALSE),NA())</f>
        <v>19.977506028373849</v>
      </c>
      <c r="V305" s="176">
        <f>INDEX([5]PT!$AF$16:$AF$381,DATE(2016,MONTH(S305),DAY(S305))-DATE(2016,1,1)+1,1)</f>
        <v>7.8</v>
      </c>
      <c r="W305" s="176" t="e">
        <f>IF(T!$A$4&lt;MONTH(S305),VLOOKUP(S305,'[8]Podklady MZ'!$R$2:$S$367,2,FALSE),NA())</f>
        <v>#N/A</v>
      </c>
    </row>
    <row r="306" spans="19:23" x14ac:dyDescent="0.2">
      <c r="S306" s="76">
        <f t="shared" si="4"/>
        <v>42309</v>
      </c>
      <c r="T306" s="77">
        <f>INDEX([12]ČR!$D$18:$D$383,DATE(2016,MONTH(S306),DAY(S306))-DATE(2016,1,1)+1,1)/1000000</f>
        <v>20.912289029639432</v>
      </c>
      <c r="U306" s="77">
        <f>IF(T!$A$4&gt;=MONTH(S306),VLOOKUP(S306,'[8]Podklady MZ'!$R$2:$S$367,2,FALSE),NA())</f>
        <v>21.975291745103874</v>
      </c>
      <c r="V306" s="176">
        <f>INDEX([5]PT!$AF$16:$AF$381,DATE(2016,MONTH(S306),DAY(S306))-DATE(2016,1,1)+1,1)</f>
        <v>5.6</v>
      </c>
      <c r="W306" s="176" t="e">
        <f>IF(T!$A$4&lt;MONTH(S306),VLOOKUP(S306,'[8]Podklady MZ'!$R$2:$S$367,2,FALSE),NA())</f>
        <v>#N/A</v>
      </c>
    </row>
    <row r="307" spans="19:23" x14ac:dyDescent="0.2">
      <c r="S307" s="76">
        <f t="shared" si="4"/>
        <v>42310</v>
      </c>
      <c r="T307" s="77">
        <f>INDEX([12]ČR!$D$18:$D$383,DATE(2016,MONTH(S307),DAY(S307))-DATE(2016,1,1)+1,1)/1000000</f>
        <v>21.982390211384921</v>
      </c>
      <c r="U307" s="77">
        <f>IF(T!$A$4&gt;=MONTH(S307),VLOOKUP(S307,'[8]Podklady MZ'!$R$2:$S$367,2,FALSE),NA())</f>
        <v>28.830017212961707</v>
      </c>
      <c r="V307" s="176">
        <f>INDEX([5]PT!$AF$16:$AF$381,DATE(2016,MONTH(S307),DAY(S307))-DATE(2016,1,1)+1,1)</f>
        <v>3.3</v>
      </c>
      <c r="W307" s="176" t="e">
        <f>IF(T!$A$4&lt;MONTH(S307),VLOOKUP(S307,'[8]Podklady MZ'!$R$2:$S$367,2,FALSE),NA())</f>
        <v>#N/A</v>
      </c>
    </row>
    <row r="308" spans="19:23" x14ac:dyDescent="0.2">
      <c r="S308" s="76">
        <f t="shared" si="4"/>
        <v>42311</v>
      </c>
      <c r="T308" s="77">
        <f>INDEX([12]ČR!$D$18:$D$383,DATE(2016,MONTH(S308),DAY(S308))-DATE(2016,1,1)+1,1)/1000000</f>
        <v>25.279865911936046</v>
      </c>
      <c r="U308" s="77">
        <f>IF(T!$A$4&gt;=MONTH(S308),VLOOKUP(S308,'[8]Podklady MZ'!$R$2:$S$367,2,FALSE),NA())</f>
        <v>30.353094090966358</v>
      </c>
      <c r="V308" s="176">
        <f>INDEX([5]PT!$AF$16:$AF$381,DATE(2016,MONTH(S308),DAY(S308))-DATE(2016,1,1)+1,1)</f>
        <v>2.8</v>
      </c>
      <c r="W308" s="176" t="e">
        <f>IF(T!$A$4&lt;MONTH(S308),VLOOKUP(S308,'[8]Podklady MZ'!$R$2:$S$367,2,FALSE),NA())</f>
        <v>#N/A</v>
      </c>
    </row>
    <row r="309" spans="19:23" x14ac:dyDescent="0.2">
      <c r="S309" s="76">
        <f t="shared" si="4"/>
        <v>42312</v>
      </c>
      <c r="T309" s="77">
        <f>INDEX([12]ČR!$D$18:$D$383,DATE(2016,MONTH(S309),DAY(S309))-DATE(2016,1,1)+1,1)/1000000</f>
        <v>23.073164608872553</v>
      </c>
      <c r="U309" s="77">
        <f>IF(T!$A$4&gt;=MONTH(S309),VLOOKUP(S309,'[8]Podklady MZ'!$R$2:$S$367,2,FALSE),NA())</f>
        <v>30.413648252252301</v>
      </c>
      <c r="V309" s="176">
        <f>INDEX([5]PT!$AF$16:$AF$381,DATE(2016,MONTH(S309),DAY(S309))-DATE(2016,1,1)+1,1)</f>
        <v>4</v>
      </c>
      <c r="W309" s="176" t="e">
        <f>IF(T!$A$4&lt;MONTH(S309),VLOOKUP(S309,'[8]Podklady MZ'!$R$2:$S$367,2,FALSE),NA())</f>
        <v>#N/A</v>
      </c>
    </row>
    <row r="310" spans="19:23" x14ac:dyDescent="0.2">
      <c r="S310" s="76">
        <f t="shared" si="4"/>
        <v>42313</v>
      </c>
      <c r="T310" s="77">
        <f>INDEX([12]ČR!$D$18:$D$383,DATE(2016,MONTH(S310),DAY(S310))-DATE(2016,1,1)+1,1)/1000000</f>
        <v>21.650747595276584</v>
      </c>
      <c r="U310" s="77">
        <f>IF(T!$A$4&gt;=MONTH(S310),VLOOKUP(S310,'[8]Podklady MZ'!$R$2:$S$367,2,FALSE),NA())</f>
        <v>28.898448038579161</v>
      </c>
      <c r="V310" s="176">
        <f>INDEX([5]PT!$AF$16:$AF$381,DATE(2016,MONTH(S310),DAY(S310))-DATE(2016,1,1)+1,1)</f>
        <v>6.6</v>
      </c>
      <c r="W310" s="176" t="e">
        <f>IF(T!$A$4&lt;MONTH(S310),VLOOKUP(S310,'[8]Podklady MZ'!$R$2:$S$367,2,FALSE),NA())</f>
        <v>#N/A</v>
      </c>
    </row>
    <row r="311" spans="19:23" x14ac:dyDescent="0.2">
      <c r="S311" s="76">
        <f t="shared" si="4"/>
        <v>42314</v>
      </c>
      <c r="T311" s="77">
        <f>INDEX([12]ČR!$D$18:$D$383,DATE(2016,MONTH(S311),DAY(S311))-DATE(2016,1,1)+1,1)/1000000</f>
        <v>22.316157050328712</v>
      </c>
      <c r="U311" s="77">
        <f>IF(T!$A$4&gt;=MONTH(S311),VLOOKUP(S311,'[8]Podklady MZ'!$R$2:$S$367,2,FALSE),NA())</f>
        <v>26.146870802521956</v>
      </c>
      <c r="V311" s="176">
        <f>INDEX([5]PT!$AF$16:$AF$381,DATE(2016,MONTH(S311),DAY(S311))-DATE(2016,1,1)+1,1)</f>
        <v>8.3000000000000007</v>
      </c>
      <c r="W311" s="176" t="e">
        <f>IF(T!$A$4&lt;MONTH(S311),VLOOKUP(S311,'[8]Podklady MZ'!$R$2:$S$367,2,FALSE),NA())</f>
        <v>#N/A</v>
      </c>
    </row>
    <row r="312" spans="19:23" x14ac:dyDescent="0.2">
      <c r="S312" s="76">
        <f t="shared" si="4"/>
        <v>42315</v>
      </c>
      <c r="T312" s="77">
        <f>INDEX([12]ČR!$D$18:$D$383,DATE(2016,MONTH(S312),DAY(S312))-DATE(2016,1,1)+1,1)/1000000</f>
        <v>22.275786396136745</v>
      </c>
      <c r="U312" s="77">
        <f>IF(T!$A$4&gt;=MONTH(S312),VLOOKUP(S312,'[8]Podklady MZ'!$R$2:$S$367,2,FALSE),NA())</f>
        <v>20.134828403783803</v>
      </c>
      <c r="V312" s="176">
        <f>INDEX([5]PT!$AF$16:$AF$381,DATE(2016,MONTH(S312),DAY(S312))-DATE(2016,1,1)+1,1)</f>
        <v>11.1</v>
      </c>
      <c r="W312" s="176" t="e">
        <f>IF(T!$A$4&lt;MONTH(S312),VLOOKUP(S312,'[8]Podklady MZ'!$R$2:$S$367,2,FALSE),NA())</f>
        <v>#N/A</v>
      </c>
    </row>
    <row r="313" spans="19:23" x14ac:dyDescent="0.2">
      <c r="S313" s="76">
        <f t="shared" si="4"/>
        <v>42316</v>
      </c>
      <c r="T313" s="77">
        <f>INDEX([12]ČR!$D$18:$D$383,DATE(2016,MONTH(S313),DAY(S313))-DATE(2016,1,1)+1,1)/1000000</f>
        <v>20.698948451862091</v>
      </c>
      <c r="U313" s="77">
        <f>IF(T!$A$4&gt;=MONTH(S313),VLOOKUP(S313,'[8]Podklady MZ'!$R$2:$S$367,2,FALSE),NA())</f>
        <v>18.652227528093444</v>
      </c>
      <c r="V313" s="176">
        <f>INDEX([5]PT!$AF$16:$AF$381,DATE(2016,MONTH(S313),DAY(S313))-DATE(2016,1,1)+1,1)</f>
        <v>10.8</v>
      </c>
      <c r="W313" s="176" t="e">
        <f>IF(T!$A$4&lt;MONTH(S313),VLOOKUP(S313,'[8]Podklady MZ'!$R$2:$S$367,2,FALSE),NA())</f>
        <v>#N/A</v>
      </c>
    </row>
    <row r="314" spans="19:23" x14ac:dyDescent="0.2">
      <c r="S314" s="76">
        <f t="shared" si="4"/>
        <v>42317</v>
      </c>
      <c r="T314" s="77">
        <f>INDEX([12]ČR!$D$18:$D$383,DATE(2016,MONTH(S314),DAY(S314))-DATE(2016,1,1)+1,1)/1000000</f>
        <v>21.200649889084382</v>
      </c>
      <c r="U314" s="77">
        <f>IF(T!$A$4&gt;=MONTH(S314),VLOOKUP(S314,'[8]Podklady MZ'!$R$2:$S$367,2,FALSE),NA())</f>
        <v>22.613414268942723</v>
      </c>
      <c r="V314" s="176">
        <f>INDEX([5]PT!$AF$16:$AF$381,DATE(2016,MONTH(S314),DAY(S314))-DATE(2016,1,1)+1,1)</f>
        <v>11.6</v>
      </c>
      <c r="W314" s="176" t="e">
        <f>IF(T!$A$4&lt;MONTH(S314),VLOOKUP(S314,'[8]Podklady MZ'!$R$2:$S$367,2,FALSE),NA())</f>
        <v>#N/A</v>
      </c>
    </row>
    <row r="315" spans="19:23" x14ac:dyDescent="0.2">
      <c r="S315" s="76">
        <f t="shared" si="4"/>
        <v>42318</v>
      </c>
      <c r="T315" s="77">
        <f>INDEX([12]ČR!$D$18:$D$383,DATE(2016,MONTH(S315),DAY(S315))-DATE(2016,1,1)+1,1)/1000000</f>
        <v>22.81117837236047</v>
      </c>
      <c r="U315" s="77">
        <f>IF(T!$A$4&gt;=MONTH(S315),VLOOKUP(S315,'[8]Podklady MZ'!$R$2:$S$367,2,FALSE),NA())</f>
        <v>20.403618575984876</v>
      </c>
      <c r="V315" s="176">
        <f>INDEX([5]PT!$AF$16:$AF$381,DATE(2016,MONTH(S315),DAY(S315))-DATE(2016,1,1)+1,1)</f>
        <v>14</v>
      </c>
      <c r="W315" s="176" t="e">
        <f>IF(T!$A$4&lt;MONTH(S315),VLOOKUP(S315,'[8]Podklady MZ'!$R$2:$S$367,2,FALSE),NA())</f>
        <v>#N/A</v>
      </c>
    </row>
    <row r="316" spans="19:23" x14ac:dyDescent="0.2">
      <c r="S316" s="76">
        <f t="shared" si="4"/>
        <v>42319</v>
      </c>
      <c r="T316" s="77">
        <f>INDEX([12]ČR!$D$18:$D$383,DATE(2016,MONTH(S316),DAY(S316))-DATE(2016,1,1)+1,1)/1000000</f>
        <v>21.80496826783623</v>
      </c>
      <c r="U316" s="77">
        <f>IF(T!$A$4&gt;=MONTH(S316),VLOOKUP(S316,'[8]Podklady MZ'!$R$2:$S$367,2,FALSE),NA())</f>
        <v>20.109653320035573</v>
      </c>
      <c r="V316" s="176">
        <f>INDEX([5]PT!$AF$16:$AF$381,DATE(2016,MONTH(S316),DAY(S316))-DATE(2016,1,1)+1,1)</f>
        <v>12</v>
      </c>
      <c r="W316" s="176" t="e">
        <f>IF(T!$A$4&lt;MONTH(S316),VLOOKUP(S316,'[8]Podklady MZ'!$R$2:$S$367,2,FALSE),NA())</f>
        <v>#N/A</v>
      </c>
    </row>
    <row r="317" spans="19:23" x14ac:dyDescent="0.2">
      <c r="S317" s="76">
        <f t="shared" si="4"/>
        <v>42320</v>
      </c>
      <c r="T317" s="77">
        <f>INDEX([12]ČR!$D$18:$D$383,DATE(2016,MONTH(S317),DAY(S317))-DATE(2016,1,1)+1,1)/1000000</f>
        <v>21.557851782787974</v>
      </c>
      <c r="U317" s="77">
        <f>IF(T!$A$4&gt;=MONTH(S317),VLOOKUP(S317,'[8]Podklady MZ'!$R$2:$S$367,2,FALSE),NA())</f>
        <v>23.855454835256761</v>
      </c>
      <c r="V317" s="176">
        <f>INDEX([5]PT!$AF$16:$AF$381,DATE(2016,MONTH(S317),DAY(S317))-DATE(2016,1,1)+1,1)</f>
        <v>8.5</v>
      </c>
      <c r="W317" s="176" t="e">
        <f>IF(T!$A$4&lt;MONTH(S317),VLOOKUP(S317,'[8]Podklady MZ'!$R$2:$S$367,2,FALSE),NA())</f>
        <v>#N/A</v>
      </c>
    </row>
    <row r="318" spans="19:23" x14ac:dyDescent="0.2">
      <c r="S318" s="76">
        <f t="shared" si="4"/>
        <v>42321</v>
      </c>
      <c r="T318" s="77">
        <f>INDEX([12]ČR!$D$18:$D$383,DATE(2016,MONTH(S318),DAY(S318))-DATE(2016,1,1)+1,1)/1000000</f>
        <v>22.454958396599547</v>
      </c>
      <c r="U318" s="77">
        <f>IF(T!$A$4&gt;=MONTH(S318),VLOOKUP(S318,'[8]Podklady MZ'!$R$2:$S$367,2,FALSE),NA())</f>
        <v>22.998249844479609</v>
      </c>
      <c r="V318" s="176">
        <f>INDEX([5]PT!$AF$16:$AF$381,DATE(2016,MONTH(S318),DAY(S318))-DATE(2016,1,1)+1,1)</f>
        <v>7.3</v>
      </c>
      <c r="W318" s="176" t="e">
        <f>IF(T!$A$4&lt;MONTH(S318),VLOOKUP(S318,'[8]Podklady MZ'!$R$2:$S$367,2,FALSE),NA())</f>
        <v>#N/A</v>
      </c>
    </row>
    <row r="319" spans="19:23" x14ac:dyDescent="0.2">
      <c r="S319" s="76">
        <f t="shared" si="4"/>
        <v>42322</v>
      </c>
      <c r="T319" s="77">
        <f>INDEX([12]ČR!$D$18:$D$383,DATE(2016,MONTH(S319),DAY(S319))-DATE(2016,1,1)+1,1)/1000000</f>
        <v>22.257612890457679</v>
      </c>
      <c r="U319" s="77">
        <f>IF(T!$A$4&gt;=MONTH(S319),VLOOKUP(S319,'[8]Podklady MZ'!$R$2:$S$367,2,FALSE),NA())</f>
        <v>21.660337925754305</v>
      </c>
      <c r="V319" s="176">
        <f>INDEX([5]PT!$AF$16:$AF$381,DATE(2016,MONTH(S319),DAY(S319))-DATE(2016,1,1)+1,1)</f>
        <v>6.3</v>
      </c>
      <c r="W319" s="176" t="e">
        <f>IF(T!$A$4&lt;MONTH(S319),VLOOKUP(S319,'[8]Podklady MZ'!$R$2:$S$367,2,FALSE),NA())</f>
        <v>#N/A</v>
      </c>
    </row>
    <row r="320" spans="19:23" x14ac:dyDescent="0.2">
      <c r="S320" s="76">
        <f t="shared" si="4"/>
        <v>42323</v>
      </c>
      <c r="T320" s="77">
        <f>INDEX([12]ČR!$D$18:$D$383,DATE(2016,MONTH(S320),DAY(S320))-DATE(2016,1,1)+1,1)/1000000</f>
        <v>19.787129472882192</v>
      </c>
      <c r="U320" s="77">
        <f>IF(T!$A$4&gt;=MONTH(S320),VLOOKUP(S320,'[8]Podklady MZ'!$R$2:$S$367,2,FALSE),NA())</f>
        <v>21.777963192946068</v>
      </c>
      <c r="V320" s="176">
        <f>INDEX([5]PT!$AF$16:$AF$381,DATE(2016,MONTH(S320),DAY(S320))-DATE(2016,1,1)+1,1)</f>
        <v>9</v>
      </c>
      <c r="W320" s="176" t="e">
        <f>IF(T!$A$4&lt;MONTH(S320),VLOOKUP(S320,'[8]Podklady MZ'!$R$2:$S$367,2,FALSE),NA())</f>
        <v>#N/A</v>
      </c>
    </row>
    <row r="321" spans="19:23" x14ac:dyDescent="0.2">
      <c r="S321" s="76">
        <f t="shared" si="4"/>
        <v>42324</v>
      </c>
      <c r="T321" s="77">
        <f>INDEX([12]ČR!$D$18:$D$383,DATE(2016,MONTH(S321),DAY(S321))-DATE(2016,1,1)+1,1)/1000000</f>
        <v>20.345206402121487</v>
      </c>
      <c r="U321" s="77">
        <f>IF(T!$A$4&gt;=MONTH(S321),VLOOKUP(S321,'[8]Podklady MZ'!$R$2:$S$367,2,FALSE),NA())</f>
        <v>21.955628335468212</v>
      </c>
      <c r="V321" s="176">
        <f>INDEX([5]PT!$AF$16:$AF$381,DATE(2016,MONTH(S321),DAY(S321))-DATE(2016,1,1)+1,1)</f>
        <v>9.3000000000000007</v>
      </c>
      <c r="W321" s="176" t="e">
        <f>IF(T!$A$4&lt;MONTH(S321),VLOOKUP(S321,'[8]Podklady MZ'!$R$2:$S$367,2,FALSE),NA())</f>
        <v>#N/A</v>
      </c>
    </row>
    <row r="322" spans="19:23" x14ac:dyDescent="0.2">
      <c r="S322" s="76">
        <f t="shared" si="4"/>
        <v>42325</v>
      </c>
      <c r="T322" s="77">
        <f>INDEX([12]ČR!$D$18:$D$383,DATE(2016,MONTH(S322),DAY(S322))-DATE(2016,1,1)+1,1)/1000000</f>
        <v>22.738910999606844</v>
      </c>
      <c r="U322" s="77">
        <f>IF(T!$A$4&gt;=MONTH(S322),VLOOKUP(S322,'[8]Podklady MZ'!$R$2:$S$367,2,FALSE),NA())</f>
        <v>22.232103099684998</v>
      </c>
      <c r="V322" s="176">
        <f>INDEX([5]PT!$AF$16:$AF$381,DATE(2016,MONTH(S322),DAY(S322))-DATE(2016,1,1)+1,1)</f>
        <v>10.5</v>
      </c>
      <c r="W322" s="176" t="e">
        <f>IF(T!$A$4&lt;MONTH(S322),VLOOKUP(S322,'[8]Podklady MZ'!$R$2:$S$367,2,FALSE),NA())</f>
        <v>#N/A</v>
      </c>
    </row>
    <row r="323" spans="19:23" x14ac:dyDescent="0.2">
      <c r="S323" s="76">
        <f t="shared" si="4"/>
        <v>42326</v>
      </c>
      <c r="T323" s="77">
        <f>INDEX([12]ČR!$D$18:$D$383,DATE(2016,MONTH(S323),DAY(S323))-DATE(2016,1,1)+1,1)/1000000</f>
        <v>25.684126201302274</v>
      </c>
      <c r="U323" s="77">
        <f>IF(T!$A$4&gt;=MONTH(S323),VLOOKUP(S323,'[8]Podklady MZ'!$R$2:$S$367,2,FALSE),NA())</f>
        <v>22.227674118059344</v>
      </c>
      <c r="V323" s="176">
        <f>INDEX([5]PT!$AF$16:$AF$381,DATE(2016,MONTH(S323),DAY(S323))-DATE(2016,1,1)+1,1)</f>
        <v>10.8</v>
      </c>
      <c r="W323" s="176" t="e">
        <f>IF(T!$A$4&lt;MONTH(S323),VLOOKUP(S323,'[8]Podklady MZ'!$R$2:$S$367,2,FALSE),NA())</f>
        <v>#N/A</v>
      </c>
    </row>
    <row r="324" spans="19:23" x14ac:dyDescent="0.2">
      <c r="S324" s="76">
        <f t="shared" ref="S324:S367" si="5">S323+1</f>
        <v>42327</v>
      </c>
      <c r="T324" s="77">
        <f>INDEX([12]ČR!$D$18:$D$383,DATE(2016,MONTH(S324),DAY(S324))-DATE(2016,1,1)+1,1)/1000000</f>
        <v>27.277887054788337</v>
      </c>
      <c r="U324" s="77">
        <f>IF(T!$A$4&gt;=MONTH(S324),VLOOKUP(S324,'[8]Podklady MZ'!$R$2:$S$367,2,FALSE),NA())</f>
        <v>23.165451921104371</v>
      </c>
      <c r="V324" s="176">
        <f>INDEX([5]PT!$AF$16:$AF$381,DATE(2016,MONTH(S324),DAY(S324))-DATE(2016,1,1)+1,1)</f>
        <v>10.199999999999999</v>
      </c>
      <c r="W324" s="176" t="e">
        <f>IF(T!$A$4&lt;MONTH(S324),VLOOKUP(S324,'[8]Podklady MZ'!$R$2:$S$367,2,FALSE),NA())</f>
        <v>#N/A</v>
      </c>
    </row>
    <row r="325" spans="19:23" x14ac:dyDescent="0.2">
      <c r="S325" s="76">
        <f t="shared" si="5"/>
        <v>42328</v>
      </c>
      <c r="T325" s="77">
        <f>INDEX([12]ČR!$D$18:$D$383,DATE(2016,MONTH(S325),DAY(S325))-DATE(2016,1,1)+1,1)/1000000</f>
        <v>29.719113556801638</v>
      </c>
      <c r="U325" s="77">
        <f>IF(T!$A$4&gt;=MONTH(S325),VLOOKUP(S325,'[8]Podklady MZ'!$R$2:$S$367,2,FALSE),NA())</f>
        <v>26.737527328958677</v>
      </c>
      <c r="V325" s="176">
        <f>INDEX([5]PT!$AF$16:$AF$381,DATE(2016,MONTH(S325),DAY(S325))-DATE(2016,1,1)+1,1)</f>
        <v>5.6</v>
      </c>
      <c r="W325" s="176" t="e">
        <f>IF(T!$A$4&lt;MONTH(S325),VLOOKUP(S325,'[8]Podklady MZ'!$R$2:$S$367,2,FALSE),NA())</f>
        <v>#N/A</v>
      </c>
    </row>
    <row r="326" spans="19:23" x14ac:dyDescent="0.2">
      <c r="S326" s="76">
        <f t="shared" si="5"/>
        <v>42329</v>
      </c>
      <c r="T326" s="77">
        <f>INDEX([12]ČR!$D$18:$D$383,DATE(2016,MONTH(S326),DAY(S326))-DATE(2016,1,1)+1,1)/1000000</f>
        <v>29.621216859039418</v>
      </c>
      <c r="U326" s="77">
        <f>IF(T!$A$4&gt;=MONTH(S326),VLOOKUP(S326,'[8]Podklady MZ'!$R$2:$S$367,2,FALSE),NA())</f>
        <v>25.254805639672956</v>
      </c>
      <c r="V326" s="176">
        <f>INDEX([5]PT!$AF$16:$AF$381,DATE(2016,MONTH(S326),DAY(S326))-DATE(2016,1,1)+1,1)</f>
        <v>1.5</v>
      </c>
      <c r="W326" s="176" t="e">
        <f>IF(T!$A$4&lt;MONTH(S326),VLOOKUP(S326,'[8]Podklady MZ'!$R$2:$S$367,2,FALSE),NA())</f>
        <v>#N/A</v>
      </c>
    </row>
    <row r="327" spans="19:23" x14ac:dyDescent="0.2">
      <c r="S327" s="76">
        <f t="shared" si="5"/>
        <v>42330</v>
      </c>
      <c r="T327" s="77">
        <f>INDEX([12]ČR!$D$18:$D$383,DATE(2016,MONTH(S327),DAY(S327))-DATE(2016,1,1)+1,1)/1000000</f>
        <v>26.33254105264739</v>
      </c>
      <c r="U327" s="77">
        <f>IF(T!$A$4&gt;=MONTH(S327),VLOOKUP(S327,'[8]Podklady MZ'!$R$2:$S$367,2,FALSE),NA())</f>
        <v>28.793857454408549</v>
      </c>
      <c r="V327" s="176">
        <f>INDEX([5]PT!$AF$16:$AF$381,DATE(2016,MONTH(S327),DAY(S327))-DATE(2016,1,1)+1,1)</f>
        <v>0</v>
      </c>
      <c r="W327" s="176" t="e">
        <f>IF(T!$A$4&lt;MONTH(S327),VLOOKUP(S327,'[8]Podklady MZ'!$R$2:$S$367,2,FALSE),NA())</f>
        <v>#N/A</v>
      </c>
    </row>
    <row r="328" spans="19:23" x14ac:dyDescent="0.2">
      <c r="S328" s="76">
        <f t="shared" si="5"/>
        <v>42331</v>
      </c>
      <c r="T328" s="77">
        <f>INDEX([12]ČR!$D$18:$D$383,DATE(2016,MONTH(S328),DAY(S328))-DATE(2016,1,1)+1,1)/1000000</f>
        <v>27.115409336794084</v>
      </c>
      <c r="U328" s="77">
        <f>IF(T!$A$4&gt;=MONTH(S328),VLOOKUP(S328,'[8]Podklady MZ'!$R$2:$S$367,2,FALSE),NA())</f>
        <v>36.749598399109999</v>
      </c>
      <c r="V328" s="176">
        <f>INDEX([5]PT!$AF$16:$AF$381,DATE(2016,MONTH(S328),DAY(S328))-DATE(2016,1,1)+1,1)</f>
        <v>-0.9</v>
      </c>
      <c r="W328" s="176" t="e">
        <f>IF(T!$A$4&lt;MONTH(S328),VLOOKUP(S328,'[8]Podklady MZ'!$R$2:$S$367,2,FALSE),NA())</f>
        <v>#N/A</v>
      </c>
    </row>
    <row r="329" spans="19:23" x14ac:dyDescent="0.2">
      <c r="S329" s="76">
        <f t="shared" si="5"/>
        <v>42332</v>
      </c>
      <c r="T329" s="77">
        <f>INDEX([12]ČR!$D$18:$D$383,DATE(2016,MONTH(S329),DAY(S329))-DATE(2016,1,1)+1,1)/1000000</f>
        <v>30.724654955265521</v>
      </c>
      <c r="U329" s="77">
        <f>IF(T!$A$4&gt;=MONTH(S329),VLOOKUP(S329,'[8]Podklady MZ'!$R$2:$S$367,2,FALSE),NA())</f>
        <v>36.718734036907357</v>
      </c>
      <c r="V329" s="176">
        <f>INDEX([5]PT!$AF$16:$AF$381,DATE(2016,MONTH(S329),DAY(S329))-DATE(2016,1,1)+1,1)</f>
        <v>-1.8</v>
      </c>
      <c r="W329" s="176" t="e">
        <f>IF(T!$A$4&lt;MONTH(S329),VLOOKUP(S329,'[8]Podklady MZ'!$R$2:$S$367,2,FALSE),NA())</f>
        <v>#N/A</v>
      </c>
    </row>
    <row r="330" spans="19:23" x14ac:dyDescent="0.2">
      <c r="S330" s="76">
        <f t="shared" si="5"/>
        <v>42333</v>
      </c>
      <c r="T330" s="77">
        <f>INDEX([12]ČR!$D$18:$D$383,DATE(2016,MONTH(S330),DAY(S330))-DATE(2016,1,1)+1,1)/1000000</f>
        <v>31.346045493034111</v>
      </c>
      <c r="U330" s="77">
        <f>IF(T!$A$4&gt;=MONTH(S330),VLOOKUP(S330,'[8]Podklady MZ'!$R$2:$S$367,2,FALSE),NA())</f>
        <v>39.431885445269579</v>
      </c>
      <c r="V330" s="176">
        <f>INDEX([5]PT!$AF$16:$AF$381,DATE(2016,MONTH(S330),DAY(S330))-DATE(2016,1,1)+1,1)</f>
        <v>-0.6</v>
      </c>
      <c r="W330" s="176" t="e">
        <f>IF(T!$A$4&lt;MONTH(S330),VLOOKUP(S330,'[8]Podklady MZ'!$R$2:$S$367,2,FALSE),NA())</f>
        <v>#N/A</v>
      </c>
    </row>
    <row r="331" spans="19:23" x14ac:dyDescent="0.2">
      <c r="S331" s="76">
        <f t="shared" si="5"/>
        <v>42334</v>
      </c>
      <c r="T331" s="77">
        <f>INDEX([12]ČR!$D$18:$D$383,DATE(2016,MONTH(S331),DAY(S331))-DATE(2016,1,1)+1,1)/1000000</f>
        <v>32.961816098163993</v>
      </c>
      <c r="U331" s="77">
        <f>IF(T!$A$4&gt;=MONTH(S331),VLOOKUP(S331,'[8]Podklady MZ'!$R$2:$S$367,2,FALSE),NA())</f>
        <v>36.881404552546698</v>
      </c>
      <c r="V331" s="176">
        <f>INDEX([5]PT!$AF$16:$AF$381,DATE(2016,MONTH(S331),DAY(S331))-DATE(2016,1,1)+1,1)</f>
        <v>1.1000000000000001</v>
      </c>
      <c r="W331" s="176" t="e">
        <f>IF(T!$A$4&lt;MONTH(S331),VLOOKUP(S331,'[8]Podklady MZ'!$R$2:$S$367,2,FALSE),NA())</f>
        <v>#N/A</v>
      </c>
    </row>
    <row r="332" spans="19:23" x14ac:dyDescent="0.2">
      <c r="S332" s="76">
        <f t="shared" si="5"/>
        <v>42335</v>
      </c>
      <c r="T332" s="77">
        <f>INDEX([12]ČR!$D$18:$D$383,DATE(2016,MONTH(S332),DAY(S332))-DATE(2016,1,1)+1,1)/1000000</f>
        <v>34.212026424236335</v>
      </c>
      <c r="U332" s="77">
        <f>IF(T!$A$4&gt;=MONTH(S332),VLOOKUP(S332,'[8]Podklady MZ'!$R$2:$S$367,2,FALSE),NA())</f>
        <v>34.675773337714588</v>
      </c>
      <c r="V332" s="176">
        <f>INDEX([5]PT!$AF$16:$AF$381,DATE(2016,MONTH(S332),DAY(S332))-DATE(2016,1,1)+1,1)</f>
        <v>0.8</v>
      </c>
      <c r="W332" s="176" t="e">
        <f>IF(T!$A$4&lt;MONTH(S332),VLOOKUP(S332,'[8]Podklady MZ'!$R$2:$S$367,2,FALSE),NA())</f>
        <v>#N/A</v>
      </c>
    </row>
    <row r="333" spans="19:23" x14ac:dyDescent="0.2">
      <c r="S333" s="76">
        <f t="shared" si="5"/>
        <v>42336</v>
      </c>
      <c r="T333" s="77">
        <f>INDEX([12]ČR!$D$18:$D$383,DATE(2016,MONTH(S333),DAY(S333))-DATE(2016,1,1)+1,1)/1000000</f>
        <v>34.11248068993433</v>
      </c>
      <c r="U333" s="77">
        <f>IF(T!$A$4&gt;=MONTH(S333),VLOOKUP(S333,'[8]Podklady MZ'!$R$2:$S$367,2,FALSE),NA())</f>
        <v>30.962272180776093</v>
      </c>
      <c r="V333" s="176">
        <f>INDEX([5]PT!$AF$16:$AF$381,DATE(2016,MONTH(S333),DAY(S333))-DATE(2016,1,1)+1,1)</f>
        <v>1</v>
      </c>
      <c r="W333" s="176" t="e">
        <f>IF(T!$A$4&lt;MONTH(S333),VLOOKUP(S333,'[8]Podklady MZ'!$R$2:$S$367,2,FALSE),NA())</f>
        <v>#N/A</v>
      </c>
    </row>
    <row r="334" spans="19:23" x14ac:dyDescent="0.2">
      <c r="S334" s="76">
        <f t="shared" si="5"/>
        <v>42337</v>
      </c>
      <c r="T334" s="77">
        <f>INDEX([12]ČR!$D$18:$D$383,DATE(2016,MONTH(S334),DAY(S334))-DATE(2016,1,1)+1,1)/1000000</f>
        <v>31.936827460860446</v>
      </c>
      <c r="U334" s="77">
        <f>IF(T!$A$4&gt;=MONTH(S334),VLOOKUP(S334,'[8]Podklady MZ'!$R$2:$S$367,2,FALSE),NA())</f>
        <v>30.541974773037943</v>
      </c>
      <c r="V334" s="176">
        <f>INDEX([5]PT!$AF$16:$AF$381,DATE(2016,MONTH(S334),DAY(S334))-DATE(2016,1,1)+1,1)</f>
        <v>3.2</v>
      </c>
      <c r="W334" s="176" t="e">
        <f>IF(T!$A$4&lt;MONTH(S334),VLOOKUP(S334,'[8]Podklady MZ'!$R$2:$S$367,2,FALSE),NA())</f>
        <v>#N/A</v>
      </c>
    </row>
    <row r="335" spans="19:23" x14ac:dyDescent="0.2">
      <c r="S335" s="76">
        <f t="shared" si="5"/>
        <v>42338</v>
      </c>
      <c r="T335" s="77">
        <f>INDEX([12]ČR!$D$18:$D$383,DATE(2016,MONTH(S335),DAY(S335))-DATE(2016,1,1)+1,1)/1000000</f>
        <v>32.779629590800965</v>
      </c>
      <c r="U335" s="77">
        <f>IF(T!$A$4&gt;=MONTH(S335),VLOOKUP(S335,'[8]Podklady MZ'!$R$2:$S$367,2,FALSE),NA())</f>
        <v>31.185551236045413</v>
      </c>
      <c r="V335" s="176">
        <f>INDEX([5]PT!$AF$16:$AF$381,DATE(2016,MONTH(S335),DAY(S335))-DATE(2016,1,1)+1,1)</f>
        <v>6.4</v>
      </c>
      <c r="W335" s="176" t="e">
        <f>IF(T!$A$4&lt;MONTH(S335),VLOOKUP(S335,'[8]Podklady MZ'!$R$2:$S$367,2,FALSE),NA())</f>
        <v>#N/A</v>
      </c>
    </row>
    <row r="336" spans="19:23" x14ac:dyDescent="0.2">
      <c r="S336" s="76">
        <f t="shared" si="5"/>
        <v>42339</v>
      </c>
      <c r="T336" s="77">
        <f>INDEX([12]ČR!$D$18:$D$383,DATE(2016,MONTH(S336),DAY(S336))-DATE(2016,1,1)+1,1)/1000000</f>
        <v>37.854518178144026</v>
      </c>
      <c r="U336" s="77">
        <f>IF(T!$A$4&gt;=MONTH(S336),VLOOKUP(S336,'[8]Podklady MZ'!$R$2:$S$367,2,FALSE),NA())</f>
        <v>30.306001980670718</v>
      </c>
      <c r="V336" s="176">
        <f>INDEX([5]PT!$AF$16:$AF$381,DATE(2016,MONTH(S336),DAY(S336))-DATE(2016,1,1)+1,1)</f>
        <v>6.4</v>
      </c>
      <c r="W336" s="176" t="e">
        <f>IF(T!$A$4&lt;MONTH(S336),VLOOKUP(S336,'[8]Podklady MZ'!$R$2:$S$367,2,FALSE),NA())</f>
        <v>#N/A</v>
      </c>
    </row>
    <row r="337" spans="19:23" x14ac:dyDescent="0.2">
      <c r="S337" s="76">
        <f t="shared" si="5"/>
        <v>42340</v>
      </c>
      <c r="T337" s="77">
        <f>INDEX([12]ČR!$D$18:$D$383,DATE(2016,MONTH(S337),DAY(S337))-DATE(2016,1,1)+1,1)/1000000</f>
        <v>38.441498500806389</v>
      </c>
      <c r="U337" s="77">
        <f>IF(T!$A$4&gt;=MONTH(S337),VLOOKUP(S337,'[8]Podklady MZ'!$R$2:$S$367,2,FALSE),NA())</f>
        <v>29.021468193895977</v>
      </c>
      <c r="V337" s="176">
        <f>INDEX([5]PT!$AF$16:$AF$381,DATE(2016,MONTH(S337),DAY(S337))-DATE(2016,1,1)+1,1)</f>
        <v>7</v>
      </c>
      <c r="W337" s="176" t="e">
        <f>IF(T!$A$4&lt;MONTH(S337),VLOOKUP(S337,'[8]Podklady MZ'!$R$2:$S$367,2,FALSE),NA())</f>
        <v>#N/A</v>
      </c>
    </row>
    <row r="338" spans="19:23" x14ac:dyDescent="0.2">
      <c r="S338" s="76">
        <f t="shared" si="5"/>
        <v>42341</v>
      </c>
      <c r="T338" s="77">
        <f>INDEX([12]ČR!$D$18:$D$383,DATE(2016,MONTH(S338),DAY(S338))-DATE(2016,1,1)+1,1)/1000000</f>
        <v>36.109693127145711</v>
      </c>
      <c r="U338" s="77">
        <f>IF(T!$A$4&gt;=MONTH(S338),VLOOKUP(S338,'[8]Podklady MZ'!$R$2:$S$367,2,FALSE),NA())</f>
        <v>31.395932327263182</v>
      </c>
      <c r="V338" s="176">
        <f>INDEX([5]PT!$AF$16:$AF$381,DATE(2016,MONTH(S338),DAY(S338))-DATE(2016,1,1)+1,1)</f>
        <v>4</v>
      </c>
      <c r="W338" s="176" t="e">
        <f>IF(T!$A$4&lt;MONTH(S338),VLOOKUP(S338,'[8]Podklady MZ'!$R$2:$S$367,2,FALSE),NA())</f>
        <v>#N/A</v>
      </c>
    </row>
    <row r="339" spans="19:23" x14ac:dyDescent="0.2">
      <c r="S339" s="76">
        <f t="shared" si="5"/>
        <v>42342</v>
      </c>
      <c r="T339" s="77">
        <f>INDEX([12]ČR!$D$18:$D$383,DATE(2016,MONTH(S339),DAY(S339))-DATE(2016,1,1)+1,1)/1000000</f>
        <v>33.026257705300381</v>
      </c>
      <c r="U339" s="77">
        <f>IF(T!$A$4&gt;=MONTH(S339),VLOOKUP(S339,'[8]Podklady MZ'!$R$2:$S$367,2,FALSE),NA())</f>
        <v>30.625802027613254</v>
      </c>
      <c r="V339" s="176">
        <f>INDEX([5]PT!$AF$16:$AF$381,DATE(2016,MONTH(S339),DAY(S339))-DATE(2016,1,1)+1,1)</f>
        <v>3.9</v>
      </c>
      <c r="W339" s="176" t="e">
        <f>IF(T!$A$4&lt;MONTH(S339),VLOOKUP(S339,'[8]Podklady MZ'!$R$2:$S$367,2,FALSE),NA())</f>
        <v>#N/A</v>
      </c>
    </row>
    <row r="340" spans="19:23" x14ac:dyDescent="0.2">
      <c r="S340" s="76">
        <f t="shared" si="5"/>
        <v>42343</v>
      </c>
      <c r="T340" s="77">
        <f>INDEX([12]ČR!$D$18:$D$383,DATE(2016,MONTH(S340),DAY(S340))-DATE(2016,1,1)+1,1)/1000000</f>
        <v>31.364279491276438</v>
      </c>
      <c r="U340" s="77">
        <f>IF(T!$A$4&gt;=MONTH(S340),VLOOKUP(S340,'[8]Podklady MZ'!$R$2:$S$367,2,FALSE),NA())</f>
        <v>26.801844107656034</v>
      </c>
      <c r="V340" s="176">
        <f>INDEX([5]PT!$AF$16:$AF$381,DATE(2016,MONTH(S340),DAY(S340))-DATE(2016,1,1)+1,1)</f>
        <v>4.9000000000000004</v>
      </c>
      <c r="W340" s="176" t="e">
        <f>IF(T!$A$4&lt;MONTH(S340),VLOOKUP(S340,'[8]Podklady MZ'!$R$2:$S$367,2,FALSE),NA())</f>
        <v>#N/A</v>
      </c>
    </row>
    <row r="341" spans="19:23" x14ac:dyDescent="0.2">
      <c r="S341" s="76">
        <f t="shared" si="5"/>
        <v>42344</v>
      </c>
      <c r="T341" s="77">
        <f>INDEX([12]ČR!$D$18:$D$383,DATE(2016,MONTH(S341),DAY(S341))-DATE(2016,1,1)+1,1)/1000000</f>
        <v>28.517927459846142</v>
      </c>
      <c r="U341" s="77">
        <f>IF(T!$A$4&gt;=MONTH(S341),VLOOKUP(S341,'[8]Podklady MZ'!$R$2:$S$367,2,FALSE),NA())</f>
        <v>27.797686702170981</v>
      </c>
      <c r="V341" s="176">
        <f>INDEX([5]PT!$AF$16:$AF$381,DATE(2016,MONTH(S341),DAY(S341))-DATE(2016,1,1)+1,1)</f>
        <v>3.3</v>
      </c>
      <c r="W341" s="176" t="e">
        <f>IF(T!$A$4&lt;MONTH(S341),VLOOKUP(S341,'[8]Podklady MZ'!$R$2:$S$367,2,FALSE),NA())</f>
        <v>#N/A</v>
      </c>
    </row>
    <row r="342" spans="19:23" x14ac:dyDescent="0.2">
      <c r="S342" s="76">
        <f t="shared" si="5"/>
        <v>42345</v>
      </c>
      <c r="T342" s="77">
        <f>INDEX([12]ČR!$D$18:$D$383,DATE(2016,MONTH(S342),DAY(S342))-DATE(2016,1,1)+1,1)/1000000</f>
        <v>29.51894368749495</v>
      </c>
      <c r="U342" s="77">
        <f>IF(T!$A$4&gt;=MONTH(S342),VLOOKUP(S342,'[8]Podklady MZ'!$R$2:$S$367,2,FALSE),NA())</f>
        <v>32.187244322035838</v>
      </c>
      <c r="V342" s="176">
        <f>INDEX([5]PT!$AF$16:$AF$381,DATE(2016,MONTH(S342),DAY(S342))-DATE(2016,1,1)+1,1)</f>
        <v>3.6</v>
      </c>
      <c r="W342" s="176" t="e">
        <f>IF(T!$A$4&lt;MONTH(S342),VLOOKUP(S342,'[8]Podklady MZ'!$R$2:$S$367,2,FALSE),NA())</f>
        <v>#N/A</v>
      </c>
    </row>
    <row r="343" spans="19:23" x14ac:dyDescent="0.2">
      <c r="S343" s="76">
        <f t="shared" si="5"/>
        <v>42346</v>
      </c>
      <c r="T343" s="77">
        <f>INDEX([12]ČR!$D$18:$D$383,DATE(2016,MONTH(S343),DAY(S343))-DATE(2016,1,1)+1,1)/1000000</f>
        <v>34.209591018453935</v>
      </c>
      <c r="U343" s="77">
        <f>IF(T!$A$4&gt;=MONTH(S343),VLOOKUP(S343,'[8]Podklady MZ'!$R$2:$S$367,2,FALSE),NA())</f>
        <v>31.413098162149787</v>
      </c>
      <c r="V343" s="176">
        <f>INDEX([5]PT!$AF$16:$AF$381,DATE(2016,MONTH(S343),DAY(S343))-DATE(2016,1,1)+1,1)</f>
        <v>2</v>
      </c>
      <c r="W343" s="176" t="e">
        <f>IF(T!$A$4&lt;MONTH(S343),VLOOKUP(S343,'[8]Podklady MZ'!$R$2:$S$367,2,FALSE),NA())</f>
        <v>#N/A</v>
      </c>
    </row>
    <row r="344" spans="19:23" x14ac:dyDescent="0.2">
      <c r="S344" s="76">
        <f t="shared" si="5"/>
        <v>42347</v>
      </c>
      <c r="T344" s="77">
        <f>INDEX([12]ČR!$D$18:$D$383,DATE(2016,MONTH(S344),DAY(S344))-DATE(2016,1,1)+1,1)/1000000</f>
        <v>37.338847312350239</v>
      </c>
      <c r="U344" s="77">
        <f>IF(T!$A$4&gt;=MONTH(S344),VLOOKUP(S344,'[8]Podklady MZ'!$R$2:$S$367,2,FALSE),NA())</f>
        <v>32.219446115150575</v>
      </c>
      <c r="V344" s="176">
        <f>INDEX([5]PT!$AF$16:$AF$381,DATE(2016,MONTH(S344),DAY(S344))-DATE(2016,1,1)+1,1)</f>
        <v>2.8</v>
      </c>
      <c r="W344" s="176" t="e">
        <f>IF(T!$A$4&lt;MONTH(S344),VLOOKUP(S344,'[8]Podklady MZ'!$R$2:$S$367,2,FALSE),NA())</f>
        <v>#N/A</v>
      </c>
    </row>
    <row r="345" spans="19:23" x14ac:dyDescent="0.2">
      <c r="S345" s="76">
        <f t="shared" si="5"/>
        <v>42348</v>
      </c>
      <c r="T345" s="77">
        <f>INDEX([12]ČR!$D$18:$D$383,DATE(2016,MONTH(S345),DAY(S345))-DATE(2016,1,1)+1,1)/1000000</f>
        <v>38.204923429852293</v>
      </c>
      <c r="U345" s="77">
        <f>IF(T!$A$4&gt;=MONTH(S345),VLOOKUP(S345,'[8]Podklady MZ'!$R$2:$S$367,2,FALSE),NA())</f>
        <v>33.307818532835618</v>
      </c>
      <c r="V345" s="176">
        <f>INDEX([5]PT!$AF$16:$AF$381,DATE(2016,MONTH(S345),DAY(S345))-DATE(2016,1,1)+1,1)</f>
        <v>0.6</v>
      </c>
      <c r="W345" s="176" t="e">
        <f>IF(T!$A$4&lt;MONTH(S345),VLOOKUP(S345,'[8]Podklady MZ'!$R$2:$S$367,2,FALSE),NA())</f>
        <v>#N/A</v>
      </c>
    </row>
    <row r="346" spans="19:23" x14ac:dyDescent="0.2">
      <c r="S346" s="76">
        <f t="shared" si="5"/>
        <v>42349</v>
      </c>
      <c r="T346" s="77">
        <f>INDEX([12]ČR!$D$18:$D$383,DATE(2016,MONTH(S346),DAY(S346))-DATE(2016,1,1)+1,1)/1000000</f>
        <v>35.644809926941086</v>
      </c>
      <c r="U346" s="77">
        <f>IF(T!$A$4&gt;=MONTH(S346),VLOOKUP(S346,'[8]Podklady MZ'!$R$2:$S$367,2,FALSE),NA())</f>
        <v>33.052125485259069</v>
      </c>
      <c r="V346" s="176">
        <f>INDEX([5]PT!$AF$16:$AF$381,DATE(2016,MONTH(S346),DAY(S346))-DATE(2016,1,1)+1,1)</f>
        <v>0.9</v>
      </c>
      <c r="W346" s="176" t="e">
        <f>IF(T!$A$4&lt;MONTH(S346),VLOOKUP(S346,'[8]Podklady MZ'!$R$2:$S$367,2,FALSE),NA())</f>
        <v>#N/A</v>
      </c>
    </row>
    <row r="347" spans="19:23" x14ac:dyDescent="0.2">
      <c r="S347" s="76">
        <f t="shared" si="5"/>
        <v>42350</v>
      </c>
      <c r="T347" s="77">
        <f>INDEX([12]ČR!$D$18:$D$383,DATE(2016,MONTH(S347),DAY(S347))-DATE(2016,1,1)+1,1)/1000000</f>
        <v>31.430502833099503</v>
      </c>
      <c r="U347" s="77">
        <f>IF(T!$A$4&gt;=MONTH(S347),VLOOKUP(S347,'[8]Podklady MZ'!$R$2:$S$367,2,FALSE),NA())</f>
        <v>28.854517786107621</v>
      </c>
      <c r="V347" s="176">
        <f>INDEX([5]PT!$AF$16:$AF$381,DATE(2016,MONTH(S347),DAY(S347))-DATE(2016,1,1)+1,1)</f>
        <v>3.7</v>
      </c>
      <c r="W347" s="176" t="e">
        <f>IF(T!$A$4&lt;MONTH(S347),VLOOKUP(S347,'[8]Podklady MZ'!$R$2:$S$367,2,FALSE),NA())</f>
        <v>#N/A</v>
      </c>
    </row>
    <row r="348" spans="19:23" x14ac:dyDescent="0.2">
      <c r="S348" s="76">
        <f t="shared" si="5"/>
        <v>42351</v>
      </c>
      <c r="T348" s="77">
        <f>INDEX([12]ČR!$D$18:$D$383,DATE(2016,MONTH(S348),DAY(S348))-DATE(2016,1,1)+1,1)/1000000</f>
        <v>27.420865255375002</v>
      </c>
      <c r="U348" s="77">
        <f>IF(T!$A$4&gt;=MONTH(S348),VLOOKUP(S348,'[8]Podklady MZ'!$R$2:$S$367,2,FALSE),NA())</f>
        <v>29.408472849359399</v>
      </c>
      <c r="V348" s="176">
        <f>INDEX([5]PT!$AF$16:$AF$381,DATE(2016,MONTH(S348),DAY(S348))-DATE(2016,1,1)+1,1)</f>
        <v>4.3</v>
      </c>
      <c r="W348" s="176" t="e">
        <f>IF(T!$A$4&lt;MONTH(S348),VLOOKUP(S348,'[8]Podklady MZ'!$R$2:$S$367,2,FALSE),NA())</f>
        <v>#N/A</v>
      </c>
    </row>
    <row r="349" spans="19:23" x14ac:dyDescent="0.2">
      <c r="S349" s="76">
        <f t="shared" si="5"/>
        <v>42352</v>
      </c>
      <c r="T349" s="77">
        <f>INDEX([12]ČR!$D$18:$D$383,DATE(2016,MONTH(S349),DAY(S349))-DATE(2016,1,1)+1,1)/1000000</f>
        <v>28.083426580878104</v>
      </c>
      <c r="U349" s="77">
        <f>IF(T!$A$4&gt;=MONTH(S349),VLOOKUP(S349,'[8]Podklady MZ'!$R$2:$S$367,2,FALSE),NA())</f>
        <v>34.509998691494509</v>
      </c>
      <c r="V349" s="176">
        <f>INDEX([5]PT!$AF$16:$AF$381,DATE(2016,MONTH(S349),DAY(S349))-DATE(2016,1,1)+1,1)</f>
        <v>1.4</v>
      </c>
      <c r="W349" s="176" t="e">
        <f>IF(T!$A$4&lt;MONTH(S349),VLOOKUP(S349,'[8]Podklady MZ'!$R$2:$S$367,2,FALSE),NA())</f>
        <v>#N/A</v>
      </c>
    </row>
    <row r="350" spans="19:23" x14ac:dyDescent="0.2">
      <c r="S350" s="76">
        <f t="shared" si="5"/>
        <v>42353</v>
      </c>
      <c r="T350" s="77">
        <f>INDEX([12]ČR!$D$18:$D$383,DATE(2016,MONTH(S350),DAY(S350))-DATE(2016,1,1)+1,1)/1000000</f>
        <v>30.529867411220717</v>
      </c>
      <c r="U350" s="77">
        <f>IF(T!$A$4&gt;=MONTH(S350),VLOOKUP(S350,'[8]Podklady MZ'!$R$2:$S$367,2,FALSE),NA())</f>
        <v>34.352662078829468</v>
      </c>
      <c r="V350" s="176">
        <f>INDEX([5]PT!$AF$16:$AF$381,DATE(2016,MONTH(S350),DAY(S350))-DATE(2016,1,1)+1,1)</f>
        <v>2.9</v>
      </c>
      <c r="W350" s="176" t="e">
        <f>IF(T!$A$4&lt;MONTH(S350),VLOOKUP(S350,'[8]Podklady MZ'!$R$2:$S$367,2,FALSE),NA())</f>
        <v>#N/A</v>
      </c>
    </row>
    <row r="351" spans="19:23" x14ac:dyDescent="0.2">
      <c r="S351" s="76">
        <f t="shared" si="5"/>
        <v>42354</v>
      </c>
      <c r="T351" s="77">
        <f>INDEX([12]ČR!$D$18:$D$383,DATE(2016,MONTH(S351),DAY(S351))-DATE(2016,1,1)+1,1)/1000000</f>
        <v>30.919331233765597</v>
      </c>
      <c r="U351" s="77">
        <f>IF(T!$A$4&gt;=MONTH(S351),VLOOKUP(S351,'[8]Podklady MZ'!$R$2:$S$367,2,FALSE),NA())</f>
        <v>31.973088325273611</v>
      </c>
      <c r="V351" s="176">
        <f>INDEX([5]PT!$AF$16:$AF$381,DATE(2016,MONTH(S351),DAY(S351))-DATE(2016,1,1)+1,1)</f>
        <v>2.9</v>
      </c>
      <c r="W351" s="176" t="e">
        <f>IF(T!$A$4&lt;MONTH(S351),VLOOKUP(S351,'[8]Podklady MZ'!$R$2:$S$367,2,FALSE),NA())</f>
        <v>#N/A</v>
      </c>
    </row>
    <row r="352" spans="19:23" x14ac:dyDescent="0.2">
      <c r="S352" s="76">
        <f t="shared" si="5"/>
        <v>42355</v>
      </c>
      <c r="T352" s="77">
        <f>INDEX([12]ČR!$D$18:$D$383,DATE(2016,MONTH(S352),DAY(S352))-DATE(2016,1,1)+1,1)/1000000</f>
        <v>31.288395402017816</v>
      </c>
      <c r="U352" s="77">
        <f>IF(T!$A$4&gt;=MONTH(S352),VLOOKUP(S352,'[8]Podklady MZ'!$R$2:$S$367,2,FALSE),NA())</f>
        <v>31.206554504471672</v>
      </c>
      <c r="V352" s="176">
        <f>INDEX([5]PT!$AF$16:$AF$381,DATE(2016,MONTH(S352),DAY(S352))-DATE(2016,1,1)+1,1)</f>
        <v>4.4000000000000004</v>
      </c>
      <c r="W352" s="176" t="e">
        <f>IF(T!$A$4&lt;MONTH(S352),VLOOKUP(S352,'[8]Podklady MZ'!$R$2:$S$367,2,FALSE),NA())</f>
        <v>#N/A</v>
      </c>
    </row>
    <row r="353" spans="19:23" x14ac:dyDescent="0.2">
      <c r="S353" s="76">
        <f t="shared" si="5"/>
        <v>42356</v>
      </c>
      <c r="T353" s="77">
        <f>INDEX([12]ČR!$D$18:$D$383,DATE(2016,MONTH(S353),DAY(S353))-DATE(2016,1,1)+1,1)/1000000</f>
        <v>28.572530961628207</v>
      </c>
      <c r="U353" s="77">
        <f>IF(T!$A$4&gt;=MONTH(S353),VLOOKUP(S353,'[8]Podklady MZ'!$R$2:$S$367,2,FALSE),NA())</f>
        <v>28.853140547199217</v>
      </c>
      <c r="V353" s="176">
        <f>INDEX([5]PT!$AF$16:$AF$381,DATE(2016,MONTH(S353),DAY(S353))-DATE(2016,1,1)+1,1)</f>
        <v>5.0999999999999996</v>
      </c>
      <c r="W353" s="176" t="e">
        <f>IF(T!$A$4&lt;MONTH(S353),VLOOKUP(S353,'[8]Podklady MZ'!$R$2:$S$367,2,FALSE),NA())</f>
        <v>#N/A</v>
      </c>
    </row>
    <row r="354" spans="19:23" x14ac:dyDescent="0.2">
      <c r="S354" s="76">
        <f t="shared" si="5"/>
        <v>42357</v>
      </c>
      <c r="T354" s="77">
        <f>INDEX([12]ČR!$D$18:$D$383,DATE(2016,MONTH(S354),DAY(S354))-DATE(2016,1,1)+1,1)/1000000</f>
        <v>25.029565808429169</v>
      </c>
      <c r="U354" s="77">
        <f>IF(T!$A$4&gt;=MONTH(S354),VLOOKUP(S354,'[8]Podklady MZ'!$R$2:$S$367,2,FALSE),NA())</f>
        <v>25.530285415587532</v>
      </c>
      <c r="V354" s="176">
        <f>INDEX([5]PT!$AF$16:$AF$381,DATE(2016,MONTH(S354),DAY(S354))-DATE(2016,1,1)+1,1)</f>
        <v>4.8</v>
      </c>
      <c r="W354" s="176" t="e">
        <f>IF(T!$A$4&lt;MONTH(S354),VLOOKUP(S354,'[8]Podklady MZ'!$R$2:$S$367,2,FALSE),NA())</f>
        <v>#N/A</v>
      </c>
    </row>
    <row r="355" spans="19:23" x14ac:dyDescent="0.2">
      <c r="S355" s="76">
        <f t="shared" si="5"/>
        <v>42358</v>
      </c>
      <c r="T355" s="77">
        <f>INDEX([12]ČR!$D$18:$D$383,DATE(2016,MONTH(S355),DAY(S355))-DATE(2016,1,1)+1,1)/1000000</f>
        <v>25.921658317524329</v>
      </c>
      <c r="U355" s="77">
        <f>IF(T!$A$4&gt;=MONTH(S355),VLOOKUP(S355,'[8]Podklady MZ'!$R$2:$S$367,2,FALSE),NA())</f>
        <v>27.657558506556839</v>
      </c>
      <c r="V355" s="176">
        <f>INDEX([5]PT!$AF$16:$AF$381,DATE(2016,MONTH(S355),DAY(S355))-DATE(2016,1,1)+1,1)</f>
        <v>2.6</v>
      </c>
      <c r="W355" s="176" t="e">
        <f>IF(T!$A$4&lt;MONTH(S355),VLOOKUP(S355,'[8]Podklady MZ'!$R$2:$S$367,2,FALSE),NA())</f>
        <v>#N/A</v>
      </c>
    </row>
    <row r="356" spans="19:23" x14ac:dyDescent="0.2">
      <c r="S356" s="76">
        <f t="shared" si="5"/>
        <v>42359</v>
      </c>
      <c r="T356" s="77">
        <f>INDEX([12]ČR!$D$18:$D$383,DATE(2016,MONTH(S356),DAY(S356))-DATE(2016,1,1)+1,1)/1000000</f>
        <v>27.286221259888482</v>
      </c>
      <c r="U356" s="77">
        <f>IF(T!$A$4&gt;=MONTH(S356),VLOOKUP(S356,'[8]Podklady MZ'!$R$2:$S$367,2,FALSE),NA())</f>
        <v>30.062330926735253</v>
      </c>
      <c r="V356" s="176">
        <f>INDEX([5]PT!$AF$16:$AF$381,DATE(2016,MONTH(S356),DAY(S356))-DATE(2016,1,1)+1,1)</f>
        <v>3.4</v>
      </c>
      <c r="W356" s="176" t="e">
        <f>IF(T!$A$4&lt;MONTH(S356),VLOOKUP(S356,'[8]Podklady MZ'!$R$2:$S$367,2,FALSE),NA())</f>
        <v>#N/A</v>
      </c>
    </row>
    <row r="357" spans="19:23" x14ac:dyDescent="0.2">
      <c r="S357" s="76">
        <f t="shared" si="5"/>
        <v>42360</v>
      </c>
      <c r="T357" s="77">
        <f>INDEX([12]ČR!$D$18:$D$383,DATE(2016,MONTH(S357),DAY(S357))-DATE(2016,1,1)+1,1)/1000000</f>
        <v>27.236034880550331</v>
      </c>
      <c r="U357" s="77">
        <f>IF(T!$A$4&gt;=MONTH(S357),VLOOKUP(S357,'[8]Podklady MZ'!$R$2:$S$367,2,FALSE),NA())</f>
        <v>26.402039472681921</v>
      </c>
      <c r="V357" s="176">
        <f>INDEX([5]PT!$AF$16:$AF$381,DATE(2016,MONTH(S357),DAY(S357))-DATE(2016,1,1)+1,1)</f>
        <v>7.4</v>
      </c>
      <c r="W357" s="176" t="e">
        <f>IF(T!$A$4&lt;MONTH(S357),VLOOKUP(S357,'[8]Podklady MZ'!$R$2:$S$367,2,FALSE),NA())</f>
        <v>#N/A</v>
      </c>
    </row>
    <row r="358" spans="19:23" x14ac:dyDescent="0.2">
      <c r="S358" s="76">
        <f t="shared" si="5"/>
        <v>42361</v>
      </c>
      <c r="T358" s="77">
        <f>INDEX([12]ČR!$D$18:$D$383,DATE(2016,MONTH(S358),DAY(S358))-DATE(2016,1,1)+1,1)/1000000</f>
        <v>24.182742733133647</v>
      </c>
      <c r="U358" s="77">
        <f>IF(T!$A$4&gt;=MONTH(S358),VLOOKUP(S358,'[8]Podklady MZ'!$R$2:$S$367,2,FALSE),NA())</f>
        <v>24.814562479022648</v>
      </c>
      <c r="V358" s="176">
        <f>INDEX([5]PT!$AF$16:$AF$381,DATE(2016,MONTH(S358),DAY(S358))-DATE(2016,1,1)+1,1)</f>
        <v>6.5</v>
      </c>
      <c r="W358" s="176" t="e">
        <f>IF(T!$A$4&lt;MONTH(S358),VLOOKUP(S358,'[8]Podklady MZ'!$R$2:$S$367,2,FALSE),NA())</f>
        <v>#N/A</v>
      </c>
    </row>
    <row r="359" spans="19:23" x14ac:dyDescent="0.2">
      <c r="S359" s="76">
        <f t="shared" si="5"/>
        <v>42362</v>
      </c>
      <c r="T359" s="77">
        <f>INDEX([12]ČR!$D$18:$D$383,DATE(2016,MONTH(S359),DAY(S359))-DATE(2016,1,1)+1,1)/1000000</f>
        <v>23.168486093916595</v>
      </c>
      <c r="U359" s="77">
        <f>IF(T!$A$4&gt;=MONTH(S359),VLOOKUP(S359,'[8]Podklady MZ'!$R$2:$S$367,2,FALSE),NA())</f>
        <v>23.656104953044064</v>
      </c>
      <c r="V359" s="176">
        <f>INDEX([5]PT!$AF$16:$AF$381,DATE(2016,MONTH(S359),DAY(S359))-DATE(2016,1,1)+1,1)</f>
        <v>4.2</v>
      </c>
      <c r="W359" s="176" t="e">
        <f>IF(T!$A$4&lt;MONTH(S359),VLOOKUP(S359,'[8]Podklady MZ'!$R$2:$S$367,2,FALSE),NA())</f>
        <v>#N/A</v>
      </c>
    </row>
    <row r="360" spans="19:23" x14ac:dyDescent="0.2">
      <c r="S360" s="76">
        <f t="shared" si="5"/>
        <v>42363</v>
      </c>
      <c r="T360" s="77">
        <f>INDEX([12]ČR!$D$18:$D$383,DATE(2016,MONTH(S360),DAY(S360))-DATE(2016,1,1)+1,1)/1000000</f>
        <v>25.0502196645295</v>
      </c>
      <c r="U360" s="77">
        <f>IF(T!$A$4&gt;=MONTH(S360),VLOOKUP(S360,'[8]Podklady MZ'!$R$2:$S$367,2,FALSE),NA())</f>
        <v>22.716489605055276</v>
      </c>
      <c r="V360" s="176">
        <f>INDEX([5]PT!$AF$16:$AF$381,DATE(2016,MONTH(S360),DAY(S360))-DATE(2016,1,1)+1,1)</f>
        <v>5.5</v>
      </c>
      <c r="W360" s="176" t="e">
        <f>IF(T!$A$4&lt;MONTH(S360),VLOOKUP(S360,'[8]Podklady MZ'!$R$2:$S$367,2,FALSE),NA())</f>
        <v>#N/A</v>
      </c>
    </row>
    <row r="361" spans="19:23" x14ac:dyDescent="0.2">
      <c r="S361" s="76">
        <f t="shared" si="5"/>
        <v>42364</v>
      </c>
      <c r="T361" s="77">
        <f>INDEX([12]ČR!$D$18:$D$383,DATE(2016,MONTH(S361),DAY(S361))-DATE(2016,1,1)+1,1)/1000000</f>
        <v>30.002314163589158</v>
      </c>
      <c r="U361" s="77">
        <f>IF(T!$A$4&gt;=MONTH(S361),VLOOKUP(S361,'[8]Podklady MZ'!$R$2:$S$367,2,FALSE),NA())</f>
        <v>21.847434865338133</v>
      </c>
      <c r="V361" s="176">
        <f>INDEX([5]PT!$AF$16:$AF$381,DATE(2016,MONTH(S361),DAY(S361))-DATE(2016,1,1)+1,1)</f>
        <v>6.2</v>
      </c>
      <c r="W361" s="176" t="e">
        <f>IF(T!$A$4&lt;MONTH(S361),VLOOKUP(S361,'[8]Podklady MZ'!$R$2:$S$367,2,FALSE),NA())</f>
        <v>#N/A</v>
      </c>
    </row>
    <row r="362" spans="19:23" x14ac:dyDescent="0.2">
      <c r="S362" s="76">
        <f t="shared" si="5"/>
        <v>42365</v>
      </c>
      <c r="T362" s="77">
        <f>INDEX([12]ČR!$D$18:$D$383,DATE(2016,MONTH(S362),DAY(S362))-DATE(2016,1,1)+1,1)/1000000</f>
        <v>33.819575464437477</v>
      </c>
      <c r="U362" s="77">
        <f>IF(T!$A$4&gt;=MONTH(S362),VLOOKUP(S362,'[8]Podklady MZ'!$R$2:$S$367,2,FALSE),NA())</f>
        <v>24.429568140989709</v>
      </c>
      <c r="V362" s="176">
        <f>INDEX([5]PT!$AF$16:$AF$381,DATE(2016,MONTH(S362),DAY(S362))-DATE(2016,1,1)+1,1)</f>
        <v>3.7</v>
      </c>
      <c r="W362" s="176" t="e">
        <f>IF(T!$A$4&lt;MONTH(S362),VLOOKUP(S362,'[8]Podklady MZ'!$R$2:$S$367,2,FALSE),NA())</f>
        <v>#N/A</v>
      </c>
    </row>
    <row r="363" spans="19:23" x14ac:dyDescent="0.2">
      <c r="S363" s="76">
        <f t="shared" si="5"/>
        <v>42366</v>
      </c>
      <c r="T363" s="77">
        <f>INDEX([12]ČR!$D$18:$D$383,DATE(2016,MONTH(S363),DAY(S363))-DATE(2016,1,1)+1,1)/1000000</f>
        <v>38.256776847175416</v>
      </c>
      <c r="U363" s="77">
        <f>IF(T!$A$4&gt;=MONTH(S363),VLOOKUP(S363,'[8]Podklady MZ'!$R$2:$S$367,2,FALSE),NA())</f>
        <v>26.189235055052912</v>
      </c>
      <c r="V363" s="176">
        <f>INDEX([5]PT!$AF$16:$AF$381,DATE(2016,MONTH(S363),DAY(S363))-DATE(2016,1,1)+1,1)</f>
        <v>4.5</v>
      </c>
      <c r="W363" s="176" t="e">
        <f>IF(T!$A$4&lt;MONTH(S363),VLOOKUP(S363,'[8]Podklady MZ'!$R$2:$S$367,2,FALSE),NA())</f>
        <v>#N/A</v>
      </c>
    </row>
    <row r="364" spans="19:23" x14ac:dyDescent="0.2">
      <c r="S364" s="76">
        <f t="shared" si="5"/>
        <v>42367</v>
      </c>
      <c r="T364" s="77">
        <f>INDEX([12]ČR!$D$18:$D$383,DATE(2016,MONTH(S364),DAY(S364))-DATE(2016,1,1)+1,1)/1000000</f>
        <v>41.016428883228755</v>
      </c>
      <c r="U364" s="77">
        <f>IF(T!$A$4&gt;=MONTH(S364),VLOOKUP(S364,'[8]Podklady MZ'!$R$2:$S$367,2,FALSE),NA())</f>
        <v>27.919529029109722</v>
      </c>
      <c r="V364" s="176">
        <f>INDEX([5]PT!$AF$16:$AF$381,DATE(2016,MONTH(S364),DAY(S364))-DATE(2016,1,1)+1,1)</f>
        <v>2.2999999999999998</v>
      </c>
      <c r="W364" s="176" t="e">
        <f>IF(T!$A$4&lt;MONTH(S364),VLOOKUP(S364,'[8]Podklady MZ'!$R$2:$S$367,2,FALSE),NA())</f>
        <v>#N/A</v>
      </c>
    </row>
    <row r="365" spans="19:23" x14ac:dyDescent="0.2">
      <c r="S365" s="76">
        <f t="shared" si="5"/>
        <v>42368</v>
      </c>
      <c r="T365" s="77">
        <f>INDEX([12]ČR!$D$18:$D$383,DATE(2016,MONTH(S365),DAY(S365))-DATE(2016,1,1)+1,1)/1000000</f>
        <v>40.53163433214683</v>
      </c>
      <c r="U365" s="77">
        <f>IF(T!$A$4&gt;=MONTH(S365),VLOOKUP(S365,'[8]Podklady MZ'!$R$2:$S$367,2,FALSE),NA())</f>
        <v>31.400429941866612</v>
      </c>
      <c r="V365" s="176">
        <f>INDEX([5]PT!$AF$16:$AF$381,DATE(2016,MONTH(S365),DAY(S365))-DATE(2016,1,1)+1,1)</f>
        <v>-1.7</v>
      </c>
      <c r="W365" s="176" t="e">
        <f>IF(T!$A$4&lt;MONTH(S365),VLOOKUP(S365,'[8]Podklady MZ'!$R$2:$S$367,2,FALSE),NA())</f>
        <v>#N/A</v>
      </c>
    </row>
    <row r="366" spans="19:23" x14ac:dyDescent="0.2">
      <c r="S366" s="76">
        <f t="shared" si="5"/>
        <v>42369</v>
      </c>
      <c r="T366" s="77">
        <f>INDEX([12]ČR!$D$18:$D$383,DATE(2016,MONTH(S366),DAY(S366))-DATE(2016,1,1)+1,1)/1000000</f>
        <v>37.874485907892407</v>
      </c>
      <c r="U366" s="77">
        <f>IF(T!$A$4&gt;=MONTH(S366),VLOOKUP(S366,'[8]Podklady MZ'!$R$2:$S$367,2,FALSE),NA())</f>
        <v>33.060100065268387</v>
      </c>
      <c r="V366" s="176">
        <f>INDEX([5]PT!$AF$16:$AF$381,DATE(2016,MONTH(S366),DAY(S366))-DATE(2016,1,1)+1,1)</f>
        <v>-3.9</v>
      </c>
      <c r="W366" s="176" t="e">
        <f>IF(T!$A$4&lt;MONTH(S366),VLOOKUP(S366,'[8]Podklady MZ'!$R$2:$S$367,2,FALSE),NA())</f>
        <v>#N/A</v>
      </c>
    </row>
    <row r="367" spans="19:23" x14ac:dyDescent="0.2">
      <c r="S367" s="76">
        <f t="shared" si="5"/>
        <v>42370</v>
      </c>
      <c r="T367" s="77">
        <f>INDEX([12]ČR!$D$18:$D$383,DATE(2016,MONTH(S367),DAY(S367))-DATE(2016,1,1)+1,1)/1000000</f>
        <v>29.819936957415216</v>
      </c>
      <c r="U367" s="77">
        <f>IF(T!$A$4&gt;=MONTH(S367),VLOOKUP(S367,'[8]Podklady MZ'!$R$2:$S$367,2,FALSE),NA())</f>
        <v>34.064890044007484</v>
      </c>
      <c r="V367" s="176">
        <f>INDEX([5]PT!$AF$16:$AF$381,DATE(2016,MONTH(S367),DAY(S367))-DATE(2016,1,1)+1,1)</f>
        <v>0</v>
      </c>
      <c r="W367" s="176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N1:O1"/>
    <mergeCell ref="A2:O2"/>
    <mergeCell ref="A24:O24"/>
    <mergeCell ref="B27:B28"/>
    <mergeCell ref="A27:A30"/>
    <mergeCell ref="B29:B30"/>
    <mergeCell ref="A39:F39"/>
    <mergeCell ref="A38:O38"/>
    <mergeCell ref="A31:A34"/>
    <mergeCell ref="B31:B32"/>
    <mergeCell ref="B33:B34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829" t="s">
        <v>87</v>
      </c>
      <c r="P1" s="829"/>
    </row>
    <row r="2" spans="1:21" ht="15.95" customHeight="1" x14ac:dyDescent="0.25">
      <c r="A2" s="879" t="s">
        <v>243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21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21" ht="14.1" customHeight="1" x14ac:dyDescent="0.2">
      <c r="D4" s="507"/>
      <c r="E4" s="507"/>
      <c r="F4" s="507"/>
      <c r="G4" s="507"/>
      <c r="P4" s="593"/>
    </row>
    <row r="5" spans="1:21" ht="18" customHeight="1" x14ac:dyDescent="0.2">
      <c r="A5" s="514"/>
      <c r="B5" s="515"/>
      <c r="C5" s="516"/>
      <c r="D5" s="617" t="s">
        <v>13</v>
      </c>
      <c r="E5" s="617" t="s">
        <v>58</v>
      </c>
      <c r="F5" s="618" t="s">
        <v>59</v>
      </c>
      <c r="G5" s="617" t="s">
        <v>60</v>
      </c>
      <c r="H5" s="617" t="s">
        <v>61</v>
      </c>
      <c r="I5" s="618" t="s">
        <v>62</v>
      </c>
      <c r="J5" s="617" t="s">
        <v>63</v>
      </c>
      <c r="K5" s="617" t="s">
        <v>64</v>
      </c>
      <c r="L5" s="618" t="s">
        <v>65</v>
      </c>
      <c r="M5" s="617" t="s">
        <v>66</v>
      </c>
      <c r="N5" s="617" t="s">
        <v>67</v>
      </c>
      <c r="O5" s="617" t="s">
        <v>68</v>
      </c>
      <c r="P5" s="587" t="s">
        <v>2</v>
      </c>
      <c r="Q5" s="13"/>
    </row>
    <row r="6" spans="1:21" ht="9" customHeight="1" x14ac:dyDescent="0.2">
      <c r="A6" s="881" t="s">
        <v>287</v>
      </c>
      <c r="B6" s="518"/>
      <c r="C6" s="519"/>
      <c r="D6" s="508"/>
      <c r="E6" s="508"/>
      <c r="F6" s="520"/>
      <c r="G6" s="508"/>
      <c r="H6" s="508"/>
      <c r="I6" s="520"/>
      <c r="J6" s="508"/>
      <c r="K6" s="508"/>
      <c r="L6" s="520"/>
      <c r="M6" s="508"/>
      <c r="N6" s="508"/>
      <c r="O6" s="508"/>
      <c r="P6" s="588"/>
      <c r="Q6" s="13"/>
    </row>
    <row r="7" spans="1:21" ht="18" customHeight="1" x14ac:dyDescent="0.2">
      <c r="A7" s="877"/>
      <c r="B7" s="570" t="s">
        <v>71</v>
      </c>
      <c r="C7" s="571" t="s">
        <v>231</v>
      </c>
      <c r="D7" s="555">
        <v>1120</v>
      </c>
      <c r="E7" s="619">
        <v>1000</v>
      </c>
      <c r="F7" s="620">
        <v>910</v>
      </c>
      <c r="G7" s="619">
        <v>630</v>
      </c>
      <c r="H7" s="555">
        <v>400</v>
      </c>
      <c r="I7" s="556">
        <v>310</v>
      </c>
      <c r="J7" s="555">
        <v>290</v>
      </c>
      <c r="K7" s="555">
        <v>290</v>
      </c>
      <c r="L7" s="556">
        <v>380</v>
      </c>
      <c r="M7" s="555">
        <v>650</v>
      </c>
      <c r="N7" s="555">
        <v>920</v>
      </c>
      <c r="O7" s="555">
        <v>1080</v>
      </c>
      <c r="P7" s="595">
        <f>SUM(D7:O7)</f>
        <v>7980</v>
      </c>
    </row>
    <row r="8" spans="1:21" ht="18" customHeight="1" x14ac:dyDescent="0.2">
      <c r="A8" s="877"/>
      <c r="B8" s="570" t="s">
        <v>71</v>
      </c>
      <c r="C8" s="571" t="s">
        <v>284</v>
      </c>
      <c r="D8" s="619">
        <v>11900</v>
      </c>
      <c r="E8" s="619">
        <v>10620</v>
      </c>
      <c r="F8" s="620">
        <v>9660</v>
      </c>
      <c r="G8" s="619">
        <v>6690</v>
      </c>
      <c r="H8" s="555">
        <v>4250</v>
      </c>
      <c r="I8" s="556">
        <v>3290</v>
      </c>
      <c r="J8" s="555">
        <v>3080</v>
      </c>
      <c r="K8" s="555">
        <v>3080</v>
      </c>
      <c r="L8" s="556">
        <v>4040</v>
      </c>
      <c r="M8" s="555">
        <v>6900</v>
      </c>
      <c r="N8" s="555">
        <v>9770</v>
      </c>
      <c r="O8" s="555">
        <v>11470</v>
      </c>
      <c r="P8" s="595">
        <f>SUM(D8:O8)</f>
        <v>84750</v>
      </c>
    </row>
    <row r="9" spans="1:21" ht="18" customHeight="1" x14ac:dyDescent="0.2">
      <c r="A9" s="877"/>
      <c r="B9" s="564" t="s">
        <v>244</v>
      </c>
      <c r="C9" s="566" t="s">
        <v>233</v>
      </c>
      <c r="D9" s="747">
        <v>-2</v>
      </c>
      <c r="E9" s="747">
        <v>-0.7</v>
      </c>
      <c r="F9" s="748">
        <v>3.3</v>
      </c>
      <c r="G9" s="747">
        <v>7.6</v>
      </c>
      <c r="H9" s="749">
        <v>13</v>
      </c>
      <c r="I9" s="750">
        <v>15.8</v>
      </c>
      <c r="J9" s="749">
        <v>17.5</v>
      </c>
      <c r="K9" s="749">
        <v>17.2</v>
      </c>
      <c r="L9" s="750">
        <v>13</v>
      </c>
      <c r="M9" s="749">
        <v>8</v>
      </c>
      <c r="N9" s="749">
        <v>2.6</v>
      </c>
      <c r="O9" s="749">
        <v>-0.4</v>
      </c>
      <c r="P9" s="751">
        <f>AVERAGE(D9:O9)</f>
        <v>7.9083333333333323</v>
      </c>
    </row>
    <row r="10" spans="1:21" ht="9" customHeight="1" x14ac:dyDescent="0.2">
      <c r="A10" s="878"/>
      <c r="B10" s="510"/>
      <c r="C10" s="530"/>
      <c r="D10" s="531"/>
      <c r="E10" s="531"/>
      <c r="F10" s="532"/>
      <c r="G10" s="531"/>
      <c r="H10" s="533"/>
      <c r="I10" s="534"/>
      <c r="J10" s="533"/>
      <c r="K10" s="533"/>
      <c r="L10" s="534"/>
      <c r="M10" s="533"/>
      <c r="N10" s="533"/>
      <c r="O10" s="533"/>
      <c r="P10" s="590"/>
    </row>
    <row r="11" spans="1:21" ht="9" customHeight="1" x14ac:dyDescent="0.2">
      <c r="A11" s="881" t="s">
        <v>248</v>
      </c>
      <c r="B11" s="511"/>
      <c r="C11" s="535"/>
      <c r="D11" s="525"/>
      <c r="E11" s="525"/>
      <c r="F11" s="526"/>
      <c r="G11" s="525"/>
      <c r="H11" s="527"/>
      <c r="I11" s="528"/>
      <c r="J11" s="527"/>
      <c r="K11" s="527"/>
      <c r="L11" s="528"/>
      <c r="M11" s="527"/>
      <c r="N11" s="527"/>
      <c r="O11" s="527"/>
      <c r="P11" s="589"/>
    </row>
    <row r="12" spans="1:21" ht="18" customHeight="1" x14ac:dyDescent="0.2">
      <c r="A12" s="877"/>
      <c r="B12" s="98" t="s">
        <v>71</v>
      </c>
      <c r="C12" s="567" t="s">
        <v>231</v>
      </c>
      <c r="D12" s="529">
        <f>'[8]Podklady MZ'!D52</f>
        <v>1081.280644710429</v>
      </c>
      <c r="E12" s="529">
        <f>'[8]Podklady MZ'!E52</f>
        <v>989.86689164730865</v>
      </c>
      <c r="F12" s="544">
        <f>'[8]Podklady MZ'!F52</f>
        <v>865.53252041105134</v>
      </c>
      <c r="G12" s="529">
        <f>'[8]Podklady MZ'!G52</f>
        <v>622.80856614391325</v>
      </c>
      <c r="H12" s="529">
        <f>'[8]Podklady MZ'!H52</f>
        <v>404.77237581362579</v>
      </c>
      <c r="I12" s="544">
        <f>'[8]Podklady MZ'!I52</f>
        <v>314.40782647711256</v>
      </c>
      <c r="J12" s="529">
        <f>'[8]Podklady MZ'!J52</f>
        <v>298.38639432190473</v>
      </c>
      <c r="K12" s="529">
        <f>'[8]Podklady MZ'!K52</f>
        <v>277.51120821690495</v>
      </c>
      <c r="L12" s="544">
        <f>'[8]Podklady MZ'!L52</f>
        <v>352.96079611407475</v>
      </c>
      <c r="M12" s="529">
        <f>'[8]Podklady MZ'!M52</f>
        <v>692.3772462549789</v>
      </c>
      <c r="N12" s="529">
        <f>'[8]Podklady MZ'!N52</f>
        <v>806.33735989642719</v>
      </c>
      <c r="O12" s="529">
        <f>'[8]Podklady MZ'!O52</f>
        <v>902.97257119574556</v>
      </c>
      <c r="P12" s="589">
        <f>SUM(D12:O12)</f>
        <v>7609.214401203476</v>
      </c>
      <c r="U12" s="66"/>
    </row>
    <row r="13" spans="1:21" ht="18" customHeight="1" x14ac:dyDescent="0.2">
      <c r="A13" s="877"/>
      <c r="B13" s="98" t="s">
        <v>71</v>
      </c>
      <c r="C13" s="567" t="s">
        <v>284</v>
      </c>
      <c r="D13" s="542">
        <f>'[8]Podklady MZ'!D53</f>
        <v>11492.757934199999</v>
      </c>
      <c r="E13" s="542">
        <f>'[8]Podklady MZ'!E53</f>
        <v>10525.401338</v>
      </c>
      <c r="F13" s="569">
        <f>'[8]Podklady MZ'!F53</f>
        <v>9201.9026437999983</v>
      </c>
      <c r="G13" s="542">
        <f>'[8]Podklady MZ'!G53</f>
        <v>6626.1087002000022</v>
      </c>
      <c r="H13" s="542">
        <f>'[8]Podklady MZ'!H53</f>
        <v>4332.1303954000005</v>
      </c>
      <c r="I13" s="569">
        <f>'[8]Podklady MZ'!I53</f>
        <v>3367.3136154999993</v>
      </c>
      <c r="J13" s="542">
        <f>'[8]Podklady MZ'!J53</f>
        <v>3186.2044436000006</v>
      </c>
      <c r="K13" s="542">
        <f>'[8]Podklady MZ'!K53</f>
        <v>2973.0205207999998</v>
      </c>
      <c r="L13" s="569">
        <f>'[8]Podklady MZ'!L53</f>
        <v>3775.558282</v>
      </c>
      <c r="M13" s="542">
        <f>'[8]Podklady MZ'!M53</f>
        <v>7395.1327493999997</v>
      </c>
      <c r="N13" s="542">
        <f>'[8]Podklady MZ'!N53</f>
        <v>8593.5736972000013</v>
      </c>
      <c r="O13" s="542">
        <f>'[8]Podklady MZ'!O53</f>
        <v>9616.7595715000007</v>
      </c>
      <c r="P13" s="589">
        <f>SUM(D13:O13)</f>
        <v>81085.863891600005</v>
      </c>
    </row>
    <row r="14" spans="1:21" ht="18" customHeight="1" x14ac:dyDescent="0.2">
      <c r="A14" s="877"/>
      <c r="B14" s="98" t="s">
        <v>224</v>
      </c>
      <c r="C14" s="575" t="s">
        <v>233</v>
      </c>
      <c r="D14" s="542">
        <f>'[8]Podklady MZ'!D54</f>
        <v>1.2161290322580647</v>
      </c>
      <c r="E14" s="542">
        <f>'[8]Podklady MZ'!E54</f>
        <v>0.22142857142857128</v>
      </c>
      <c r="F14" s="569">
        <f>'[8]Podklady MZ'!F54</f>
        <v>4.3258064516129036</v>
      </c>
      <c r="G14" s="542">
        <f>'[8]Podklady MZ'!G54</f>
        <v>8.2200000000000006</v>
      </c>
      <c r="H14" s="542">
        <f>'[8]Podklady MZ'!H54</f>
        <v>12.838709677419352</v>
      </c>
      <c r="I14" s="569">
        <f>'[8]Podklady MZ'!I54</f>
        <v>16.746666666666666</v>
      </c>
      <c r="J14" s="542">
        <f>'[8]Podklady MZ'!J54</f>
        <v>20.916129032258063</v>
      </c>
      <c r="K14" s="542">
        <f>'[8]Podklady MZ'!K54</f>
        <v>21.78064516129032</v>
      </c>
      <c r="L14" s="569">
        <f>'[8]Podklady MZ'!L54</f>
        <v>13.526666666666667</v>
      </c>
      <c r="M14" s="542">
        <f>'[8]Podklady MZ'!M54</f>
        <v>8.1580645161290342</v>
      </c>
      <c r="N14" s="542">
        <f>'[8]Podklady MZ'!N54</f>
        <v>5.9433333333333325</v>
      </c>
      <c r="O14" s="542">
        <f>'[8]Podklady MZ'!O54</f>
        <v>3.5354838709677412</v>
      </c>
      <c r="P14" s="589">
        <f>AVERAGE(D14:O14)</f>
        <v>9.7857552483358941</v>
      </c>
    </row>
    <row r="15" spans="1:21" ht="9" customHeight="1" x14ac:dyDescent="0.2">
      <c r="A15" s="878"/>
      <c r="B15" s="510"/>
      <c r="C15" s="530"/>
      <c r="D15" s="531"/>
      <c r="E15" s="531"/>
      <c r="F15" s="532"/>
      <c r="G15" s="531"/>
      <c r="H15" s="533"/>
      <c r="I15" s="534"/>
      <c r="J15" s="533"/>
      <c r="K15" s="533"/>
      <c r="L15" s="534"/>
      <c r="M15" s="533"/>
      <c r="N15" s="533"/>
      <c r="O15" s="533"/>
      <c r="P15" s="590"/>
    </row>
    <row r="16" spans="1:21" ht="9" customHeight="1" x14ac:dyDescent="0.2">
      <c r="A16" s="881" t="s">
        <v>249</v>
      </c>
      <c r="B16" s="511"/>
      <c r="C16" s="535"/>
      <c r="D16" s="525"/>
      <c r="E16" s="525"/>
      <c r="F16" s="526"/>
      <c r="G16" s="525"/>
      <c r="H16" s="527"/>
      <c r="I16" s="528"/>
      <c r="J16" s="527"/>
      <c r="K16" s="527"/>
      <c r="L16" s="528"/>
      <c r="M16" s="527"/>
      <c r="N16" s="527"/>
      <c r="O16" s="527"/>
      <c r="P16" s="589"/>
    </row>
    <row r="17" spans="1:16" ht="18" customHeight="1" x14ac:dyDescent="0.2">
      <c r="A17" s="877"/>
      <c r="B17" s="98" t="s">
        <v>71</v>
      </c>
      <c r="C17" s="567" t="s">
        <v>231</v>
      </c>
      <c r="D17" s="529">
        <f>'[8]Podklady MZ'!D57</f>
        <v>1162.3827182199684</v>
      </c>
      <c r="E17" s="542">
        <f>'[8]Podklady MZ'!E57</f>
        <v>1022.8621044614633</v>
      </c>
      <c r="F17" s="569">
        <f>'[8]Podklady MZ'!F57</f>
        <v>901.33118683539692</v>
      </c>
      <c r="G17" s="542">
        <f>'[8]Podklady MZ'!G57</f>
        <v>647.29636373718301</v>
      </c>
      <c r="H17" s="529">
        <f>'[8]Podklady MZ'!H57</f>
        <v>399.23311790096943</v>
      </c>
      <c r="I17" s="544">
        <f>'[8]Podklady MZ'!I57</f>
        <v>318.95062063632389</v>
      </c>
      <c r="J17" s="529">
        <f>'[8]Podklady MZ'!J57</f>
        <v>302.4372465189378</v>
      </c>
      <c r="K17" s="529">
        <f>'[8]Podklady MZ'!K57</f>
        <v>299.01838851541652</v>
      </c>
      <c r="L17" s="544">
        <f>'[8]Podklady MZ'!L57</f>
        <v>359.74623069021459</v>
      </c>
      <c r="M17" s="529">
        <f>'[8]Podklady MZ'!M57</f>
        <v>698.83677162586446</v>
      </c>
      <c r="N17" s="529">
        <f>'[8]Podklady MZ'!N57</f>
        <v>918.63175948797254</v>
      </c>
      <c r="O17" s="529">
        <f>'[8]Podklady MZ'!O57</f>
        <v>1056.2893320424055</v>
      </c>
      <c r="P17" s="589">
        <f>SUM(D17:O17)</f>
        <v>8087.0158406721175</v>
      </c>
    </row>
    <row r="18" spans="1:16" ht="18" customHeight="1" x14ac:dyDescent="0.2">
      <c r="A18" s="877"/>
      <c r="B18" s="98" t="s">
        <v>71</v>
      </c>
      <c r="C18" s="567" t="s">
        <v>284</v>
      </c>
      <c r="D18" s="542">
        <f>'[8]Podklady MZ'!D58</f>
        <v>12354.778819681072</v>
      </c>
      <c r="E18" s="542">
        <f>'[8]Podklady MZ'!E58</f>
        <v>10876.244325104813</v>
      </c>
      <c r="F18" s="569">
        <f>'[8]Podklady MZ'!F58</f>
        <v>9582.4959033788018</v>
      </c>
      <c r="G18" s="542">
        <f>'[8]Podklady MZ'!G58</f>
        <v>6886.6362804260079</v>
      </c>
      <c r="H18" s="529">
        <f>'[8]Podklady MZ'!H58</f>
        <v>4272.8457480148054</v>
      </c>
      <c r="I18" s="544">
        <f>'[8]Podklady MZ'!I58</f>
        <v>3415.9670246600913</v>
      </c>
      <c r="J18" s="529">
        <f>'[8]Podklady MZ'!J58</f>
        <v>3229.4599120669359</v>
      </c>
      <c r="K18" s="529">
        <f>'[8]Podklady MZ'!K58</f>
        <v>3203.4302717533501</v>
      </c>
      <c r="L18" s="544">
        <f>'[8]Podklady MZ'!L58</f>
        <v>3848.1408577221891</v>
      </c>
      <c r="M18" s="529">
        <f>'[8]Podklady MZ'!M58</f>
        <v>7464.1255533579515</v>
      </c>
      <c r="N18" s="529">
        <f>'[8]Podklady MZ'!N58</f>
        <v>9790.3558961504805</v>
      </c>
      <c r="O18" s="529">
        <f>'[8]Podklady MZ'!O58</f>
        <v>11249.600340285513</v>
      </c>
      <c r="P18" s="589">
        <f>SUM(D18:O18)</f>
        <v>86174.08093260201</v>
      </c>
    </row>
    <row r="19" spans="1:16" ht="18" customHeight="1" x14ac:dyDescent="0.2">
      <c r="A19" s="877"/>
      <c r="B19" s="98" t="s">
        <v>244</v>
      </c>
      <c r="C19" s="575" t="s">
        <v>233</v>
      </c>
      <c r="D19" s="542">
        <f>'[8]Podklady MZ'!D59</f>
        <v>-2</v>
      </c>
      <c r="E19" s="542">
        <f>'[8]Podklady MZ'!E59</f>
        <v>-0.7</v>
      </c>
      <c r="F19" s="569">
        <f>'[8]Podklady MZ'!F59</f>
        <v>3.3</v>
      </c>
      <c r="G19" s="542">
        <f>'[8]Podklady MZ'!G59</f>
        <v>7.6</v>
      </c>
      <c r="H19" s="529">
        <f>'[8]Podklady MZ'!H59</f>
        <v>13</v>
      </c>
      <c r="I19" s="544">
        <f>'[8]Podklady MZ'!I59</f>
        <v>15.8</v>
      </c>
      <c r="J19" s="529">
        <f>'[8]Podklady MZ'!J59</f>
        <v>17.5</v>
      </c>
      <c r="K19" s="529">
        <f>'[8]Podklady MZ'!K59</f>
        <v>17.2</v>
      </c>
      <c r="L19" s="544">
        <f>'[8]Podklady MZ'!L59</f>
        <v>13</v>
      </c>
      <c r="M19" s="529">
        <f>'[8]Podklady MZ'!M59</f>
        <v>8</v>
      </c>
      <c r="N19" s="529">
        <f>'[8]Podklady MZ'!N59</f>
        <v>2.6</v>
      </c>
      <c r="O19" s="529">
        <f>'[8]Podklady MZ'!O59</f>
        <v>-0.4</v>
      </c>
      <c r="P19" s="589">
        <f>AVERAGE(D19:O19)</f>
        <v>7.9083333333333323</v>
      </c>
    </row>
    <row r="20" spans="1:16" ht="9" customHeight="1" x14ac:dyDescent="0.2">
      <c r="A20" s="878"/>
      <c r="B20" s="510"/>
      <c r="C20" s="530"/>
      <c r="D20" s="531"/>
      <c r="E20" s="531"/>
      <c r="F20" s="532"/>
      <c r="G20" s="531"/>
      <c r="H20" s="533"/>
      <c r="I20" s="534"/>
      <c r="J20" s="533"/>
      <c r="K20" s="533"/>
      <c r="L20" s="534"/>
      <c r="M20" s="533"/>
      <c r="N20" s="533"/>
      <c r="O20" s="533"/>
      <c r="P20" s="590"/>
    </row>
    <row r="21" spans="1:16" ht="9" customHeight="1" x14ac:dyDescent="0.2">
      <c r="A21" s="616"/>
      <c r="B21" s="98"/>
      <c r="C21" s="567"/>
      <c r="D21" s="542"/>
      <c r="E21" s="542"/>
      <c r="F21" s="542"/>
      <c r="G21" s="543"/>
      <c r="H21" s="529"/>
      <c r="I21" s="544"/>
      <c r="J21" s="529"/>
      <c r="K21" s="529"/>
      <c r="L21" s="529"/>
      <c r="M21" s="24"/>
      <c r="N21" s="529"/>
      <c r="O21" s="529"/>
      <c r="P21" s="589"/>
    </row>
    <row r="22" spans="1:16" ht="14.1" customHeight="1" x14ac:dyDescent="0.2">
      <c r="D22" s="500"/>
      <c r="E22" s="500"/>
      <c r="F22" s="500"/>
      <c r="G22" s="500"/>
      <c r="H22" s="500"/>
      <c r="I22" s="500"/>
      <c r="J22" s="500"/>
      <c r="K22" s="500"/>
      <c r="L22" s="500"/>
      <c r="M22" s="500"/>
      <c r="N22" s="500"/>
      <c r="O22" s="500"/>
      <c r="P22" s="742"/>
    </row>
    <row r="23" spans="1:16" ht="14.1" customHeight="1" x14ac:dyDescent="0.2"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</row>
    <row r="24" spans="1:16" ht="14.1" customHeight="1" x14ac:dyDescent="0.2">
      <c r="D24" s="500"/>
      <c r="E24" s="500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</row>
    <row r="25" spans="1:16" ht="14.1" customHeight="1" x14ac:dyDescent="0.2">
      <c r="D25" s="500"/>
      <c r="E25" s="500"/>
      <c r="F25" s="500"/>
      <c r="G25" s="500"/>
      <c r="H25" s="500"/>
      <c r="I25" s="500"/>
      <c r="J25" s="500"/>
      <c r="K25" s="500"/>
      <c r="L25" s="500"/>
      <c r="M25" s="500"/>
      <c r="N25" s="500"/>
      <c r="O25" s="500"/>
      <c r="P25" s="500"/>
    </row>
    <row r="26" spans="1:16" ht="14.1" customHeight="1" x14ac:dyDescent="0.2">
      <c r="D26" s="500">
        <v>1</v>
      </c>
      <c r="E26" s="500">
        <v>2</v>
      </c>
      <c r="F26" s="500">
        <v>3</v>
      </c>
      <c r="G26" s="500">
        <v>4</v>
      </c>
      <c r="H26" s="500">
        <v>5</v>
      </c>
      <c r="I26" s="500">
        <v>6</v>
      </c>
      <c r="J26" s="500">
        <v>7</v>
      </c>
      <c r="K26" s="500">
        <v>8</v>
      </c>
      <c r="L26" s="500">
        <v>9</v>
      </c>
      <c r="M26" s="500">
        <v>10</v>
      </c>
      <c r="N26" s="500">
        <v>11</v>
      </c>
      <c r="O26" s="500">
        <v>12</v>
      </c>
      <c r="P26" s="500"/>
    </row>
    <row r="27" spans="1:16" ht="14.1" customHeight="1" x14ac:dyDescent="0.2">
      <c r="D27" s="500" t="s">
        <v>30</v>
      </c>
      <c r="E27" s="500" t="s">
        <v>31</v>
      </c>
      <c r="F27" s="500" t="s">
        <v>32</v>
      </c>
      <c r="G27" s="500" t="s">
        <v>33</v>
      </c>
      <c r="H27" s="500" t="s">
        <v>34</v>
      </c>
      <c r="I27" s="500" t="s">
        <v>35</v>
      </c>
      <c r="J27" s="500" t="s">
        <v>36</v>
      </c>
      <c r="K27" s="500" t="s">
        <v>37</v>
      </c>
      <c r="L27" s="500" t="s">
        <v>38</v>
      </c>
      <c r="M27" s="500" t="s">
        <v>39</v>
      </c>
      <c r="N27" s="500" t="s">
        <v>40</v>
      </c>
      <c r="O27" s="500" t="s">
        <v>41</v>
      </c>
      <c r="P27" s="500"/>
    </row>
    <row r="28" spans="1:16" x14ac:dyDescent="0.2">
      <c r="C28" s="621" t="s">
        <v>90</v>
      </c>
      <c r="D28" s="500">
        <f>D7</f>
        <v>1120</v>
      </c>
      <c r="E28" s="500">
        <f t="shared" ref="E28:O28" si="0">E7</f>
        <v>1000</v>
      </c>
      <c r="F28" s="500">
        <f t="shared" si="0"/>
        <v>910</v>
      </c>
      <c r="G28" s="500">
        <f t="shared" si="0"/>
        <v>630</v>
      </c>
      <c r="H28" s="500">
        <f t="shared" si="0"/>
        <v>400</v>
      </c>
      <c r="I28" s="500">
        <f t="shared" si="0"/>
        <v>310</v>
      </c>
      <c r="J28" s="500">
        <f t="shared" si="0"/>
        <v>290</v>
      </c>
      <c r="K28" s="500">
        <f t="shared" si="0"/>
        <v>290</v>
      </c>
      <c r="L28" s="500">
        <f t="shared" si="0"/>
        <v>380</v>
      </c>
      <c r="M28" s="500">
        <f t="shared" si="0"/>
        <v>650</v>
      </c>
      <c r="N28" s="500">
        <f t="shared" si="0"/>
        <v>920</v>
      </c>
      <c r="O28" s="500">
        <f t="shared" si="0"/>
        <v>1080</v>
      </c>
      <c r="P28" s="500"/>
    </row>
    <row r="29" spans="1:16" x14ac:dyDescent="0.2">
      <c r="C29" s="621" t="s">
        <v>88</v>
      </c>
      <c r="D29" s="500">
        <f>D12</f>
        <v>1081.280644710429</v>
      </c>
      <c r="E29" s="500">
        <f>IF(T!$A$4&gt;=E$26,E12,0)</f>
        <v>989.86689164730865</v>
      </c>
      <c r="F29" s="500">
        <f>IF(T!$A$4&gt;=F$26,F12,0)</f>
        <v>865.53252041105134</v>
      </c>
      <c r="G29" s="500">
        <f>IF(T!$A$4&gt;=G$26,G12,0)</f>
        <v>622.80856614391325</v>
      </c>
      <c r="H29" s="500">
        <f>IF(T!$A$4&gt;=H$26,H12,0)</f>
        <v>404.77237581362579</v>
      </c>
      <c r="I29" s="500">
        <f>IF(T!$A$4&gt;=I$26,I12,0)</f>
        <v>314.40782647711256</v>
      </c>
      <c r="J29" s="500">
        <f>IF(T!$A$4&gt;=J$26,J12,0)</f>
        <v>298.38639432190473</v>
      </c>
      <c r="K29" s="500">
        <f>IF(T!$A$4&gt;=K$26,K12,0)</f>
        <v>277.51120821690495</v>
      </c>
      <c r="L29" s="500">
        <f>IF(T!$A$4&gt;=L$26,L12,0)</f>
        <v>352.96079611407475</v>
      </c>
      <c r="M29" s="500">
        <f>IF(T!$A$4&gt;=M$26,M12,0)</f>
        <v>692.3772462549789</v>
      </c>
      <c r="N29" s="500">
        <f>IF(T!$A$4&gt;=N$26,N12,0)</f>
        <v>806.33735989642719</v>
      </c>
      <c r="O29" s="500">
        <f>IF(T!$A$4&gt;=O$26,O12,0)</f>
        <v>902.97257119574556</v>
      </c>
      <c r="P29" s="500"/>
    </row>
    <row r="30" spans="1:16" x14ac:dyDescent="0.2">
      <c r="C30" s="621" t="s">
        <v>89</v>
      </c>
      <c r="D30" s="500">
        <f>D17</f>
        <v>1162.3827182199684</v>
      </c>
      <c r="E30" s="500">
        <f>IF(T!$A$4&gt;=E$26,E17,0)</f>
        <v>1022.8621044614633</v>
      </c>
      <c r="F30" s="500">
        <f>IF(T!$A$4&gt;=F$26,F17,0)</f>
        <v>901.33118683539692</v>
      </c>
      <c r="G30" s="500">
        <f>IF(T!$A$4&gt;=G$26,G17,0)</f>
        <v>647.29636373718301</v>
      </c>
      <c r="H30" s="500">
        <f>IF(T!$A$4&gt;=H$26,H17,0)</f>
        <v>399.23311790096943</v>
      </c>
      <c r="I30" s="500">
        <f>IF(T!$A$4&gt;=I$26,I17,0)</f>
        <v>318.95062063632389</v>
      </c>
      <c r="J30" s="500">
        <f>IF(T!$A$4&gt;=J$26,J17,0)</f>
        <v>302.4372465189378</v>
      </c>
      <c r="K30" s="500">
        <f>IF(T!$A$4&gt;=K$26,K17,0)</f>
        <v>299.01838851541652</v>
      </c>
      <c r="L30" s="500">
        <f>IF(T!$A$4&gt;=L$26,L17,0)</f>
        <v>359.74623069021459</v>
      </c>
      <c r="M30" s="500">
        <f>IF(T!$A$4&gt;=M$26,M17,0)</f>
        <v>698.83677162586446</v>
      </c>
      <c r="N30" s="500">
        <f>IF(T!$A$4&gt;=N$26,N17,0)</f>
        <v>918.63175948797254</v>
      </c>
      <c r="O30" s="500">
        <f>IF(T!$A$4&gt;=O$26,O17,0)</f>
        <v>1056.2893320424055</v>
      </c>
      <c r="P30" s="500"/>
    </row>
    <row r="31" spans="1:16" x14ac:dyDescent="0.2"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</row>
    <row r="32" spans="1:16" x14ac:dyDescent="0.2">
      <c r="D32" s="500"/>
      <c r="E32" s="500"/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</row>
    <row r="33" spans="1:16" x14ac:dyDescent="0.2"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</row>
    <row r="34" spans="1:16" x14ac:dyDescent="0.2"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500"/>
    </row>
    <row r="35" spans="1:16" x14ac:dyDescent="0.2">
      <c r="D35" s="500"/>
      <c r="E35" s="500"/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</row>
    <row r="36" spans="1:16" x14ac:dyDescent="0.2">
      <c r="D36" s="500"/>
      <c r="E36" s="500"/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</row>
    <row r="40" spans="1:16" ht="5.0999999999999996" customHeight="1" x14ac:dyDescent="0.2">
      <c r="A40" s="183"/>
      <c r="B40" s="183"/>
      <c r="C40" s="183"/>
      <c r="D40" s="752"/>
      <c r="E40" s="183"/>
      <c r="F40" s="51"/>
    </row>
    <row r="41" spans="1:16" x14ac:dyDescent="0.2">
      <c r="A41" s="897" t="s">
        <v>288</v>
      </c>
      <c r="B41" s="897"/>
      <c r="C41" s="897"/>
      <c r="D41" s="897"/>
      <c r="E41" s="897"/>
      <c r="F41" s="897"/>
      <c r="G41" s="897"/>
      <c r="H41" s="897"/>
      <c r="I41" s="897"/>
      <c r="J41" s="897"/>
      <c r="K41" s="897"/>
      <c r="L41" s="897"/>
      <c r="M41" s="897"/>
      <c r="N41" s="897"/>
      <c r="O41" s="897"/>
      <c r="P41" s="897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zoomScaleNormal="100" zoomScaleSheetLayoutView="100" workbookViewId="0"/>
  </sheetViews>
  <sheetFormatPr defaultRowHeight="11.25" x14ac:dyDescent="0.2"/>
  <cols>
    <col min="1" max="1" width="0.85546875" style="621" customWidth="1"/>
    <col min="2" max="2" width="9.7109375" style="621" customWidth="1"/>
    <col min="3" max="3" width="6.7109375" style="621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804"/>
      <c r="J1" s="804"/>
      <c r="K1" s="804"/>
      <c r="L1" s="691"/>
    </row>
    <row r="2" spans="1:20" ht="24.75" customHeight="1" x14ac:dyDescent="0.25">
      <c r="B2" s="692"/>
      <c r="C2" s="925" t="s">
        <v>276</v>
      </c>
      <c r="D2" s="925"/>
      <c r="E2" s="925"/>
      <c r="F2" s="925"/>
      <c r="G2" s="925"/>
      <c r="H2" s="925"/>
      <c r="I2" s="925"/>
      <c r="J2" s="692"/>
      <c r="K2" s="692"/>
    </row>
    <row r="3" spans="1:20" ht="24.95" customHeight="1" x14ac:dyDescent="0.2">
      <c r="A3" s="693"/>
      <c r="B3" s="694"/>
      <c r="C3" s="925"/>
      <c r="D3" s="925"/>
      <c r="E3" s="925"/>
      <c r="F3" s="925"/>
      <c r="G3" s="925"/>
      <c r="H3" s="925"/>
      <c r="I3" s="925"/>
      <c r="J3" s="695"/>
      <c r="K3" s="696"/>
    </row>
    <row r="4" spans="1:20" ht="24.95" customHeight="1" x14ac:dyDescent="0.2">
      <c r="A4" s="697"/>
      <c r="B4" s="694"/>
      <c r="C4" s="694"/>
      <c r="D4" s="926"/>
      <c r="E4" s="926"/>
      <c r="F4" s="926"/>
      <c r="G4" s="926"/>
      <c r="H4" s="698"/>
      <c r="I4" s="695"/>
      <c r="J4" s="695"/>
      <c r="K4" s="699"/>
    </row>
    <row r="5" spans="1:20" ht="24.95" customHeight="1" x14ac:dyDescent="0.2">
      <c r="A5" s="697"/>
      <c r="B5" s="920" t="s">
        <v>254</v>
      </c>
      <c r="C5" s="920"/>
      <c r="D5" s="700" t="s">
        <v>255</v>
      </c>
      <c r="E5" s="927" t="s">
        <v>256</v>
      </c>
      <c r="F5" s="928"/>
      <c r="G5" s="701"/>
      <c r="H5" s="702" t="s">
        <v>135</v>
      </c>
      <c r="I5" s="920" t="s">
        <v>257</v>
      </c>
      <c r="J5" s="920"/>
      <c r="K5" s="699"/>
      <c r="N5" s="703"/>
    </row>
    <row r="6" spans="1:20" ht="24.95" customHeight="1" x14ac:dyDescent="0.2">
      <c r="A6" s="697"/>
      <c r="B6" s="920"/>
      <c r="C6" s="920"/>
      <c r="D6" s="704"/>
      <c r="E6" s="705"/>
      <c r="F6" s="705"/>
      <c r="G6" s="697"/>
      <c r="H6" s="697"/>
      <c r="I6" s="920"/>
      <c r="J6" s="920"/>
      <c r="K6" s="699"/>
      <c r="M6" s="706"/>
      <c r="N6" s="703"/>
    </row>
    <row r="7" spans="1:20" ht="24.95" customHeight="1" x14ac:dyDescent="0.2">
      <c r="A7" s="697"/>
      <c r="B7" s="707"/>
      <c r="C7" s="707"/>
      <c r="D7" s="708"/>
      <c r="E7" s="708"/>
      <c r="F7" s="917"/>
      <c r="G7" s="917"/>
      <c r="H7" s="917"/>
      <c r="I7" s="917"/>
      <c r="J7" s="707"/>
      <c r="K7" s="699"/>
      <c r="M7" s="706"/>
      <c r="N7" s="703"/>
    </row>
    <row r="8" spans="1:20" ht="24.95" customHeight="1" x14ac:dyDescent="0.2">
      <c r="A8" s="697"/>
      <c r="B8" s="915"/>
      <c r="C8" s="915"/>
      <c r="D8" s="708"/>
      <c r="E8" s="708"/>
      <c r="F8" s="918"/>
      <c r="G8" s="919"/>
      <c r="H8" s="16"/>
      <c r="I8" s="929" t="s">
        <v>260</v>
      </c>
      <c r="J8" s="929"/>
      <c r="K8" s="699"/>
      <c r="M8" s="706"/>
      <c r="N8" s="703"/>
      <c r="O8" s="70"/>
    </row>
    <row r="9" spans="1:20" ht="24.95" customHeight="1" x14ac:dyDescent="0.2">
      <c r="A9" s="697"/>
      <c r="B9" s="920" t="s">
        <v>258</v>
      </c>
      <c r="C9" s="920"/>
      <c r="D9" s="709" t="s">
        <v>259</v>
      </c>
      <c r="F9" s="919"/>
      <c r="G9" s="919"/>
      <c r="H9" s="697"/>
      <c r="I9" s="929"/>
      <c r="J9" s="929"/>
      <c r="K9" s="699"/>
      <c r="N9" s="703"/>
      <c r="O9" s="70"/>
    </row>
    <row r="10" spans="1:20" ht="24.95" customHeight="1" x14ac:dyDescent="0.2">
      <c r="A10" s="697"/>
      <c r="B10" s="920"/>
      <c r="C10" s="920"/>
      <c r="D10" s="710"/>
      <c r="E10" s="711" t="s">
        <v>261</v>
      </c>
      <c r="F10" s="712"/>
      <c r="G10" s="697"/>
      <c r="H10" s="697"/>
      <c r="L10" s="16"/>
      <c r="M10" s="706"/>
      <c r="N10" s="703"/>
      <c r="O10" s="70"/>
      <c r="P10" s="703"/>
      <c r="R10" s="703"/>
      <c r="S10" s="703"/>
      <c r="T10" s="703"/>
    </row>
    <row r="11" spans="1:20" ht="24.95" customHeight="1" x14ac:dyDescent="0.2">
      <c r="A11" s="697"/>
      <c r="D11" s="710"/>
      <c r="E11" s="920" t="s">
        <v>262</v>
      </c>
      <c r="F11" s="920"/>
      <c r="G11" s="713"/>
      <c r="H11" s="713"/>
      <c r="I11" s="922" t="s">
        <v>85</v>
      </c>
      <c r="J11" s="922"/>
      <c r="K11" s="922"/>
      <c r="L11" s="16"/>
      <c r="N11" s="703"/>
      <c r="O11" s="70"/>
      <c r="P11" s="703"/>
      <c r="R11" s="703"/>
      <c r="S11" s="703"/>
      <c r="T11" s="703"/>
    </row>
    <row r="12" spans="1:20" ht="24.95" customHeight="1" x14ac:dyDescent="0.2">
      <c r="A12" s="697"/>
      <c r="B12" s="915"/>
      <c r="C12" s="915"/>
      <c r="D12" s="714"/>
      <c r="E12" s="920"/>
      <c r="F12" s="920"/>
      <c r="I12" s="922"/>
      <c r="J12" s="922"/>
      <c r="K12" s="922"/>
      <c r="L12" s="16"/>
      <c r="N12" s="703"/>
      <c r="O12" s="703"/>
      <c r="P12" s="703"/>
      <c r="Q12" s="70"/>
      <c r="R12" s="703"/>
      <c r="S12" s="703"/>
      <c r="T12" s="703"/>
    </row>
    <row r="13" spans="1:20" ht="24.95" customHeight="1" x14ac:dyDescent="0.2">
      <c r="A13" s="697"/>
      <c r="B13" s="920" t="s">
        <v>263</v>
      </c>
      <c r="C13" s="920"/>
      <c r="D13" s="714" t="s">
        <v>264</v>
      </c>
      <c r="K13" s="694"/>
      <c r="L13" s="16"/>
      <c r="N13" s="703"/>
      <c r="O13" s="703"/>
      <c r="P13" s="703"/>
      <c r="R13" s="703"/>
      <c r="S13" s="703"/>
      <c r="T13" s="703"/>
    </row>
    <row r="14" spans="1:20" ht="24.95" customHeight="1" x14ac:dyDescent="0.2">
      <c r="A14" s="697"/>
      <c r="B14" s="920"/>
      <c r="C14" s="920"/>
      <c r="I14" s="920" t="s">
        <v>294</v>
      </c>
      <c r="J14" s="920"/>
      <c r="K14" s="694"/>
      <c r="L14" s="16"/>
      <c r="N14" s="703"/>
      <c r="O14" s="703"/>
      <c r="P14" s="703"/>
      <c r="Q14" s="70"/>
      <c r="R14" s="703"/>
      <c r="S14" s="703"/>
      <c r="T14" s="703"/>
    </row>
    <row r="15" spans="1:20" ht="24.95" customHeight="1" x14ac:dyDescent="0.2">
      <c r="A15" s="697"/>
      <c r="E15" s="94"/>
      <c r="F15" s="715"/>
      <c r="G15" s="716"/>
      <c r="I15" s="920"/>
      <c r="J15" s="920"/>
      <c r="K15" s="699"/>
      <c r="L15" s="16"/>
      <c r="N15" s="703"/>
      <c r="O15" s="703"/>
      <c r="P15" s="703"/>
      <c r="R15" s="703"/>
      <c r="S15" s="703"/>
      <c r="T15" s="703"/>
    </row>
    <row r="16" spans="1:20" ht="24.95" customHeight="1" x14ac:dyDescent="0.2">
      <c r="A16" s="697"/>
      <c r="D16" s="697"/>
      <c r="H16" s="774"/>
      <c r="L16" s="16"/>
      <c r="N16" s="703"/>
      <c r="O16" s="703"/>
      <c r="P16" s="703"/>
      <c r="Q16" s="70"/>
      <c r="R16" s="703"/>
      <c r="S16" s="703"/>
      <c r="T16" s="703"/>
    </row>
    <row r="17" spans="1:20" ht="24.95" customHeight="1" x14ac:dyDescent="0.2">
      <c r="A17" s="697"/>
      <c r="B17" s="915"/>
      <c r="C17" s="915"/>
      <c r="D17" s="717"/>
      <c r="H17" s="774"/>
      <c r="I17" s="930" t="s">
        <v>265</v>
      </c>
      <c r="J17" s="930"/>
      <c r="K17" s="699"/>
      <c r="L17" s="718"/>
      <c r="M17" s="70"/>
      <c r="N17" s="70"/>
      <c r="O17" s="70"/>
      <c r="P17" s="703"/>
      <c r="R17" s="703"/>
      <c r="S17" s="703"/>
      <c r="T17" s="703"/>
    </row>
    <row r="18" spans="1:20" ht="24.95" customHeight="1" x14ac:dyDescent="0.2">
      <c r="A18" s="699"/>
      <c r="B18" s="921" t="s">
        <v>266</v>
      </c>
      <c r="C18" s="921"/>
      <c r="D18" s="719" t="s">
        <v>267</v>
      </c>
      <c r="E18" s="694"/>
      <c r="F18" s="694"/>
      <c r="I18" s="930"/>
      <c r="J18" s="930"/>
      <c r="K18" s="699"/>
      <c r="N18" s="703"/>
      <c r="O18" s="703"/>
      <c r="P18" s="703"/>
      <c r="R18" s="703"/>
      <c r="S18" s="703"/>
      <c r="T18" s="703"/>
    </row>
    <row r="19" spans="1:20" ht="24.95" customHeight="1" x14ac:dyDescent="0.2">
      <c r="A19" s="720"/>
      <c r="B19" s="921"/>
      <c r="C19" s="921"/>
      <c r="D19" s="721"/>
      <c r="E19" s="711" t="s">
        <v>268</v>
      </c>
      <c r="F19" s="722"/>
      <c r="G19" s="697"/>
      <c r="H19" s="697"/>
      <c r="I19" s="923"/>
      <c r="J19" s="923"/>
      <c r="K19" s="720"/>
      <c r="N19" s="703"/>
      <c r="O19" s="70"/>
      <c r="T19" s="703"/>
    </row>
    <row r="20" spans="1:20" ht="24.95" customHeight="1" x14ac:dyDescent="0.2">
      <c r="A20" s="720"/>
      <c r="B20" s="924"/>
      <c r="C20" s="924"/>
      <c r="D20" s="721"/>
      <c r="E20" s="921" t="s">
        <v>269</v>
      </c>
      <c r="F20" s="921"/>
      <c r="I20" s="921" t="s">
        <v>292</v>
      </c>
      <c r="J20" s="921"/>
      <c r="K20" s="720"/>
      <c r="M20" s="70"/>
      <c r="N20" s="703"/>
      <c r="P20" s="70"/>
      <c r="T20" s="703"/>
    </row>
    <row r="21" spans="1:20" ht="24.95" customHeight="1" x14ac:dyDescent="0.2">
      <c r="A21" s="720"/>
      <c r="B21" s="924"/>
      <c r="C21" s="924"/>
      <c r="D21" s="721"/>
      <c r="E21" s="921"/>
      <c r="F21" s="921"/>
      <c r="I21" s="921"/>
      <c r="J21" s="921"/>
      <c r="K21" s="720"/>
      <c r="M21" s="70"/>
      <c r="N21" s="703"/>
      <c r="O21" s="70"/>
    </row>
    <row r="22" spans="1:20" ht="24.95" customHeight="1" x14ac:dyDescent="0.2">
      <c r="B22" s="921" t="s">
        <v>270</v>
      </c>
      <c r="C22" s="921"/>
      <c r="D22" s="723" t="s">
        <v>271</v>
      </c>
      <c r="K22" s="724"/>
      <c r="N22" s="703"/>
    </row>
    <row r="23" spans="1:20" ht="24.95" customHeight="1" x14ac:dyDescent="0.2">
      <c r="B23" s="921"/>
      <c r="C23" s="921"/>
      <c r="D23" s="725"/>
      <c r="H23" s="774"/>
      <c r="I23" s="932" t="s">
        <v>291</v>
      </c>
      <c r="J23" s="933"/>
      <c r="K23" s="724"/>
      <c r="L23" s="706"/>
    </row>
    <row r="24" spans="1:20" ht="24.95" customHeight="1" x14ac:dyDescent="0.2">
      <c r="A24" s="726"/>
      <c r="B24" s="726"/>
      <c r="C24" s="726"/>
      <c r="D24" s="726"/>
      <c r="F24" s="930" t="s">
        <v>272</v>
      </c>
      <c r="G24" s="930"/>
      <c r="H24" s="774"/>
      <c r="I24" s="932"/>
      <c r="J24" s="933"/>
      <c r="K24" s="724"/>
      <c r="M24" s="70"/>
      <c r="O24" s="70"/>
    </row>
    <row r="25" spans="1:20" ht="24.95" customHeight="1" x14ac:dyDescent="0.2">
      <c r="A25" s="726"/>
      <c r="D25" s="726"/>
      <c r="E25" s="777"/>
      <c r="F25" s="930"/>
      <c r="G25" s="930"/>
      <c r="H25" s="694"/>
      <c r="K25" s="724"/>
    </row>
    <row r="26" spans="1:20" ht="24.95" customHeight="1" x14ac:dyDescent="0.2">
      <c r="A26" s="726"/>
      <c r="I26" s="932" t="s">
        <v>274</v>
      </c>
      <c r="J26" s="931"/>
      <c r="K26" s="724"/>
      <c r="M26" s="70"/>
      <c r="N26" s="70"/>
    </row>
    <row r="27" spans="1:20" ht="24.95" customHeight="1" x14ac:dyDescent="0.2">
      <c r="A27" s="726"/>
      <c r="B27" s="913"/>
      <c r="C27" s="913"/>
      <c r="D27" s="913"/>
      <c r="E27" s="776"/>
      <c r="F27" s="776"/>
      <c r="I27" s="932"/>
      <c r="J27" s="931"/>
      <c r="M27" s="70"/>
      <c r="N27" s="70"/>
    </row>
    <row r="28" spans="1:20" ht="24.95" customHeight="1" x14ac:dyDescent="0.2">
      <c r="E28" s="776"/>
      <c r="F28" s="776"/>
    </row>
    <row r="29" spans="1:20" ht="24.95" customHeight="1" x14ac:dyDescent="0.2">
      <c r="F29" s="914"/>
      <c r="G29" s="914"/>
      <c r="H29" s="775"/>
      <c r="I29" s="775"/>
    </row>
    <row r="30" spans="1:20" ht="10.5" customHeight="1" x14ac:dyDescent="0.2">
      <c r="G30" s="915"/>
      <c r="H30" s="915"/>
    </row>
    <row r="31" spans="1:20" ht="24.95" customHeight="1" x14ac:dyDescent="0.2">
      <c r="F31" s="931" t="s">
        <v>275</v>
      </c>
      <c r="G31" s="931"/>
      <c r="I31" s="776"/>
      <c r="J31" s="776"/>
    </row>
    <row r="32" spans="1:20" ht="24.95" customHeight="1" x14ac:dyDescent="0.2">
      <c r="B32" s="726"/>
      <c r="C32" s="726"/>
      <c r="D32" s="726"/>
      <c r="E32" s="726"/>
      <c r="F32" s="931"/>
      <c r="G32" s="931"/>
      <c r="I32" s="776"/>
      <c r="J32" s="776"/>
      <c r="K32" s="726"/>
    </row>
    <row r="33" spans="1:11" ht="12.95" customHeight="1" x14ac:dyDescent="0.2"/>
    <row r="34" spans="1:11" ht="12.95" customHeight="1" x14ac:dyDescent="0.2">
      <c r="A34" s="916"/>
      <c r="B34" s="916"/>
      <c r="C34" s="916"/>
      <c r="D34" s="916"/>
      <c r="E34" s="916"/>
      <c r="F34" s="916"/>
      <c r="G34" s="916"/>
      <c r="H34" s="916"/>
      <c r="I34" s="916"/>
      <c r="J34" s="916"/>
      <c r="K34" s="916"/>
    </row>
    <row r="35" spans="1:11" ht="20.100000000000001" customHeight="1" x14ac:dyDescent="0.2">
      <c r="A35" s="912"/>
      <c r="B35" s="912"/>
      <c r="C35" s="912"/>
      <c r="D35" s="912"/>
      <c r="E35" s="912"/>
      <c r="F35" s="912"/>
      <c r="G35" s="912"/>
      <c r="H35" s="912"/>
      <c r="I35" s="912"/>
      <c r="J35" s="912"/>
      <c r="K35" s="912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679"/>
      <c r="F47" s="679"/>
      <c r="G47" s="679"/>
      <c r="H47" s="679"/>
    </row>
    <row r="48" spans="1:11" ht="15" customHeight="1" x14ac:dyDescent="0.2">
      <c r="E48" s="679"/>
      <c r="F48" s="679"/>
      <c r="G48" s="679"/>
      <c r="H48" s="679"/>
    </row>
    <row r="49" spans="4:20" ht="15" customHeight="1" x14ac:dyDescent="0.2">
      <c r="E49" s="679"/>
      <c r="F49" s="679"/>
      <c r="G49" s="679"/>
      <c r="H49" s="679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1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1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1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1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1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1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1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1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1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1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1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I8:J9"/>
    <mergeCell ref="F24:G25"/>
    <mergeCell ref="F31:G32"/>
    <mergeCell ref="I23:J24"/>
    <mergeCell ref="I26:J27"/>
    <mergeCell ref="I17:J18"/>
    <mergeCell ref="I1:K1"/>
    <mergeCell ref="C2:I3"/>
    <mergeCell ref="D4:G4"/>
    <mergeCell ref="B5:C6"/>
    <mergeCell ref="E5:F5"/>
    <mergeCell ref="I5:J6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A35:K35"/>
    <mergeCell ref="B27:D27"/>
    <mergeCell ref="F29:G29"/>
    <mergeCell ref="G30:H30"/>
    <mergeCell ref="A34:K34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/>
  </sheetViews>
  <sheetFormatPr defaultRowHeight="12.75" x14ac:dyDescent="0.2"/>
  <cols>
    <col min="1" max="16384" width="9.140625" style="42"/>
  </cols>
  <sheetData>
    <row r="1" spans="1:14" x14ac:dyDescent="0.2">
      <c r="A1" s="934"/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</row>
    <row r="2" spans="1:14" ht="15.75" x14ac:dyDescent="0.25">
      <c r="A2" s="935" t="s">
        <v>273</v>
      </c>
      <c r="B2" s="935"/>
      <c r="C2" s="935"/>
      <c r="D2" s="935"/>
      <c r="E2" s="935"/>
      <c r="F2" s="935"/>
      <c r="G2" s="935"/>
      <c r="H2" s="935"/>
      <c r="I2" s="935"/>
      <c r="J2" s="935"/>
      <c r="K2" s="935"/>
      <c r="L2" s="935"/>
      <c r="M2" s="935"/>
      <c r="N2" s="935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2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29"/>
      <c r="C1" s="794" t="s">
        <v>49</v>
      </c>
    </row>
    <row r="2" spans="1:3" x14ac:dyDescent="0.2">
      <c r="A2" s="201"/>
      <c r="B2" s="229"/>
      <c r="C2" s="795"/>
    </row>
    <row r="3" spans="1:3" x14ac:dyDescent="0.2">
      <c r="A3" s="201"/>
      <c r="B3" s="229"/>
      <c r="C3" s="795"/>
    </row>
    <row r="4" spans="1:3" x14ac:dyDescent="0.2">
      <c r="A4" s="181"/>
      <c r="B4" s="229"/>
      <c r="C4" s="795"/>
    </row>
    <row r="5" spans="1:3" ht="30" customHeight="1" x14ac:dyDescent="0.2">
      <c r="A5" s="627" t="s">
        <v>97</v>
      </c>
      <c r="B5" s="622" t="s">
        <v>50</v>
      </c>
      <c r="C5" s="628" t="s">
        <v>184</v>
      </c>
    </row>
    <row r="6" spans="1:3" ht="30" customHeight="1" x14ac:dyDescent="0.2">
      <c r="A6" s="631" t="s">
        <v>199</v>
      </c>
      <c r="B6" s="226" t="s">
        <v>50</v>
      </c>
      <c r="C6" s="632" t="s">
        <v>185</v>
      </c>
    </row>
    <row r="7" spans="1:3" ht="30" customHeight="1" x14ac:dyDescent="0.2">
      <c r="A7" s="631" t="s">
        <v>167</v>
      </c>
      <c r="B7" s="226" t="s">
        <v>50</v>
      </c>
      <c r="C7" s="632" t="s">
        <v>186</v>
      </c>
    </row>
    <row r="8" spans="1:3" ht="30" customHeight="1" x14ac:dyDescent="0.2">
      <c r="A8" s="631" t="s">
        <v>171</v>
      </c>
      <c r="B8" s="226" t="s">
        <v>50</v>
      </c>
      <c r="C8" s="632" t="s">
        <v>187</v>
      </c>
    </row>
    <row r="9" spans="1:3" ht="30" customHeight="1" x14ac:dyDescent="0.2">
      <c r="A9" s="631" t="s">
        <v>281</v>
      </c>
      <c r="B9" s="226" t="s">
        <v>50</v>
      </c>
      <c r="C9" s="632" t="s">
        <v>188</v>
      </c>
    </row>
    <row r="10" spans="1:3" ht="30" customHeight="1" x14ac:dyDescent="0.2">
      <c r="A10" s="631" t="s">
        <v>172</v>
      </c>
      <c r="B10" s="226" t="s">
        <v>50</v>
      </c>
      <c r="C10" s="632" t="s">
        <v>189</v>
      </c>
    </row>
    <row r="11" spans="1:3" ht="30" customHeight="1" x14ac:dyDescent="0.2">
      <c r="A11" s="631" t="s">
        <v>282</v>
      </c>
      <c r="B11" s="226" t="s">
        <v>50</v>
      </c>
      <c r="C11" s="632" t="s">
        <v>190</v>
      </c>
    </row>
    <row r="12" spans="1:3" ht="30" customHeight="1" x14ac:dyDescent="0.2">
      <c r="A12" s="631" t="s">
        <v>173</v>
      </c>
      <c r="B12" s="226" t="s">
        <v>50</v>
      </c>
      <c r="C12" s="632" t="s">
        <v>191</v>
      </c>
    </row>
    <row r="13" spans="1:3" ht="30" customHeight="1" x14ac:dyDescent="0.2">
      <c r="A13" s="631" t="s">
        <v>174</v>
      </c>
      <c r="B13" s="226" t="s">
        <v>50</v>
      </c>
      <c r="C13" s="632" t="s">
        <v>192</v>
      </c>
    </row>
    <row r="14" spans="1:3" ht="30" customHeight="1" x14ac:dyDescent="0.2">
      <c r="A14" s="631" t="s">
        <v>175</v>
      </c>
      <c r="B14" s="226" t="s">
        <v>50</v>
      </c>
      <c r="C14" s="632" t="s">
        <v>193</v>
      </c>
    </row>
    <row r="15" spans="1:3" ht="30" customHeight="1" x14ac:dyDescent="0.2">
      <c r="A15" s="631" t="s">
        <v>176</v>
      </c>
      <c r="B15" s="226" t="s">
        <v>50</v>
      </c>
      <c r="C15" s="632" t="s">
        <v>194</v>
      </c>
    </row>
    <row r="16" spans="1:3" ht="30" customHeight="1" x14ac:dyDescent="0.2">
      <c r="A16" s="631" t="s">
        <v>82</v>
      </c>
      <c r="B16" s="226" t="s">
        <v>50</v>
      </c>
      <c r="C16" s="632" t="s">
        <v>195</v>
      </c>
    </row>
    <row r="17" spans="1:3" ht="30" customHeight="1" x14ac:dyDescent="0.2">
      <c r="A17" s="631" t="s">
        <v>250</v>
      </c>
      <c r="B17" s="226" t="s">
        <v>50</v>
      </c>
      <c r="C17" s="632" t="s">
        <v>196</v>
      </c>
    </row>
    <row r="18" spans="1:3" ht="30" customHeight="1" x14ac:dyDescent="0.2">
      <c r="A18" s="631" t="s">
        <v>251</v>
      </c>
      <c r="B18" s="226" t="s">
        <v>50</v>
      </c>
      <c r="C18" s="632" t="s">
        <v>197</v>
      </c>
    </row>
    <row r="19" spans="1:3" ht="30" customHeight="1" x14ac:dyDescent="0.2">
      <c r="A19" s="631" t="s">
        <v>277</v>
      </c>
      <c r="B19" s="778" t="s">
        <v>50</v>
      </c>
      <c r="C19" s="632" t="s">
        <v>198</v>
      </c>
    </row>
    <row r="20" spans="1:3" ht="30" customHeight="1" x14ac:dyDescent="0.2">
      <c r="A20" s="629" t="s">
        <v>273</v>
      </c>
      <c r="B20" s="727" t="s">
        <v>50</v>
      </c>
      <c r="C20" s="630" t="s">
        <v>252</v>
      </c>
    </row>
    <row r="21" spans="1:3" ht="23.1" customHeight="1" x14ac:dyDescent="0.2">
      <c r="A21" s="87"/>
      <c r="B21" s="230"/>
      <c r="C21" s="232"/>
    </row>
    <row r="22" spans="1:3" ht="23.1" customHeight="1" x14ac:dyDescent="0.2">
      <c r="A22" s="87"/>
      <c r="B22" s="230"/>
      <c r="C22" s="232"/>
    </row>
    <row r="23" spans="1:3" ht="23.1" customHeight="1" x14ac:dyDescent="0.2">
      <c r="A23" s="199"/>
      <c r="B23" s="230"/>
      <c r="C23" s="232"/>
    </row>
    <row r="24" spans="1:3" ht="23.1" customHeight="1" x14ac:dyDescent="0.2">
      <c r="A24" s="85"/>
      <c r="B24" s="231"/>
      <c r="C24" s="232"/>
    </row>
    <row r="25" spans="1:3" ht="23.1" customHeight="1" x14ac:dyDescent="0.2">
      <c r="A25" s="87"/>
      <c r="B25" s="230"/>
      <c r="C25" s="232"/>
    </row>
    <row r="26" spans="1:3" ht="23.1" customHeight="1" x14ac:dyDescent="0.2">
      <c r="A26" s="87"/>
      <c r="B26" s="230"/>
      <c r="C26" s="232"/>
    </row>
    <row r="27" spans="1:3" ht="23.1" customHeight="1" x14ac:dyDescent="0.2">
      <c r="A27" s="87"/>
      <c r="B27" s="230"/>
      <c r="C27" s="232"/>
    </row>
    <row r="28" spans="1:3" ht="23.1" customHeight="1" x14ac:dyDescent="0.2">
      <c r="A28" s="797"/>
      <c r="B28" s="797"/>
      <c r="C28" s="232"/>
    </row>
    <row r="29" spans="1:3" ht="23.1" customHeight="1" x14ac:dyDescent="0.2">
      <c r="A29" s="797"/>
      <c r="B29" s="797"/>
      <c r="C29" s="232"/>
    </row>
    <row r="30" spans="1:3" ht="23.1" customHeight="1" x14ac:dyDescent="0.2">
      <c r="A30" s="797"/>
      <c r="B30" s="797"/>
      <c r="C30" s="232"/>
    </row>
    <row r="31" spans="1:3" ht="23.1" customHeight="1" x14ac:dyDescent="0.2">
      <c r="A31" s="797"/>
      <c r="B31" s="797"/>
      <c r="C31" s="232"/>
    </row>
    <row r="32" spans="1:3" ht="30" customHeight="1" x14ac:dyDescent="0.2">
      <c r="A32" s="796"/>
      <c r="B32" s="796"/>
      <c r="C32" s="232"/>
    </row>
  </sheetData>
  <mergeCells count="6">
    <mergeCell ref="C1:C4"/>
    <mergeCell ref="A32:B32"/>
    <mergeCell ref="A31:B31"/>
    <mergeCell ref="A30:B30"/>
    <mergeCell ref="A29:B29"/>
    <mergeCell ref="A28:B28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39"/>
  <sheetViews>
    <sheetView view="pageBreakPreview" zoomScaleNormal="100" zoomScaleSheetLayoutView="100" workbookViewId="0"/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800" t="s">
        <v>98</v>
      </c>
      <c r="B1" s="224"/>
      <c r="C1" s="798"/>
      <c r="D1" s="798"/>
    </row>
    <row r="2" spans="1:4" x14ac:dyDescent="0.2">
      <c r="A2" s="800"/>
      <c r="B2" s="224"/>
    </row>
    <row r="3" spans="1:4" x14ac:dyDescent="0.2">
      <c r="A3" s="800"/>
      <c r="B3" s="225"/>
    </row>
    <row r="4" spans="1:4" x14ac:dyDescent="0.2">
      <c r="A4" s="800"/>
      <c r="B4" s="785"/>
      <c r="C4" s="786" t="s">
        <v>99</v>
      </c>
      <c r="D4" s="787"/>
    </row>
    <row r="5" spans="1:4" ht="24.95" customHeight="1" x14ac:dyDescent="0.2">
      <c r="A5" s="626" t="s">
        <v>100</v>
      </c>
      <c r="B5" s="226" t="s">
        <v>50</v>
      </c>
      <c r="C5" s="200" t="s">
        <v>4</v>
      </c>
      <c r="D5" s="784"/>
    </row>
    <row r="6" spans="1:4" ht="24.95" customHeight="1" x14ac:dyDescent="0.2">
      <c r="A6" s="626" t="s">
        <v>9</v>
      </c>
      <c r="B6" s="226" t="s">
        <v>50</v>
      </c>
      <c r="C6" s="200" t="s">
        <v>116</v>
      </c>
      <c r="D6" s="200"/>
    </row>
    <row r="7" spans="1:4" ht="24.95" customHeight="1" x14ac:dyDescent="0.2">
      <c r="A7" s="626" t="s">
        <v>130</v>
      </c>
      <c r="B7" s="226" t="s">
        <v>50</v>
      </c>
      <c r="C7" s="200" t="s">
        <v>131</v>
      </c>
      <c r="D7" s="200"/>
    </row>
    <row r="8" spans="1:4" ht="24.95" customHeight="1" x14ac:dyDescent="0.2">
      <c r="A8" s="626" t="s">
        <v>120</v>
      </c>
      <c r="B8" s="226" t="s">
        <v>50</v>
      </c>
      <c r="C8" s="200" t="s">
        <v>121</v>
      </c>
      <c r="D8" s="200"/>
    </row>
    <row r="9" spans="1:4" ht="24.95" customHeight="1" x14ac:dyDescent="0.2">
      <c r="A9" s="626" t="s">
        <v>122</v>
      </c>
      <c r="B9" s="226" t="s">
        <v>50</v>
      </c>
      <c r="C9" s="200" t="s">
        <v>123</v>
      </c>
      <c r="D9" s="200"/>
    </row>
    <row r="10" spans="1:4" ht="24.95" customHeight="1" x14ac:dyDescent="0.2">
      <c r="A10" s="626" t="s">
        <v>109</v>
      </c>
      <c r="B10" s="226" t="s">
        <v>50</v>
      </c>
      <c r="C10" s="200" t="s">
        <v>110</v>
      </c>
      <c r="D10" s="200"/>
    </row>
    <row r="11" spans="1:4" ht="24.95" customHeight="1" x14ac:dyDescent="0.2">
      <c r="A11" s="626" t="s">
        <v>132</v>
      </c>
      <c r="B11" s="226" t="s">
        <v>50</v>
      </c>
      <c r="C11" s="200" t="s">
        <v>133</v>
      </c>
      <c r="D11" s="200"/>
    </row>
    <row r="12" spans="1:4" ht="24.95" customHeight="1" x14ac:dyDescent="0.2">
      <c r="A12" s="626" t="s">
        <v>105</v>
      </c>
      <c r="B12" s="226" t="s">
        <v>50</v>
      </c>
      <c r="C12" s="200" t="s">
        <v>106</v>
      </c>
      <c r="D12" s="95"/>
    </row>
    <row r="13" spans="1:4" ht="24.95" customHeight="1" x14ac:dyDescent="0.2">
      <c r="A13" s="626" t="s">
        <v>8</v>
      </c>
      <c r="B13" s="226" t="s">
        <v>50</v>
      </c>
      <c r="C13" s="200" t="s">
        <v>113</v>
      </c>
      <c r="D13" s="200"/>
    </row>
    <row r="14" spans="1:4" ht="24.95" customHeight="1" x14ac:dyDescent="0.2">
      <c r="A14" s="626" t="s">
        <v>117</v>
      </c>
      <c r="B14" s="226" t="s">
        <v>50</v>
      </c>
      <c r="C14" s="200" t="s">
        <v>290</v>
      </c>
      <c r="D14" s="200"/>
    </row>
    <row r="15" spans="1:4" ht="24.95" customHeight="1" x14ac:dyDescent="0.2">
      <c r="A15" s="626" t="s">
        <v>124</v>
      </c>
      <c r="B15" s="226" t="s">
        <v>50</v>
      </c>
      <c r="C15" s="200" t="s">
        <v>125</v>
      </c>
      <c r="D15" s="200"/>
    </row>
    <row r="16" spans="1:4" ht="24.95" customHeight="1" x14ac:dyDescent="0.2">
      <c r="A16" s="626" t="s">
        <v>112</v>
      </c>
      <c r="B16" s="226" t="s">
        <v>50</v>
      </c>
      <c r="C16" s="200" t="s">
        <v>111</v>
      </c>
      <c r="D16" s="200"/>
    </row>
    <row r="17" spans="1:4" ht="24.95" customHeight="1" x14ac:dyDescent="0.2">
      <c r="A17" s="626" t="s">
        <v>102</v>
      </c>
      <c r="B17" s="226" t="s">
        <v>50</v>
      </c>
      <c r="C17" s="200" t="s">
        <v>101</v>
      </c>
      <c r="D17" s="200"/>
    </row>
    <row r="18" spans="1:4" ht="24.95" customHeight="1" x14ac:dyDescent="0.2">
      <c r="A18" s="626" t="s">
        <v>104</v>
      </c>
      <c r="B18" s="226" t="s">
        <v>50</v>
      </c>
      <c r="C18" s="200" t="s">
        <v>103</v>
      </c>
      <c r="D18" s="200"/>
    </row>
    <row r="19" spans="1:4" ht="24.95" customHeight="1" x14ac:dyDescent="0.2">
      <c r="A19" s="626" t="s">
        <v>7</v>
      </c>
      <c r="B19" s="226" t="s">
        <v>50</v>
      </c>
      <c r="C19" s="200" t="s">
        <v>115</v>
      </c>
      <c r="D19" s="200"/>
    </row>
    <row r="20" spans="1:4" ht="24.95" customHeight="1" x14ac:dyDescent="0.2">
      <c r="A20" s="626" t="s">
        <v>6</v>
      </c>
      <c r="B20" s="226" t="s">
        <v>50</v>
      </c>
      <c r="C20" s="200" t="s">
        <v>114</v>
      </c>
      <c r="D20" s="200"/>
    </row>
    <row r="21" spans="1:4" ht="24.95" customHeight="1" x14ac:dyDescent="0.2">
      <c r="A21" s="626" t="s">
        <v>128</v>
      </c>
      <c r="B21" s="226" t="s">
        <v>50</v>
      </c>
      <c r="C21" s="200" t="s">
        <v>129</v>
      </c>
      <c r="D21" s="200"/>
    </row>
    <row r="22" spans="1:4" ht="24.95" customHeight="1" x14ac:dyDescent="0.2">
      <c r="A22" s="626" t="s">
        <v>163</v>
      </c>
      <c r="B22" s="226" t="s">
        <v>50</v>
      </c>
      <c r="C22" s="200" t="s">
        <v>161</v>
      </c>
      <c r="D22" s="200"/>
    </row>
    <row r="23" spans="1:4" ht="24.95" customHeight="1" x14ac:dyDescent="0.2">
      <c r="A23" s="626" t="s">
        <v>201</v>
      </c>
      <c r="B23" s="226" t="s">
        <v>50</v>
      </c>
      <c r="C23" s="799" t="s">
        <v>202</v>
      </c>
      <c r="D23" s="799"/>
    </row>
    <row r="24" spans="1:4" ht="24.95" customHeight="1" x14ac:dyDescent="0.2">
      <c r="A24" s="623" t="s">
        <v>108</v>
      </c>
      <c r="B24" s="624" t="s">
        <v>50</v>
      </c>
      <c r="C24" s="625" t="s">
        <v>107</v>
      </c>
      <c r="D24" s="625"/>
    </row>
    <row r="25" spans="1:4" ht="18" customHeight="1" x14ac:dyDescent="0.2">
      <c r="A25" s="788"/>
      <c r="B25" s="226"/>
      <c r="C25" s="799"/>
      <c r="D25" s="799"/>
    </row>
    <row r="26" spans="1:4" ht="18" customHeight="1" x14ac:dyDescent="0.2">
      <c r="A26" s="235"/>
      <c r="B26" s="226"/>
      <c r="C26" s="156"/>
      <c r="D26" s="156"/>
    </row>
    <row r="27" spans="1:4" ht="23.1" customHeight="1" x14ac:dyDescent="0.2">
      <c r="A27" s="233"/>
      <c r="B27" s="227"/>
      <c r="C27" s="87"/>
      <c r="D27" s="87"/>
    </row>
    <row r="28" spans="1:4" ht="23.1" customHeight="1" x14ac:dyDescent="0.2">
      <c r="A28" s="233"/>
      <c r="B28" s="227"/>
      <c r="C28" s="87"/>
      <c r="D28" s="87"/>
    </row>
    <row r="29" spans="1:4" ht="23.1" customHeight="1" x14ac:dyDescent="0.2">
      <c r="A29" s="233"/>
      <c r="B29" s="227"/>
      <c r="C29" s="199"/>
      <c r="D29" s="199"/>
    </row>
    <row r="30" spans="1:4" ht="23.1" customHeight="1" x14ac:dyDescent="0.2">
      <c r="A30" s="234"/>
      <c r="B30" s="228"/>
      <c r="C30" s="85"/>
      <c r="D30" s="85"/>
    </row>
    <row r="31" spans="1:4" ht="23.1" customHeight="1" x14ac:dyDescent="0.2">
      <c r="A31" s="233"/>
      <c r="B31" s="227"/>
      <c r="C31" s="87"/>
      <c r="D31" s="87"/>
    </row>
    <row r="32" spans="1:4" ht="23.1" customHeight="1" x14ac:dyDescent="0.2">
      <c r="A32" s="233"/>
      <c r="B32" s="227"/>
      <c r="C32" s="87"/>
      <c r="D32" s="87"/>
    </row>
    <row r="33" spans="1:4" ht="23.1" customHeight="1" x14ac:dyDescent="0.2">
      <c r="A33" s="233"/>
      <c r="B33" s="227"/>
      <c r="C33" s="87"/>
      <c r="D33" s="87"/>
    </row>
    <row r="34" spans="1:4" ht="23.1" customHeight="1" x14ac:dyDescent="0.2">
      <c r="A34" s="233"/>
      <c r="B34" s="227"/>
      <c r="C34" s="797"/>
      <c r="D34" s="797"/>
    </row>
    <row r="35" spans="1:4" ht="21.75" customHeight="1" x14ac:dyDescent="0.2">
      <c r="A35" s="233"/>
      <c r="B35" s="227"/>
      <c r="C35" s="797"/>
      <c r="D35" s="797"/>
    </row>
    <row r="36" spans="1:4" ht="23.1" customHeight="1" x14ac:dyDescent="0.2">
      <c r="A36" s="86"/>
      <c r="B36" s="88"/>
      <c r="C36" s="797"/>
      <c r="D36" s="797"/>
    </row>
    <row r="37" spans="1:4" ht="23.1" customHeight="1" x14ac:dyDescent="0.2">
      <c r="A37" s="86"/>
      <c r="B37" s="88"/>
      <c r="C37" s="797"/>
      <c r="D37" s="797"/>
    </row>
    <row r="38" spans="1:4" ht="23.1" customHeight="1" x14ac:dyDescent="0.2">
      <c r="A38" s="86"/>
      <c r="B38" s="88"/>
      <c r="C38" s="797"/>
      <c r="D38" s="797"/>
    </row>
    <row r="39" spans="1:4" ht="30" customHeight="1" x14ac:dyDescent="0.2">
      <c r="A39" s="796"/>
      <c r="B39" s="796"/>
      <c r="C39" s="796"/>
      <c r="D39" s="796"/>
    </row>
  </sheetData>
  <sortState ref="A5:C24">
    <sortCondition ref="A5"/>
  </sortState>
  <mergeCells count="10">
    <mergeCell ref="C36:D36"/>
    <mergeCell ref="C37:D37"/>
    <mergeCell ref="C38:D38"/>
    <mergeCell ref="A39:D39"/>
    <mergeCell ref="C1:D1"/>
    <mergeCell ref="C34:D34"/>
    <mergeCell ref="C35:D35"/>
    <mergeCell ref="C25:D25"/>
    <mergeCell ref="A1:A4"/>
    <mergeCell ref="C23:D2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58"/>
    </row>
    <row r="5" spans="1:4" ht="30" customHeight="1" x14ac:dyDescent="0.2">
      <c r="A5" s="23"/>
      <c r="B5" s="20"/>
      <c r="C5" s="801"/>
      <c r="D5" s="802"/>
    </row>
    <row r="6" spans="1:4" ht="30" customHeight="1" x14ac:dyDescent="0.2">
      <c r="A6" s="23"/>
      <c r="B6" s="20"/>
      <c r="C6" s="801"/>
      <c r="D6" s="802"/>
    </row>
    <row r="7" spans="1:4" ht="30" customHeight="1" x14ac:dyDescent="0.2">
      <c r="A7" s="23"/>
      <c r="B7" s="20"/>
      <c r="C7" s="801"/>
      <c r="D7" s="802"/>
    </row>
    <row r="8" spans="1:4" ht="30" customHeight="1" x14ac:dyDescent="0.2">
      <c r="A8" s="23"/>
      <c r="B8" s="20"/>
      <c r="C8" s="801"/>
      <c r="D8" s="802"/>
    </row>
    <row r="9" spans="1:4" ht="30" customHeight="1" x14ac:dyDescent="0.2">
      <c r="A9" s="23"/>
      <c r="B9" s="20"/>
      <c r="C9" s="801"/>
      <c r="D9" s="802"/>
    </row>
    <row r="10" spans="1:4" ht="30" customHeight="1" x14ac:dyDescent="0.2">
      <c r="A10" s="23"/>
      <c r="B10" s="20"/>
      <c r="C10" s="801"/>
      <c r="D10" s="802"/>
    </row>
    <row r="11" spans="1:4" ht="30" customHeight="1" x14ac:dyDescent="0.2">
      <c r="A11" s="23"/>
      <c r="B11" s="20"/>
      <c r="C11" s="801"/>
      <c r="D11" s="802"/>
    </row>
    <row r="12" spans="1:4" ht="30" customHeight="1" x14ac:dyDescent="0.2">
      <c r="A12" s="23"/>
      <c r="B12" s="20"/>
      <c r="C12" s="801"/>
      <c r="D12" s="802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7"/>
      <c r="B30" s="128"/>
      <c r="C30" s="129"/>
      <c r="D30" s="129"/>
    </row>
    <row r="31" spans="1:4" ht="23.1" customHeight="1" x14ac:dyDescent="0.2">
      <c r="A31" s="127"/>
      <c r="B31" s="130"/>
      <c r="C31" s="85"/>
      <c r="D31" s="85"/>
    </row>
    <row r="32" spans="1:4" ht="23.1" customHeight="1" x14ac:dyDescent="0.2">
      <c r="A32" s="127"/>
      <c r="B32" s="56"/>
      <c r="C32" s="57"/>
      <c r="D32" s="57"/>
    </row>
    <row r="33" spans="1:4" ht="23.1" customHeight="1" x14ac:dyDescent="0.2">
      <c r="A33" s="6"/>
      <c r="B33" s="22"/>
      <c r="C33" s="802"/>
      <c r="D33" s="802"/>
    </row>
    <row r="34" spans="1:4" ht="23.1" customHeight="1" x14ac:dyDescent="0.2">
      <c r="A34" s="6"/>
      <c r="B34" s="22"/>
      <c r="C34" s="802"/>
      <c r="D34" s="802"/>
    </row>
    <row r="35" spans="1:4" ht="23.1" customHeight="1" x14ac:dyDescent="0.2">
      <c r="A35" s="6"/>
      <c r="B35" s="22"/>
      <c r="C35" s="802"/>
      <c r="D35" s="802"/>
    </row>
    <row r="36" spans="1:4" ht="30" customHeight="1" x14ac:dyDescent="0.2">
      <c r="A36" s="796"/>
      <c r="B36" s="796"/>
      <c r="C36" s="796"/>
      <c r="D36" s="796"/>
    </row>
  </sheetData>
  <mergeCells count="12">
    <mergeCell ref="C5:D5"/>
    <mergeCell ref="C6:D6"/>
    <mergeCell ref="C7:D7"/>
    <mergeCell ref="C8:D8"/>
    <mergeCell ref="C9:D9"/>
    <mergeCell ref="C10:D10"/>
    <mergeCell ref="C11:D11"/>
    <mergeCell ref="C12:D12"/>
    <mergeCell ref="C35:D35"/>
    <mergeCell ref="A36:D36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804" t="s">
        <v>51</v>
      </c>
      <c r="I1" s="804"/>
    </row>
    <row r="2" spans="1:18" ht="15.75" customHeight="1" x14ac:dyDescent="0.25">
      <c r="A2" s="805" t="s">
        <v>200</v>
      </c>
      <c r="B2" s="805"/>
      <c r="C2" s="805"/>
      <c r="D2" s="805"/>
      <c r="E2" s="805"/>
      <c r="F2" s="805"/>
      <c r="G2" s="805"/>
      <c r="H2" s="805"/>
      <c r="I2" s="805"/>
    </row>
    <row r="3" spans="1:18" ht="19.5" customHeight="1" x14ac:dyDescent="0.2">
      <c r="A3" s="139"/>
      <c r="B3" s="479"/>
      <c r="D3" s="222" t="str">
        <f>T!G19</f>
        <v>Prosinec</v>
      </c>
      <c r="E3" s="221">
        <f>T!I21</f>
        <v>2015</v>
      </c>
      <c r="F3" s="139"/>
      <c r="G3" s="139"/>
      <c r="H3" s="139"/>
    </row>
    <row r="4" spans="1:18" ht="3.75" customHeight="1" x14ac:dyDescent="0.25">
      <c r="A4" s="41"/>
      <c r="B4" s="480"/>
      <c r="C4" s="40"/>
      <c r="D4" s="29"/>
      <c r="E4" s="29"/>
      <c r="F4" s="29"/>
    </row>
    <row r="5" spans="1:18" ht="15" customHeight="1" x14ac:dyDescent="0.2">
      <c r="A5" s="806"/>
      <c r="B5" s="806"/>
      <c r="C5" s="140"/>
      <c r="D5" s="807" t="s">
        <v>15</v>
      </c>
      <c r="E5" s="808"/>
      <c r="F5" s="809"/>
      <c r="G5" s="807" t="s">
        <v>1</v>
      </c>
      <c r="H5" s="808"/>
      <c r="I5" s="808"/>
    </row>
    <row r="6" spans="1:18" ht="15" customHeight="1" x14ac:dyDescent="0.2">
      <c r="A6" s="810" t="s">
        <v>134</v>
      </c>
      <c r="B6" s="811"/>
      <c r="C6" s="464"/>
      <c r="D6" s="141" t="s">
        <v>135</v>
      </c>
      <c r="E6" s="449" t="s">
        <v>136</v>
      </c>
      <c r="F6" s="445" t="s">
        <v>137</v>
      </c>
      <c r="G6" s="141" t="s">
        <v>135</v>
      </c>
      <c r="H6" s="449" t="s">
        <v>136</v>
      </c>
      <c r="I6" s="455" t="s">
        <v>137</v>
      </c>
    </row>
    <row r="7" spans="1:18" ht="15" customHeight="1" x14ac:dyDescent="0.2">
      <c r="A7" s="812"/>
      <c r="B7" s="813"/>
      <c r="C7" s="31" t="s">
        <v>138</v>
      </c>
      <c r="D7" s="63">
        <f>INDEX('[1]Přepravní soustava'!$C$13:$AL$13,1,3*T!$A$4-2)</f>
        <v>2810276.1367232827</v>
      </c>
      <c r="E7" s="450">
        <f>-INDEX('[1]Přepravní soustava'!$C$22:$AL$22,1,3*T!$A$4-2)</f>
        <v>-2174472.2227702369</v>
      </c>
      <c r="F7" s="446">
        <f>D7+E7</f>
        <v>635803.91395304585</v>
      </c>
      <c r="G7" s="63">
        <f>INDEX('[1]Přepravní soustava'!$C$13:$AL$13,1,3*T!$A$4-1)</f>
        <v>29895398.390000001</v>
      </c>
      <c r="H7" s="450">
        <f>-INDEX('[1]Přepravní soustava'!$C$22:$AL$22,1,3*T!$A$4-1)</f>
        <v>-23140320.869000003</v>
      </c>
      <c r="I7" s="84">
        <f>G7+H7</f>
        <v>6755077.5209999979</v>
      </c>
      <c r="J7" s="27"/>
      <c r="K7" s="37"/>
      <c r="L7" s="37"/>
      <c r="M7" s="37"/>
      <c r="N7" s="177"/>
      <c r="O7" s="177"/>
      <c r="P7" s="177"/>
    </row>
    <row r="8" spans="1:18" ht="15" customHeight="1" x14ac:dyDescent="0.2">
      <c r="A8" s="812"/>
      <c r="B8" s="813"/>
      <c r="C8" s="98" t="s">
        <v>139</v>
      </c>
      <c r="D8" s="63">
        <f>INDEX('[2]Z ZDS'!$C$31:$AX$31,1,4*T!$A$4-3)</f>
        <v>182.61621914569955</v>
      </c>
      <c r="E8" s="450">
        <f>-INDEX('[2]Do ZDS'!$C$32:$AL$32,1,3*T!$A$4-2)</f>
        <v>-25.647905842912589</v>
      </c>
      <c r="F8" s="446">
        <f>D8+E8</f>
        <v>156.96831330278695</v>
      </c>
      <c r="G8" s="63">
        <f>INDEX('[2]Z ZDS'!$C$31:$AX$31,1,4*T!$A$4-2)</f>
        <v>1917.2530659999991</v>
      </c>
      <c r="H8" s="450">
        <f>-INDEX('[2]Do ZDS'!$C$32:$AL$32,1,3*T!$A$4-1)</f>
        <v>-273.2646891</v>
      </c>
      <c r="I8" s="84">
        <f>G8+H8</f>
        <v>1643.9883768999991</v>
      </c>
      <c r="J8" s="27"/>
      <c r="K8" s="37"/>
      <c r="L8" s="37"/>
      <c r="M8" s="37"/>
      <c r="N8" s="177"/>
      <c r="O8" s="177"/>
      <c r="P8" s="177"/>
    </row>
    <row r="9" spans="1:18" ht="15" customHeight="1" x14ac:dyDescent="0.2">
      <c r="A9" s="808"/>
      <c r="B9" s="809"/>
      <c r="C9" s="458" t="s">
        <v>140</v>
      </c>
      <c r="D9" s="460">
        <f>SUM(D7:D8)</f>
        <v>2810458.7529424285</v>
      </c>
      <c r="E9" s="461">
        <f>SUM(E7:E8)</f>
        <v>-2174497.8706760798</v>
      </c>
      <c r="F9" s="462">
        <f>SUM(F7:F8)</f>
        <v>635960.88226634869</v>
      </c>
      <c r="G9" s="460">
        <f t="shared" ref="G9:I9" si="0">SUM(G7:G8)</f>
        <v>29897315.643066</v>
      </c>
      <c r="H9" s="461">
        <f t="shared" si="0"/>
        <v>-23140594.133689102</v>
      </c>
      <c r="I9" s="463">
        <f t="shared" si="0"/>
        <v>6756721.5093768975</v>
      </c>
      <c r="J9" s="27"/>
      <c r="K9" s="37"/>
      <c r="L9" s="37"/>
      <c r="M9" s="37"/>
      <c r="N9" s="37"/>
      <c r="O9" s="37"/>
      <c r="P9" s="37"/>
      <c r="Q9" s="37"/>
      <c r="R9" s="177"/>
    </row>
    <row r="10" spans="1:18" ht="15" customHeight="1" x14ac:dyDescent="0.2">
      <c r="A10" s="810" t="s">
        <v>141</v>
      </c>
      <c r="B10" s="811"/>
      <c r="C10" s="142"/>
      <c r="D10" s="641" t="s">
        <v>142</v>
      </c>
      <c r="E10" s="451" t="s">
        <v>143</v>
      </c>
      <c r="F10" s="447" t="s">
        <v>144</v>
      </c>
      <c r="G10" s="641" t="s">
        <v>142</v>
      </c>
      <c r="H10" s="451" t="s">
        <v>143</v>
      </c>
      <c r="I10" s="642" t="s">
        <v>144</v>
      </c>
      <c r="J10" s="27"/>
      <c r="K10" s="37"/>
      <c r="L10" s="37"/>
      <c r="M10" s="37"/>
      <c r="N10" s="177"/>
      <c r="O10" s="177"/>
      <c r="P10" s="177"/>
      <c r="Q10" s="177"/>
      <c r="R10" s="177"/>
    </row>
    <row r="11" spans="1:18" ht="15" customHeight="1" x14ac:dyDescent="0.2">
      <c r="A11" s="812"/>
      <c r="B11" s="813"/>
      <c r="C11" s="63" t="s">
        <v>76</v>
      </c>
      <c r="D11" s="443">
        <f>INDEX('[1]Přepravní soustava'!$C39:$AL39,1,3*T!$A$4-2)</f>
        <v>288618.995</v>
      </c>
      <c r="E11" s="452">
        <f>-INDEX('[1]Přepravní soustava'!$C43:$AL43,1,3*T!$A$4-2)</f>
        <v>-6778.4219999999996</v>
      </c>
      <c r="F11" s="448">
        <f>D11+E11</f>
        <v>281840.57299999997</v>
      </c>
      <c r="G11" s="443">
        <f>INDEX('[1]Přepravní soustava'!$C39:$AL39,1,3*T!$A$4-1)</f>
        <v>3082514.6150000002</v>
      </c>
      <c r="H11" s="452">
        <f>-INDEX('[1]Přepravní soustava'!$C43:$AL43,1,3*T!$A$4-1)</f>
        <v>-72014.19</v>
      </c>
      <c r="I11" s="18">
        <f>G11+H11</f>
        <v>3010500.4250000003</v>
      </c>
      <c r="J11" s="27"/>
      <c r="K11" s="37"/>
      <c r="L11" s="37"/>
      <c r="M11" s="37"/>
      <c r="N11" s="177"/>
      <c r="O11" s="177"/>
      <c r="P11" s="177"/>
      <c r="Q11" s="177"/>
      <c r="R11" s="177"/>
    </row>
    <row r="12" spans="1:18" ht="15" customHeight="1" x14ac:dyDescent="0.2">
      <c r="A12" s="812"/>
      <c r="B12" s="813"/>
      <c r="C12" s="100" t="s">
        <v>77</v>
      </c>
      <c r="D12" s="64">
        <f>INDEX('[1]Přepravní soustava'!$C40:$AL40,1,3*T!$A$4-2)</f>
        <v>3922.355</v>
      </c>
      <c r="E12" s="452">
        <f>-INDEX('[1]Přepravní soustava'!$C44:$AL44,1,3*T!$A$4-2)</f>
        <v>-15089.771000000001</v>
      </c>
      <c r="F12" s="448">
        <f>D12+E12</f>
        <v>-11167.416000000001</v>
      </c>
      <c r="G12" s="64">
        <f>INDEX('[1]Přepravní soustava'!$C40:$AL40,1,3*T!$A$4-1)</f>
        <v>41854.870999999999</v>
      </c>
      <c r="H12" s="452">
        <f>-INDEX('[1]Přepravní soustava'!$C44:$AL44,1,3*T!$A$4-1)</f>
        <v>-160894.34400000001</v>
      </c>
      <c r="I12" s="18">
        <f>G12+H12</f>
        <v>-119039.47300000001</v>
      </c>
      <c r="J12" s="27"/>
      <c r="K12" s="37"/>
      <c r="L12" s="37"/>
      <c r="M12" s="37"/>
      <c r="N12" s="177"/>
      <c r="O12" s="177"/>
      <c r="P12" s="177"/>
      <c r="Q12" s="177"/>
      <c r="R12" s="177"/>
    </row>
    <row r="13" spans="1:18" ht="15" customHeight="1" x14ac:dyDescent="0.2">
      <c r="A13" s="808"/>
      <c r="B13" s="809"/>
      <c r="C13" s="459" t="s">
        <v>140</v>
      </c>
      <c r="D13" s="465">
        <f t="shared" ref="D13:H13" si="1">SUM(D11:D12)</f>
        <v>292541.34999999998</v>
      </c>
      <c r="E13" s="466">
        <f t="shared" si="1"/>
        <v>-21868.192999999999</v>
      </c>
      <c r="F13" s="467">
        <f t="shared" si="1"/>
        <v>270673.15699999995</v>
      </c>
      <c r="G13" s="465">
        <f t="shared" si="1"/>
        <v>3124369.486</v>
      </c>
      <c r="H13" s="466">
        <f t="shared" si="1"/>
        <v>-232908.53400000001</v>
      </c>
      <c r="I13" s="468">
        <f>SUM(I11:I12)</f>
        <v>2891460.952</v>
      </c>
      <c r="J13" s="27"/>
      <c r="K13" s="37"/>
      <c r="L13" s="37"/>
      <c r="M13" s="37"/>
      <c r="N13" s="37"/>
      <c r="O13" s="37"/>
      <c r="P13" s="37"/>
      <c r="Q13" s="177"/>
      <c r="R13" s="177"/>
    </row>
    <row r="14" spans="1:18" ht="15" customHeight="1" x14ac:dyDescent="0.2">
      <c r="A14" s="810" t="s">
        <v>83</v>
      </c>
      <c r="B14" s="811"/>
      <c r="C14" s="99"/>
      <c r="D14" s="143" t="s">
        <v>145</v>
      </c>
      <c r="E14" s="453" t="s">
        <v>146</v>
      </c>
      <c r="F14" s="144" t="s">
        <v>165</v>
      </c>
      <c r="G14" s="143" t="s">
        <v>145</v>
      </c>
      <c r="H14" s="453" t="s">
        <v>146</v>
      </c>
      <c r="I14" s="456" t="s">
        <v>165</v>
      </c>
      <c r="J14" s="27"/>
      <c r="K14" s="37"/>
      <c r="L14" s="37"/>
      <c r="M14" s="37"/>
      <c r="N14" s="177"/>
      <c r="O14" s="177"/>
      <c r="P14" s="177"/>
      <c r="Q14" s="37"/>
    </row>
    <row r="15" spans="1:18" ht="15" customHeight="1" x14ac:dyDescent="0.2">
      <c r="A15" s="812"/>
      <c r="B15" s="813"/>
      <c r="C15" s="63" t="s">
        <v>147</v>
      </c>
      <c r="D15" s="63">
        <f>INDEX('[3]Poklady MZ'!$C$9:$Z$10,1,2*T!$A$4-1)</f>
        <v>10522.863000000001</v>
      </c>
      <c r="E15" s="452">
        <f>INDEX('[3]Poklady MZ'!$C$22:$Z$22,1,2*T!$A$4-1)</f>
        <v>337.75800000000163</v>
      </c>
      <c r="F15" s="448">
        <f>D15+E15</f>
        <v>10860.621000000003</v>
      </c>
      <c r="G15" s="63">
        <f>INDEX('[3]Poklady MZ'!$C$9:$Z$10,1,2*T!$A$4)</f>
        <v>114450.09441600001</v>
      </c>
      <c r="H15" s="452">
        <f>INDEX('[3]Poklady MZ'!$C$22:$Z$22,1,2*T!$A$4)</f>
        <v>3601.0265000000072</v>
      </c>
      <c r="I15" s="18">
        <f>G15+H15</f>
        <v>118051.12091600001</v>
      </c>
      <c r="J15" s="27"/>
      <c r="K15" s="37"/>
      <c r="L15" s="37"/>
      <c r="M15" s="37"/>
      <c r="N15" s="177"/>
      <c r="O15" s="177"/>
      <c r="P15" s="177"/>
      <c r="Q15" s="37"/>
    </row>
    <row r="16" spans="1:18" ht="15" customHeight="1" x14ac:dyDescent="0.2">
      <c r="A16" s="812"/>
      <c r="B16" s="813"/>
      <c r="C16" s="63" t="s">
        <v>148</v>
      </c>
      <c r="D16" s="444">
        <f>INDEX('[3]Poklady MZ'!$C$9:$Z$10,2,2*T!$A$4-1)</f>
        <v>1349</v>
      </c>
      <c r="E16" s="452">
        <v>0</v>
      </c>
      <c r="F16" s="448">
        <f>D16+E16</f>
        <v>1349</v>
      </c>
      <c r="G16" s="63">
        <f>INDEX('[3]Poklady MZ'!$C$9:$Z$10,2,2*T!$A$4)</f>
        <v>14159</v>
      </c>
      <c r="H16" s="452">
        <v>0</v>
      </c>
      <c r="I16" s="18">
        <f>G16+H16</f>
        <v>14159</v>
      </c>
      <c r="J16" s="27"/>
      <c r="K16" s="37"/>
      <c r="L16" s="37"/>
      <c r="M16" s="37"/>
      <c r="N16" s="177"/>
      <c r="O16" s="177"/>
      <c r="P16" s="177"/>
      <c r="Q16" s="37"/>
    </row>
    <row r="17" spans="1:17" ht="15" customHeight="1" x14ac:dyDescent="0.2">
      <c r="A17" s="808"/>
      <c r="B17" s="809"/>
      <c r="C17" s="459" t="s">
        <v>140</v>
      </c>
      <c r="D17" s="469">
        <f t="shared" ref="D17:I17" si="2">SUM(D15:D16)</f>
        <v>11871.863000000001</v>
      </c>
      <c r="E17" s="470">
        <f t="shared" si="2"/>
        <v>337.75800000000163</v>
      </c>
      <c r="F17" s="471">
        <f t="shared" si="2"/>
        <v>12209.621000000003</v>
      </c>
      <c r="G17" s="469">
        <f t="shared" si="2"/>
        <v>128609.09441600001</v>
      </c>
      <c r="H17" s="470">
        <f t="shared" si="2"/>
        <v>3601.0265000000072</v>
      </c>
      <c r="I17" s="472">
        <f t="shared" si="2"/>
        <v>132210.12091600001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814" t="s">
        <v>84</v>
      </c>
      <c r="B18" s="815"/>
      <c r="C18" s="99"/>
      <c r="D18" s="143" t="s">
        <v>149</v>
      </c>
      <c r="E18" s="453" t="s">
        <v>150</v>
      </c>
      <c r="F18" s="144" t="s">
        <v>151</v>
      </c>
      <c r="G18" s="143" t="s">
        <v>149</v>
      </c>
      <c r="H18" s="453" t="s">
        <v>150</v>
      </c>
      <c r="I18" s="456" t="s">
        <v>151</v>
      </c>
      <c r="J18" s="27"/>
      <c r="K18" s="37"/>
      <c r="L18" s="37"/>
      <c r="M18" s="37"/>
      <c r="N18" s="177"/>
      <c r="O18" s="177"/>
      <c r="P18" s="177"/>
      <c r="Q18" s="37"/>
    </row>
    <row r="19" spans="1:17" ht="15" customHeight="1" x14ac:dyDescent="0.2">
      <c r="A19" s="816"/>
      <c r="B19" s="817"/>
      <c r="C19" s="100" t="s">
        <v>293</v>
      </c>
      <c r="D19" s="64">
        <f>-INDEX([2]DS!$B$56:$AK$58,1,3*T!$A$4-1)</f>
        <v>-11438.978999999999</v>
      </c>
      <c r="E19" s="452">
        <v>0</v>
      </c>
      <c r="F19" s="448">
        <f>D19+E19</f>
        <v>-11438.978999999999</v>
      </c>
      <c r="G19" s="444">
        <f>-INDEX([2]DS!$B$56:$AK$58,1,3*T!$A$4)</f>
        <v>-121652.99400000001</v>
      </c>
      <c r="H19" s="452">
        <v>0</v>
      </c>
      <c r="I19" s="18">
        <f>G19+H19</f>
        <v>-121652.99400000001</v>
      </c>
      <c r="J19" s="27"/>
      <c r="K19" s="37"/>
      <c r="L19" s="37"/>
      <c r="M19" s="37"/>
      <c r="N19" s="177"/>
      <c r="O19" s="177"/>
      <c r="P19" s="177"/>
      <c r="Q19" s="37"/>
    </row>
    <row r="20" spans="1:17" ht="15" customHeight="1" x14ac:dyDescent="0.2">
      <c r="A20" s="816"/>
      <c r="B20" s="817"/>
      <c r="C20" s="100" t="s">
        <v>152</v>
      </c>
      <c r="D20" s="444">
        <f>-INDEX([2]DS!$B$56:$AK$58,2,3*T!$A$4-1)</f>
        <v>-910157.82553188002</v>
      </c>
      <c r="E20" s="454">
        <f>-INDEX([2]DS!$B$60:$AK$60,1,3*T!$A$4-1)</f>
        <v>20310.974812698802</v>
      </c>
      <c r="F20" s="448">
        <f t="shared" ref="F20:F22" si="3">D20+E20</f>
        <v>-889846.85071918124</v>
      </c>
      <c r="G20" s="65">
        <f>-INDEX([2]DS!$B$56:$AK$58,2,3*T!$A$4)</f>
        <v>-9693837.2667031176</v>
      </c>
      <c r="H20" s="457">
        <f>-INDEX([2]DS!$B$60:$AK$60,1,3*T!$A$4)</f>
        <v>216490.97529999999</v>
      </c>
      <c r="I20" s="18">
        <f t="shared" ref="I20:I22" si="4">G20+H20</f>
        <v>-9477346.2914031185</v>
      </c>
      <c r="J20" s="27"/>
      <c r="K20" s="37"/>
      <c r="L20" s="37"/>
      <c r="M20" s="37"/>
      <c r="N20" s="177"/>
      <c r="O20" s="177"/>
      <c r="P20" s="177"/>
      <c r="Q20" s="37"/>
    </row>
    <row r="21" spans="1:17" ht="15" customHeight="1" x14ac:dyDescent="0.2">
      <c r="A21" s="816"/>
      <c r="B21" s="817"/>
      <c r="C21" s="63" t="s">
        <v>153</v>
      </c>
      <c r="D21" s="444">
        <f>-INDEX([2]DS!$B$56:$AK$58,3,3*T!$A$4-1)</f>
        <v>-1349.1279999999999</v>
      </c>
      <c r="E21" s="454">
        <v>0</v>
      </c>
      <c r="F21" s="448">
        <f t="shared" si="3"/>
        <v>-1349.1279999999999</v>
      </c>
      <c r="G21" s="65">
        <f>-INDEX([2]DS!$B$56:$AK$58,3,3*T!$A$4)</f>
        <v>-14159.351999999999</v>
      </c>
      <c r="H21" s="457">
        <v>0</v>
      </c>
      <c r="I21" s="18">
        <f t="shared" si="4"/>
        <v>-14159.351999999999</v>
      </c>
      <c r="J21" s="27"/>
      <c r="K21" s="37"/>
      <c r="L21" s="37"/>
      <c r="M21" s="37"/>
      <c r="N21" s="177"/>
      <c r="O21" s="177"/>
      <c r="P21" s="177"/>
      <c r="Q21" s="37"/>
    </row>
    <row r="22" spans="1:17" ht="15" customHeight="1" x14ac:dyDescent="0.2">
      <c r="A22" s="816"/>
      <c r="B22" s="817"/>
      <c r="C22" s="63" t="s">
        <v>154</v>
      </c>
      <c r="D22" s="444">
        <v>0</v>
      </c>
      <c r="E22" s="454">
        <f>E15*-1</f>
        <v>-337.75800000000163</v>
      </c>
      <c r="F22" s="448">
        <f t="shared" si="3"/>
        <v>-337.75800000000163</v>
      </c>
      <c r="G22" s="65">
        <v>0</v>
      </c>
      <c r="H22" s="457">
        <f>H15*-1</f>
        <v>-3601.0265000000072</v>
      </c>
      <c r="I22" s="18">
        <f t="shared" si="4"/>
        <v>-3601.0265000000072</v>
      </c>
      <c r="J22" s="27"/>
      <c r="K22" s="37"/>
      <c r="L22" s="37"/>
      <c r="M22" s="37"/>
      <c r="N22" s="177"/>
      <c r="O22" s="177"/>
      <c r="P22" s="177"/>
      <c r="Q22" s="37"/>
    </row>
    <row r="23" spans="1:17" ht="15" customHeight="1" x14ac:dyDescent="0.2">
      <c r="A23" s="818"/>
      <c r="B23" s="819"/>
      <c r="C23" s="459" t="s">
        <v>140</v>
      </c>
      <c r="D23" s="473">
        <f>SUM(D19:D22)</f>
        <v>-922945.9325318801</v>
      </c>
      <c r="E23" s="474">
        <f t="shared" ref="E23:G23" si="5">SUM(E19:E22)</f>
        <v>19973.2168126988</v>
      </c>
      <c r="F23" s="475">
        <f t="shared" si="5"/>
        <v>-902972.71571918135</v>
      </c>
      <c r="G23" s="473">
        <f t="shared" si="5"/>
        <v>-9829649.6127031185</v>
      </c>
      <c r="H23" s="474">
        <f>SUM(H19:H22)</f>
        <v>212889.94879999998</v>
      </c>
      <c r="I23" s="476">
        <f>SUM(I19:I22)</f>
        <v>-9616759.663903119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820" t="s">
        <v>10</v>
      </c>
      <c r="B24" s="821"/>
      <c r="C24" s="145" t="s">
        <v>155</v>
      </c>
      <c r="D24" s="146"/>
      <c r="E24" s="147"/>
      <c r="F24" s="148">
        <f>(F9+F13+F17+F23)*-1</f>
        <v>-15870.944547167281</v>
      </c>
      <c r="G24" s="149"/>
      <c r="H24" s="150"/>
      <c r="I24" s="151">
        <f>(I9+I13+I17+I23)*-1</f>
        <v>-163632.91838977858</v>
      </c>
      <c r="J24" s="27"/>
      <c r="K24" s="37"/>
      <c r="L24" s="37"/>
      <c r="M24" s="37"/>
      <c r="N24" s="177"/>
      <c r="O24" s="177"/>
      <c r="P24" s="177"/>
      <c r="Q24" s="37"/>
    </row>
    <row r="25" spans="1:17" ht="12" customHeight="1" x14ac:dyDescent="0.2">
      <c r="A25" s="31"/>
      <c r="B25" s="31"/>
      <c r="C25" s="152"/>
      <c r="D25" s="153"/>
      <c r="E25" s="30"/>
      <c r="F25" s="154"/>
      <c r="I25" s="10"/>
      <c r="J25" s="27"/>
      <c r="K25" s="27"/>
      <c r="L25" s="37"/>
      <c r="M25" s="177"/>
    </row>
    <row r="26" spans="1:17" ht="12" customHeight="1" x14ac:dyDescent="0.2">
      <c r="A26" s="31"/>
      <c r="B26" s="31"/>
      <c r="C26" s="477"/>
      <c r="E26" s="30"/>
      <c r="F26" s="30"/>
      <c r="G26" s="27"/>
      <c r="I26" s="182"/>
    </row>
    <row r="27" spans="1:17" ht="15" customHeight="1" x14ac:dyDescent="0.2">
      <c r="A27" s="31"/>
      <c r="B27" s="31"/>
      <c r="C27" s="477"/>
      <c r="E27" s="30" t="s">
        <v>156</v>
      </c>
      <c r="F27" s="155">
        <f>D9/1000</f>
        <v>2810.4587529424284</v>
      </c>
      <c r="G27" s="138"/>
      <c r="I27" s="27"/>
    </row>
    <row r="28" spans="1:17" ht="15" customHeight="1" x14ac:dyDescent="0.2">
      <c r="A28" s="31"/>
      <c r="B28" s="31"/>
      <c r="C28" s="477"/>
      <c r="E28" s="30" t="s">
        <v>157</v>
      </c>
      <c r="F28" s="155">
        <f>E9/1000</f>
        <v>-2174.4978706760799</v>
      </c>
      <c r="G28" s="138"/>
    </row>
    <row r="29" spans="1:17" ht="15" customHeight="1" x14ac:dyDescent="0.2">
      <c r="A29" s="31"/>
      <c r="B29" s="31"/>
      <c r="C29" s="477"/>
      <c r="E29" s="30" t="s">
        <v>158</v>
      </c>
      <c r="F29" s="155">
        <f>D13/1000</f>
        <v>292.54134999999997</v>
      </c>
      <c r="G29" s="138"/>
    </row>
    <row r="30" spans="1:17" ht="15" customHeight="1" x14ac:dyDescent="0.2">
      <c r="A30" s="822"/>
      <c r="B30" s="137"/>
      <c r="C30" s="477"/>
      <c r="E30" s="30" t="s">
        <v>159</v>
      </c>
      <c r="F30" s="155">
        <f>E13/1000</f>
        <v>-21.868192999999998</v>
      </c>
      <c r="G30" s="138"/>
      <c r="L30" s="27"/>
    </row>
    <row r="31" spans="1:17" ht="15" customHeight="1" x14ac:dyDescent="0.2">
      <c r="A31" s="822"/>
      <c r="B31" s="137"/>
      <c r="C31" s="477"/>
      <c r="E31" s="30" t="s">
        <v>129</v>
      </c>
      <c r="F31" s="155">
        <f>F17/1000</f>
        <v>12.209621000000002</v>
      </c>
      <c r="G31" s="138"/>
    </row>
    <row r="32" spans="1:17" ht="15" customHeight="1" x14ac:dyDescent="0.2">
      <c r="A32" s="19"/>
      <c r="B32" s="19"/>
      <c r="C32" s="477"/>
      <c r="E32" s="32" t="s">
        <v>10</v>
      </c>
      <c r="F32" s="155">
        <f>F24/1000</f>
        <v>-15.87094454716728</v>
      </c>
      <c r="G32" s="84"/>
    </row>
    <row r="33" spans="1:8" ht="15" customHeight="1" x14ac:dyDescent="0.2">
      <c r="A33" s="19"/>
      <c r="B33" s="19"/>
      <c r="C33" s="477"/>
      <c r="E33" s="33" t="s">
        <v>85</v>
      </c>
      <c r="F33" s="155">
        <f>F23/1000</f>
        <v>-902.97271571918134</v>
      </c>
      <c r="G33" s="84"/>
    </row>
    <row r="34" spans="1:8" ht="15" customHeight="1" x14ac:dyDescent="0.2">
      <c r="A34" s="19"/>
      <c r="B34" s="19"/>
      <c r="C34" s="478"/>
      <c r="D34" s="30"/>
      <c r="E34" s="12"/>
      <c r="F34" s="12"/>
    </row>
    <row r="35" spans="1:8" ht="15" customHeight="1" x14ac:dyDescent="0.2">
      <c r="A35" s="19"/>
      <c r="B35" s="19"/>
      <c r="C35" s="478"/>
      <c r="D35" s="30"/>
      <c r="E35" s="12"/>
      <c r="F35" s="12"/>
    </row>
    <row r="36" spans="1:8" ht="24" customHeight="1" x14ac:dyDescent="0.2">
      <c r="A36" s="19"/>
      <c r="B36" s="19"/>
      <c r="C36" s="478"/>
      <c r="D36" s="30"/>
      <c r="E36" s="12"/>
      <c r="F36" s="12"/>
    </row>
    <row r="37" spans="1:8" ht="15" customHeight="1" x14ac:dyDescent="0.2">
      <c r="A37" s="19"/>
      <c r="B37" s="19"/>
      <c r="C37" s="478"/>
      <c r="D37" s="30"/>
      <c r="E37" s="12"/>
      <c r="F37" s="12"/>
    </row>
    <row r="38" spans="1:8" ht="20.25" customHeight="1" x14ac:dyDescent="0.2">
      <c r="A38" s="803"/>
      <c r="B38" s="803"/>
      <c r="C38" s="803"/>
      <c r="D38" s="803"/>
      <c r="E38" s="803"/>
      <c r="F38" s="803"/>
      <c r="G38" s="803"/>
      <c r="H38" s="803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 t="s">
        <v>70</v>
      </c>
      <c r="K1" s="829"/>
    </row>
    <row r="2" spans="1:17" ht="6.75" customHeight="1" x14ac:dyDescent="0.2"/>
    <row r="3" spans="1:17" ht="30" customHeight="1" x14ac:dyDescent="0.2">
      <c r="A3" s="837" t="s">
        <v>206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 t="str">
        <f>T!G19</f>
        <v>Prosinec</v>
      </c>
      <c r="E4" s="836"/>
      <c r="F4" s="223">
        <f>T!I21</f>
        <v>2015</v>
      </c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D4</f>
        <v>Prosinec</v>
      </c>
      <c r="F7" s="264">
        <f>F4</f>
        <v>2015</v>
      </c>
      <c r="G7" s="264"/>
      <c r="H7" s="840"/>
      <c r="I7" s="279" t="str">
        <f>D4</f>
        <v>Prosinec</v>
      </c>
      <c r="J7" s="259">
        <f>F4-1</f>
        <v>2014</v>
      </c>
      <c r="K7" s="273"/>
    </row>
    <row r="8" spans="1:17" ht="14.1" customHeight="1" x14ac:dyDescent="0.2">
      <c r="A8" s="277"/>
      <c r="B8" s="834" t="s">
        <v>92</v>
      </c>
      <c r="C8" s="834"/>
      <c r="D8" s="825" t="s">
        <v>0</v>
      </c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835"/>
      <c r="C9" s="83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4.45" customHeight="1" x14ac:dyDescent="0.2">
      <c r="A10" s="842" t="s">
        <v>4</v>
      </c>
      <c r="B10" s="842"/>
      <c r="C10" s="236"/>
      <c r="D10" s="237"/>
      <c r="E10" s="236"/>
      <c r="F10" s="236"/>
      <c r="G10" s="332"/>
      <c r="H10" s="314"/>
      <c r="I10" s="281"/>
      <c r="J10" s="236"/>
      <c r="K10" s="350"/>
    </row>
    <row r="11" spans="1:17" ht="14.45" customHeight="1" x14ac:dyDescent="0.2">
      <c r="A11" s="95"/>
      <c r="B11" s="95"/>
      <c r="C11" s="256" t="s">
        <v>6</v>
      </c>
      <c r="D11" s="244">
        <f>INDEX([2]DS!B36:AK36,1,3*T!$A$4-2)</f>
        <v>1606</v>
      </c>
      <c r="E11" s="96">
        <f>INDEX([2]DS!C36:AL36,1,3*T!$A$4-2)</f>
        <v>334800.62352483196</v>
      </c>
      <c r="F11" s="96">
        <f>INDEX([2]DS!D36:AM36,1,3*T!$A$4-2)</f>
        <v>3565710.5310299997</v>
      </c>
      <c r="G11" s="333">
        <f>E11/$E$17</f>
        <v>0.37077601315802416</v>
      </c>
      <c r="H11" s="315">
        <f>(E11-I11)/I11</f>
        <v>-3.297385270543382E-2</v>
      </c>
      <c r="I11" s="282">
        <f>INDEX([4]DS!C36:AL36,1,3*T!$A$4-2)</f>
        <v>346216.72274477623</v>
      </c>
      <c r="J11" s="96">
        <f>INDEX([4]DS!D36:AM36,1,3*T!$A$4-2)</f>
        <v>3674445.241266001</v>
      </c>
      <c r="K11" s="351">
        <f>I11/$I$17</f>
        <v>0.35047310838012874</v>
      </c>
    </row>
    <row r="12" spans="1:17" ht="14.45" customHeight="1" x14ac:dyDescent="0.2">
      <c r="A12" s="95"/>
      <c r="B12" s="95"/>
      <c r="C12" s="256" t="s">
        <v>7</v>
      </c>
      <c r="D12" s="244">
        <f>INDEX([2]DS!B37:AK37,1,3*T!$A$4-2)</f>
        <v>6814</v>
      </c>
      <c r="E12" s="96">
        <f>INDEX([2]DS!C37:AL37,1,3*T!$A$4-2)</f>
        <v>90020.725756356158</v>
      </c>
      <c r="F12" s="96">
        <f>INDEX([2]DS!D37:AM37,1,3*T!$A$4-2)</f>
        <v>958493.35903000005</v>
      </c>
      <c r="G12" s="333">
        <f t="shared" ref="G12:G16" si="0">E12/$E$17</f>
        <v>9.9693738458817432E-2</v>
      </c>
      <c r="H12" s="315">
        <f>(E12-I12)/I12</f>
        <v>-9.7097044496901624E-2</v>
      </c>
      <c r="I12" s="282">
        <f>INDEX([4]DS!C37:AL37,1,3*T!$A$4-2)</f>
        <v>99701.441010564115</v>
      </c>
      <c r="J12" s="96">
        <f>INDEX([4]DS!D37:AM37,1,3*T!$A$4-2)</f>
        <v>1057652.9636130002</v>
      </c>
      <c r="K12" s="351">
        <f t="shared" ref="K12:K16" si="1">I12/$I$17</f>
        <v>0.10092716973324672</v>
      </c>
      <c r="L12" s="283"/>
      <c r="M12" s="283"/>
      <c r="O12" s="283"/>
      <c r="P12" s="283"/>
      <c r="Q12" s="283"/>
    </row>
    <row r="13" spans="1:17" ht="14.45" customHeight="1" x14ac:dyDescent="0.2">
      <c r="A13" s="291"/>
      <c r="B13" s="267"/>
      <c r="C13" s="256" t="s">
        <v>8</v>
      </c>
      <c r="D13" s="244">
        <f>INDEX([2]DS!B38:AK38,1,3*T!$A$4-2)</f>
        <v>199725</v>
      </c>
      <c r="E13" s="96">
        <f>INDEX([2]DS!C38:AL38,1,3*T!$A$4-2)</f>
        <v>162912.0551791935</v>
      </c>
      <c r="F13" s="96">
        <f>INDEX([2]DS!D38:AM38,1,3*T!$A$4-2)</f>
        <v>1734864.0812080796</v>
      </c>
      <c r="G13" s="333">
        <f>E13/$E$17</f>
        <v>0.18041747258048726</v>
      </c>
      <c r="H13" s="315">
        <f t="shared" ref="H13:H17" si="2">(E13-I13)/I13</f>
        <v>-3.3814616408854289E-2</v>
      </c>
      <c r="I13" s="282">
        <f>INDEX([4]DS!C38:AL38,1,3*T!$A$4-2)</f>
        <v>168613.66146285227</v>
      </c>
      <c r="J13" s="96">
        <f>INDEX([4]DS!D38:AM38,1,3*T!$A$4-2)</f>
        <v>1789079.4965383804</v>
      </c>
      <c r="K13" s="351">
        <f t="shared" si="1"/>
        <v>0.17068659647559498</v>
      </c>
      <c r="L13" s="283"/>
      <c r="M13" s="283"/>
      <c r="O13" s="283"/>
      <c r="P13" s="283"/>
      <c r="Q13" s="283"/>
    </row>
    <row r="14" spans="1:17" ht="14.45" customHeight="1" x14ac:dyDescent="0.2">
      <c r="A14" s="291"/>
      <c r="B14" s="267"/>
      <c r="C14" s="256" t="s">
        <v>9</v>
      </c>
      <c r="D14" s="244">
        <f>INDEX([2]DS!B39:AK39,1,3*T!$A$4-2)</f>
        <v>2636189</v>
      </c>
      <c r="E14" s="96">
        <f>INDEX([2]DS!C39:AL39,1,3*T!$A$4-2)</f>
        <v>335212.52807149838</v>
      </c>
      <c r="F14" s="96">
        <f>INDEX([2]DS!D39:AM39,1,3*T!$A$4-2)</f>
        <v>3570581.6414350369</v>
      </c>
      <c r="G14" s="333">
        <f t="shared" si="0"/>
        <v>0.37123217815558818</v>
      </c>
      <c r="H14" s="315">
        <f t="shared" si="2"/>
        <v>-2.0058393990476528E-2</v>
      </c>
      <c r="I14" s="282">
        <f>INDEX([4]DS!C39:AL39,1,3*T!$A$4-2)</f>
        <v>342073.98279223655</v>
      </c>
      <c r="J14" s="96">
        <f>INDEX([4]DS!D39:AM39,1,3*T!$A$4-2)</f>
        <v>3630174.2658256972</v>
      </c>
      <c r="K14" s="351">
        <f t="shared" si="1"/>
        <v>0.34627943761556707</v>
      </c>
      <c r="L14" s="283"/>
      <c r="M14" s="283"/>
      <c r="O14" s="283"/>
      <c r="P14" s="283"/>
      <c r="Q14" s="283"/>
    </row>
    <row r="15" spans="1:17" ht="14.45" customHeight="1" x14ac:dyDescent="0.2">
      <c r="A15" s="291"/>
      <c r="B15" s="267"/>
      <c r="C15" s="257" t="s">
        <v>201</v>
      </c>
      <c r="D15" s="245">
        <f>SUM(D11:D14)</f>
        <v>2844334</v>
      </c>
      <c r="E15" s="243">
        <f t="shared" ref="E15:F15" si="3">SUM(E11:E14)</f>
        <v>922945.93253187998</v>
      </c>
      <c r="F15" s="260">
        <f t="shared" si="3"/>
        <v>9829649.6127031166</v>
      </c>
      <c r="G15" s="334">
        <f t="shared" si="0"/>
        <v>1.022119402352917</v>
      </c>
      <c r="H15" s="316">
        <f t="shared" si="2"/>
        <v>-3.5186777245849836E-2</v>
      </c>
      <c r="I15" s="284">
        <f t="shared" ref="I15:J15" si="4">SUM(I11:I14)</f>
        <v>956605.80801042914</v>
      </c>
      <c r="J15" s="260">
        <f t="shared" si="4"/>
        <v>10151351.967243079</v>
      </c>
      <c r="K15" s="352">
        <f>I15/$I$17</f>
        <v>0.9683663122045375</v>
      </c>
      <c r="L15" s="283"/>
      <c r="M15" s="283"/>
      <c r="O15" s="283"/>
      <c r="P15" s="283"/>
      <c r="Q15" s="283"/>
    </row>
    <row r="16" spans="1:17" ht="14.45" customHeight="1" x14ac:dyDescent="0.2">
      <c r="A16" s="291"/>
      <c r="B16" s="267"/>
      <c r="C16" s="256" t="s">
        <v>162</v>
      </c>
      <c r="D16" s="244"/>
      <c r="E16" s="96">
        <f>INDEX([2]DS!B40:AK40,1,3*T!$A$4-1)</f>
        <v>-19973.2168126988</v>
      </c>
      <c r="F16" s="96">
        <f>INDEX([2]DS!C40:AL40,1,3*T!$A$4-1)</f>
        <v>-212889.94879999998</v>
      </c>
      <c r="G16" s="333">
        <f t="shared" si="0"/>
        <v>-2.2119402352917098E-2</v>
      </c>
      <c r="H16" s="315">
        <f t="shared" si="2"/>
        <v>-1.6391530292655951</v>
      </c>
      <c r="I16" s="282">
        <f>INDEX([4]DS!C40:AL40,1,3*T!$A$4-2)</f>
        <v>31249.506609784188</v>
      </c>
      <c r="J16" s="96">
        <f>INDEX([4]DS!D40:AM40,1,3*T!$A$4-2)</f>
        <v>331932.27472999995</v>
      </c>
      <c r="K16" s="351">
        <f t="shared" si="1"/>
        <v>3.1633687795462474E-2</v>
      </c>
      <c r="L16" s="283"/>
      <c r="M16" s="283"/>
      <c r="O16" s="283"/>
      <c r="P16" s="283"/>
      <c r="Q16" s="283"/>
    </row>
    <row r="17" spans="1:16" ht="14.45" customHeight="1" x14ac:dyDescent="0.2">
      <c r="A17" s="291"/>
      <c r="B17" s="267"/>
      <c r="C17" s="258" t="s">
        <v>2</v>
      </c>
      <c r="D17" s="252">
        <f>D15</f>
        <v>2844334</v>
      </c>
      <c r="E17" s="250">
        <f>SUM(E15:E16)</f>
        <v>902972.71571918123</v>
      </c>
      <c r="F17" s="251">
        <f>SUM(F15:F16)</f>
        <v>9616759.6639031172</v>
      </c>
      <c r="G17" s="335">
        <f>SUM(G15:G16)</f>
        <v>0.99999999999999989</v>
      </c>
      <c r="H17" s="317">
        <f t="shared" si="2"/>
        <v>-8.5926144896700515E-2</v>
      </c>
      <c r="I17" s="285">
        <f>SUM(I15:I16)</f>
        <v>987855.31462021335</v>
      </c>
      <c r="J17" s="251">
        <f>SUM(J15:J16)</f>
        <v>10483284.24197308</v>
      </c>
      <c r="K17" s="353">
        <f>SUM(K15:K16)</f>
        <v>1</v>
      </c>
      <c r="L17" s="283"/>
      <c r="M17" s="283"/>
    </row>
    <row r="18" spans="1:16" ht="14.45" customHeight="1" x14ac:dyDescent="0.2">
      <c r="A18" s="291"/>
      <c r="B18" s="268"/>
      <c r="C18" s="292"/>
      <c r="D18" s="293"/>
      <c r="E18" s="292"/>
      <c r="F18" s="292"/>
      <c r="G18" s="336"/>
      <c r="H18" s="318"/>
      <c r="I18" s="294"/>
      <c r="J18" s="295"/>
      <c r="K18" s="354"/>
      <c r="L18" s="283"/>
      <c r="M18" s="283"/>
    </row>
    <row r="19" spans="1:16" ht="14.45" customHeight="1" x14ac:dyDescent="0.2">
      <c r="A19" s="838" t="s">
        <v>11</v>
      </c>
      <c r="B19" s="838"/>
      <c r="C19" s="838"/>
      <c r="D19" s="296"/>
      <c r="E19" s="174"/>
      <c r="F19" s="174"/>
      <c r="G19" s="337"/>
      <c r="H19" s="319"/>
      <c r="I19" s="297"/>
      <c r="J19" s="298"/>
      <c r="K19" s="355"/>
      <c r="L19" s="283"/>
      <c r="M19" s="283"/>
    </row>
    <row r="20" spans="1:16" ht="14.45" customHeight="1" x14ac:dyDescent="0.2">
      <c r="A20" s="95"/>
      <c r="B20" s="95"/>
      <c r="C20" s="256" t="s">
        <v>6</v>
      </c>
      <c r="D20" s="244">
        <f>INDEX([2]DS!B3:AK3,1,3*T!$A$4-2)</f>
        <v>185</v>
      </c>
      <c r="E20" s="89">
        <f>INDEX([2]DS!C3:AL3,1,3*T!$A$4-2)</f>
        <v>25427.301524831939</v>
      </c>
      <c r="F20" s="96">
        <f>INDEX([2]DS!D3:AM3,1,3*T!$A$4-2)</f>
        <v>270198.62900000002</v>
      </c>
      <c r="G20" s="338">
        <f>E20/$E$26</f>
        <v>0.23291171099143451</v>
      </c>
      <c r="H20" s="320">
        <f>(E20-I20)/I20</f>
        <v>-0.17679809192004792</v>
      </c>
      <c r="I20" s="299">
        <f>INDEX([4]DS!C3:AL3,1,3*T!$A$4-2)</f>
        <v>30888.292744776238</v>
      </c>
      <c r="J20" s="300">
        <f>INDEX([4]DS!D3:AM3,1,3*T!$A$4-2)</f>
        <v>326801.75400000002</v>
      </c>
      <c r="K20" s="351">
        <f>I20/$I$26</f>
        <v>0.23665324359284981</v>
      </c>
      <c r="L20" s="283"/>
      <c r="M20" s="283"/>
      <c r="N20" s="283"/>
    </row>
    <row r="21" spans="1:16" ht="14.45" customHeight="1" x14ac:dyDescent="0.2">
      <c r="A21" s="95"/>
      <c r="B21" s="95"/>
      <c r="C21" s="256" t="s">
        <v>7</v>
      </c>
      <c r="D21" s="244">
        <f>INDEX([2]DS!B4:AK4,1,3*T!$A$4-2)</f>
        <v>1636</v>
      </c>
      <c r="E21" s="89">
        <f>INDEX([2]DS!C4:AL4,1,3*T!$A$4-2)</f>
        <v>20384.915756356157</v>
      </c>
      <c r="F21" s="96">
        <f>INDEX([2]DS!D4:AM4,1,3*T!$A$4-2)</f>
        <v>216616.66099999999</v>
      </c>
      <c r="G21" s="338">
        <f>E21/$E$26</f>
        <v>0.18672392753090403</v>
      </c>
      <c r="H21" s="320">
        <f t="shared" ref="H21:H23" si="5">(E21-I21)/I21</f>
        <v>-0.14240467159384257</v>
      </c>
      <c r="I21" s="299">
        <f>INDEX([4]DS!C4:AL4,1,3*T!$A$4-2)</f>
        <v>23769.854010564122</v>
      </c>
      <c r="J21" s="300">
        <f>INDEX([4]DS!D4:AM4,1,3*T!$A$4-2)</f>
        <v>251488.005</v>
      </c>
      <c r="K21" s="351">
        <f t="shared" ref="K21:K25" si="6">I21/$I$26</f>
        <v>0.1821147286387278</v>
      </c>
      <c r="L21" s="286"/>
      <c r="M21" s="286"/>
      <c r="N21" s="283"/>
    </row>
    <row r="22" spans="1:16" ht="14.45" customHeight="1" x14ac:dyDescent="0.2">
      <c r="A22" s="291"/>
      <c r="B22" s="831"/>
      <c r="C22" s="256" t="s">
        <v>8</v>
      </c>
      <c r="D22" s="244">
        <f>INDEX([2]DS!B5:AK5,1,3*T!$A$4-2)</f>
        <v>38655</v>
      </c>
      <c r="E22" s="89">
        <f>INDEX([2]DS!C5:AL5,1,3*T!$A$4-2)</f>
        <v>24903.863513193508</v>
      </c>
      <c r="F22" s="96">
        <f>INDEX([2]DS!D5:AM5,1,3*T!$A$4-2)</f>
        <v>264636.45102607971</v>
      </c>
      <c r="G22" s="338">
        <f>E22/$E$26</f>
        <v>0.22811706761295406</v>
      </c>
      <c r="H22" s="320">
        <f t="shared" si="5"/>
        <v>-0.15594659711002667</v>
      </c>
      <c r="I22" s="299">
        <f>INDEX([4]DS!C5:AL5,1,3*T!$A$4-2)</f>
        <v>29505.080398852268</v>
      </c>
      <c r="J22" s="300">
        <f>INDEX([4]DS!D5:AM5,1,3*T!$A$4-2)</f>
        <v>312167.41186438024</v>
      </c>
      <c r="K22" s="351">
        <f t="shared" si="6"/>
        <v>0.22605564627838051</v>
      </c>
      <c r="L22" s="283"/>
      <c r="M22" s="283"/>
      <c r="N22" s="283"/>
      <c r="O22" s="283"/>
      <c r="P22" s="283"/>
    </row>
    <row r="23" spans="1:16" ht="14.45" customHeight="1" x14ac:dyDescent="0.2">
      <c r="A23" s="291"/>
      <c r="B23" s="831"/>
      <c r="C23" s="256" t="s">
        <v>9</v>
      </c>
      <c r="D23" s="244">
        <f>INDEX([2]DS!B6:AK6,1,3*T!$A$4-2)</f>
        <v>388506</v>
      </c>
      <c r="E23" s="89">
        <f>INDEX([2]DS!C6:AL6,1,3*T!$A$4-2)</f>
        <v>35608.412737498402</v>
      </c>
      <c r="F23" s="96">
        <f>INDEX([2]DS!D6:AM6,1,3*T!$A$4-2)</f>
        <v>378386.42861703708</v>
      </c>
      <c r="G23" s="338">
        <f t="shared" ref="G23:G25" si="7">E23/$E$26</f>
        <v>0.32616974035882318</v>
      </c>
      <c r="H23" s="320">
        <f t="shared" si="5"/>
        <v>-0.1813014421233333</v>
      </c>
      <c r="I23" s="299">
        <f>INDEX([4]DS!C6:AL6,1,3*T!$A$4-2)</f>
        <v>43493.923856236535</v>
      </c>
      <c r="J23" s="300">
        <f>INDEX([4]DS!D6:AM6,1,3*T!$A$4-2)</f>
        <v>460171.11149969744</v>
      </c>
      <c r="K23" s="351">
        <f t="shared" si="6"/>
        <v>0.33323234282346448</v>
      </c>
      <c r="L23" s="283"/>
      <c r="M23" s="283"/>
      <c r="N23" s="283"/>
      <c r="O23" s="283"/>
      <c r="P23" s="283"/>
    </row>
    <row r="24" spans="1:16" ht="14.45" customHeight="1" x14ac:dyDescent="0.2">
      <c r="A24" s="291"/>
      <c r="B24" s="831"/>
      <c r="C24" s="257" t="s">
        <v>201</v>
      </c>
      <c r="D24" s="245">
        <f>SUM(D20:D23)</f>
        <v>428982</v>
      </c>
      <c r="E24" s="243">
        <f>SUM(E20:E23)</f>
        <v>106324.49353188</v>
      </c>
      <c r="F24" s="260">
        <f>SUM(F20:F23)</f>
        <v>1129838.1696431169</v>
      </c>
      <c r="G24" s="339">
        <f t="shared" si="7"/>
        <v>0.97392244649411575</v>
      </c>
      <c r="H24" s="321">
        <f>(E24-I24)/I24</f>
        <v>-0.16710898927085066</v>
      </c>
      <c r="I24" s="301">
        <f>SUM(I20:I23)</f>
        <v>127657.15101042917</v>
      </c>
      <c r="J24" s="302">
        <f>SUM(J20:J23)</f>
        <v>1350628.2823640779</v>
      </c>
      <c r="K24" s="352">
        <f t="shared" si="6"/>
        <v>0.97805596133342265</v>
      </c>
      <c r="L24" s="283"/>
      <c r="M24" s="283"/>
      <c r="N24" s="283"/>
      <c r="O24" s="283"/>
      <c r="P24" s="283"/>
    </row>
    <row r="25" spans="1:16" ht="14.45" customHeight="1" x14ac:dyDescent="0.2">
      <c r="A25" s="291"/>
      <c r="B25" s="831"/>
      <c r="C25" s="239" t="s">
        <v>117</v>
      </c>
      <c r="D25" s="248"/>
      <c r="E25" s="173">
        <f>INDEX([2]DS!C7:AL7,1,3*T!$A$4-2)</f>
        <v>2846.923468130994</v>
      </c>
      <c r="F25" s="173">
        <f>INDEX([2]DS!D7:AM7,1,3*T!$A$4-2)</f>
        <v>30252.323</v>
      </c>
      <c r="G25" s="338">
        <f t="shared" si="7"/>
        <v>2.6077553505884307E-2</v>
      </c>
      <c r="H25" s="322">
        <f>(E25-I25)/I25</f>
        <v>-6.019672066774377E-3</v>
      </c>
      <c r="I25" s="297">
        <f>INDEX([4]DS!C7:AL7,1,3*T!$A$4-2)</f>
        <v>2864.1648009780802</v>
      </c>
      <c r="J25" s="298">
        <f>INDEX([4]DS!D7:AM7,1,3*T!$A$4-2)</f>
        <v>30303.218999999997</v>
      </c>
      <c r="K25" s="351">
        <f t="shared" si="6"/>
        <v>2.1944038666577396E-2</v>
      </c>
      <c r="L25" s="283"/>
      <c r="M25" s="283"/>
      <c r="N25" s="283"/>
      <c r="O25" s="283"/>
      <c r="P25" s="283"/>
    </row>
    <row r="26" spans="1:16" ht="14.45" customHeight="1" x14ac:dyDescent="0.2">
      <c r="A26" s="291"/>
      <c r="B26" s="831"/>
      <c r="C26" s="258" t="s">
        <v>2</v>
      </c>
      <c r="D26" s="252">
        <f>D24</f>
        <v>428982</v>
      </c>
      <c r="E26" s="251">
        <f>SUM(E24:E25)</f>
        <v>109171.41700001099</v>
      </c>
      <c r="F26" s="251">
        <f>SUM(F24:F25)</f>
        <v>1160090.492643117</v>
      </c>
      <c r="G26" s="340">
        <f>SUM(G24:G25)</f>
        <v>1</v>
      </c>
      <c r="H26" s="323">
        <f>(E26-I26)/I26</f>
        <v>-0.16357403906535187</v>
      </c>
      <c r="I26" s="303">
        <f>SUM(I24:I25)</f>
        <v>130521.31581140724</v>
      </c>
      <c r="J26" s="304">
        <f>SUM(J24:J25)</f>
        <v>1380931.5013640779</v>
      </c>
      <c r="K26" s="353">
        <f>SUM(K24:K25)</f>
        <v>1</v>
      </c>
      <c r="L26" s="283"/>
      <c r="M26" s="283"/>
      <c r="N26" s="283"/>
      <c r="O26" s="283"/>
      <c r="P26" s="283"/>
    </row>
    <row r="27" spans="1:16" ht="14.45" customHeight="1" x14ac:dyDescent="0.2">
      <c r="A27" s="305"/>
      <c r="B27" s="843"/>
      <c r="C27" s="292"/>
      <c r="D27" s="293"/>
      <c r="E27" s="292"/>
      <c r="F27" s="292"/>
      <c r="G27" s="336"/>
      <c r="H27" s="318"/>
      <c r="I27" s="294"/>
      <c r="J27" s="295"/>
      <c r="K27" s="354"/>
      <c r="L27" s="286"/>
      <c r="N27" s="283"/>
      <c r="O27" s="283"/>
      <c r="P27" s="283"/>
    </row>
    <row r="28" spans="1:16" ht="14.45" customHeight="1" x14ac:dyDescent="0.2">
      <c r="A28" s="823" t="s">
        <v>12</v>
      </c>
      <c r="B28" s="823"/>
      <c r="C28" s="306"/>
      <c r="D28" s="307"/>
      <c r="E28" s="306"/>
      <c r="F28" s="306"/>
      <c r="G28" s="341"/>
      <c r="H28" s="324"/>
      <c r="I28" s="297"/>
      <c r="J28" s="298"/>
      <c r="K28" s="356"/>
      <c r="L28" s="286"/>
      <c r="N28" s="283"/>
      <c r="O28" s="283"/>
      <c r="P28" s="283"/>
    </row>
    <row r="29" spans="1:16" ht="14.45" customHeight="1" x14ac:dyDescent="0.2">
      <c r="A29" s="824"/>
      <c r="B29" s="824"/>
      <c r="C29" s="256" t="s">
        <v>6</v>
      </c>
      <c r="D29" s="244">
        <f>INDEX([2]DS!B10:AK10,1,3*T!$A$4-2)</f>
        <v>1270</v>
      </c>
      <c r="E29" s="89">
        <f>INDEX([2]DS!C10:AL10,1,3*T!$A$4-2)</f>
        <v>285494</v>
      </c>
      <c r="F29" s="96">
        <f>INDEX([2]DS!D10:AM10,1,3*T!$A$4-2)</f>
        <v>3041784.86203</v>
      </c>
      <c r="G29" s="333">
        <f>E29/$E$35</f>
        <v>0.38298672052841376</v>
      </c>
      <c r="H29" s="315">
        <f>(E29-I29)/I29</f>
        <v>-4.7517053306136044E-2</v>
      </c>
      <c r="I29" s="299">
        <f>INDEX([4]DS!C10:AL10,1,3*T!$A$4-2)</f>
        <v>299736.59999999998</v>
      </c>
      <c r="J29" s="300">
        <f>INDEX([4]DS!D10:AM10,1,3*T!$A$4-2)</f>
        <v>3182525.5532660005</v>
      </c>
      <c r="K29" s="351">
        <f>I29/$I$35</f>
        <v>0.36858954960270146</v>
      </c>
    </row>
    <row r="30" spans="1:16" ht="14.45" customHeight="1" x14ac:dyDescent="0.2">
      <c r="A30" s="824"/>
      <c r="B30" s="824"/>
      <c r="C30" s="256" t="s">
        <v>7</v>
      </c>
      <c r="D30" s="244">
        <f>INDEX([2]DS!B11:AK11,1,3*T!$A$4-2)</f>
        <v>4820</v>
      </c>
      <c r="E30" s="89">
        <f>INDEX([2]DS!C11:AL11,1,3*T!$A$4-2)</f>
        <v>67138.2</v>
      </c>
      <c r="F30" s="96">
        <f>INDEX([2]DS!D11:AM11,1,3*T!$A$4-2)</f>
        <v>715320.02803000016</v>
      </c>
      <c r="G30" s="333">
        <f t="shared" ref="G30:G34" si="8">E30/$E$35</f>
        <v>9.006507681485687E-2</v>
      </c>
      <c r="H30" s="315">
        <f t="shared" ref="H30:H32" si="9">(E30-I30)/I30</f>
        <v>-8.3942781046358023E-2</v>
      </c>
      <c r="I30" s="299">
        <f>INDEX([4]DS!C11:AL11,1,3*T!$A$4-2)</f>
        <v>73290.399999999994</v>
      </c>
      <c r="J30" s="300">
        <f>INDEX([4]DS!D11:AM11,1,3*T!$A$4-2)</f>
        <v>778180.39961300022</v>
      </c>
      <c r="K30" s="351">
        <f t="shared" ref="K30:K34" si="10">I30/$I$35</f>
        <v>9.0126049091775351E-2</v>
      </c>
    </row>
    <row r="31" spans="1:16" ht="14.45" customHeight="1" x14ac:dyDescent="0.2">
      <c r="A31" s="291"/>
      <c r="B31" s="291"/>
      <c r="C31" s="256" t="s">
        <v>8</v>
      </c>
      <c r="D31" s="244">
        <f>INDEX([2]DS!B12:AK12,1,3*T!$A$4-2)</f>
        <v>151273</v>
      </c>
      <c r="E31" s="89">
        <f>INDEX([2]DS!C12:AL12,1,3*T!$A$4-2)</f>
        <v>131298.15400000001</v>
      </c>
      <c r="F31" s="96">
        <f>INDEX([2]DS!D12:AM12,1,3*T!$A$4-2)</f>
        <v>1398913.8149999999</v>
      </c>
      <c r="G31" s="333">
        <f t="shared" si="8"/>
        <v>0.1761348729286592</v>
      </c>
      <c r="H31" s="315">
        <f t="shared" si="9"/>
        <v>-1.6885428431155812E-4</v>
      </c>
      <c r="I31" s="299">
        <f>INDEX([4]DS!C12:AL12,1,3*T!$A$4-2)</f>
        <v>131320.32800000001</v>
      </c>
      <c r="J31" s="300">
        <f>INDEX([4]DS!D12:AM12,1,3*T!$A$4-2)</f>
        <v>1394323.2220000001</v>
      </c>
      <c r="K31" s="351">
        <f t="shared" si="10"/>
        <v>0.16148611998400941</v>
      </c>
    </row>
    <row r="32" spans="1:16" ht="14.45" customHeight="1" x14ac:dyDescent="0.2">
      <c r="A32" s="291"/>
      <c r="B32" s="291"/>
      <c r="C32" s="256" t="s">
        <v>9</v>
      </c>
      <c r="D32" s="244">
        <f>INDEX([2]DS!B13:AK13,1,3*T!$A$4-2)</f>
        <v>2144042</v>
      </c>
      <c r="E32" s="89">
        <f>INDEX([2]DS!C13:AL13,1,3*T!$A$4-2)</f>
        <v>285362.8</v>
      </c>
      <c r="F32" s="96">
        <f>INDEX([2]DS!D13:AM13,1,3*T!$A$4-2)</f>
        <v>3040387.5</v>
      </c>
      <c r="G32" s="333">
        <f t="shared" si="8"/>
        <v>0.38281071732787947</v>
      </c>
      <c r="H32" s="315">
        <f t="shared" si="9"/>
        <v>1.174292423312538E-2</v>
      </c>
      <c r="I32" s="299">
        <f>INDEX([4]DS!C13:AL13,1,3*T!$A$4-2)</f>
        <v>282050.7</v>
      </c>
      <c r="J32" s="300">
        <f>INDEX([4]DS!D13:AM13,1,3*T!$A$4-2)</f>
        <v>2994742.3</v>
      </c>
      <c r="K32" s="351">
        <f t="shared" si="10"/>
        <v>0.34684099465372825</v>
      </c>
    </row>
    <row r="33" spans="1:11" ht="14.45" customHeight="1" x14ac:dyDescent="0.2">
      <c r="A33" s="291"/>
      <c r="B33" s="291"/>
      <c r="C33" s="257" t="s">
        <v>201</v>
      </c>
      <c r="D33" s="245">
        <f>SUM(D29:D32)</f>
        <v>2301405</v>
      </c>
      <c r="E33" s="243">
        <f>SUM(E29:E32)</f>
        <v>769293.1540000001</v>
      </c>
      <c r="F33" s="260">
        <f>SUM(F29:F32)</f>
        <v>8196406.2050599996</v>
      </c>
      <c r="G33" s="334">
        <f t="shared" si="8"/>
        <v>1.0319973875998094</v>
      </c>
      <c r="H33" s="316">
        <f>(E33-I33)/I33</f>
        <v>-2.1750911613425152E-2</v>
      </c>
      <c r="I33" s="301">
        <f>SUM(I29:I32)</f>
        <v>786398.02799999993</v>
      </c>
      <c r="J33" s="302">
        <f>SUM(J29:J32)</f>
        <v>8349771.4748790003</v>
      </c>
      <c r="K33" s="352">
        <f t="shared" si="10"/>
        <v>0.96704271333221437</v>
      </c>
    </row>
    <row r="34" spans="1:11" ht="14.45" customHeight="1" x14ac:dyDescent="0.2">
      <c r="A34" s="291"/>
      <c r="B34" s="291"/>
      <c r="C34" s="239" t="s">
        <v>117</v>
      </c>
      <c r="D34" s="248"/>
      <c r="E34" s="173">
        <f>INDEX([2]DS!C14:AL14,1,3*T!$A$4-2)</f>
        <v>-23852.164280829795</v>
      </c>
      <c r="F34" s="173">
        <f>INDEX([2]DS!D14:AM14,1,3*T!$A$4-2)</f>
        <v>-254132.02530000001</v>
      </c>
      <c r="G34" s="333">
        <f t="shared" si="8"/>
        <v>-3.1997387599809357E-2</v>
      </c>
      <c r="H34" s="325">
        <f>(E34-I34)/I34</f>
        <v>-1.8899786398759126</v>
      </c>
      <c r="I34" s="297">
        <f>INDEX([4]DS!C14:AL14,1,3*T!$A$4-2)</f>
        <v>26800.827808806105</v>
      </c>
      <c r="J34" s="298">
        <f>INDEX([4]DS!D14:AM14,1,3*T!$A$4-2)</f>
        <v>284564.27870999998</v>
      </c>
      <c r="K34" s="351">
        <f t="shared" si="10"/>
        <v>3.2957286667785649E-2</v>
      </c>
    </row>
    <row r="35" spans="1:11" ht="14.45" customHeight="1" x14ac:dyDescent="0.2">
      <c r="A35" s="291"/>
      <c r="B35" s="291"/>
      <c r="C35" s="258" t="s">
        <v>2</v>
      </c>
      <c r="D35" s="252">
        <f>D33</f>
        <v>2301405</v>
      </c>
      <c r="E35" s="251">
        <f>SUM(E33:E34)</f>
        <v>745440.98971917026</v>
      </c>
      <c r="F35" s="251">
        <f>SUM(F33:F34)</f>
        <v>7942274.1797599997</v>
      </c>
      <c r="G35" s="335">
        <f>SUM(G33:G34)</f>
        <v>1</v>
      </c>
      <c r="H35" s="317">
        <f>(E35-I35)/I35</f>
        <v>-8.3322628414477934E-2</v>
      </c>
      <c r="I35" s="303">
        <f>SUM(I33:I34)</f>
        <v>813198.85580880602</v>
      </c>
      <c r="J35" s="304">
        <f>SUM(J33:J34)</f>
        <v>8634335.7535890006</v>
      </c>
      <c r="K35" s="353">
        <f>SUM(K33:K34)</f>
        <v>1</v>
      </c>
    </row>
    <row r="36" spans="1:11" ht="14.45" customHeight="1" x14ac:dyDescent="0.2">
      <c r="A36" s="95"/>
      <c r="B36" s="95"/>
      <c r="C36" s="95"/>
      <c r="D36" s="246"/>
      <c r="E36" s="95"/>
      <c r="F36" s="95"/>
      <c r="G36" s="342"/>
      <c r="H36" s="326"/>
      <c r="I36" s="287"/>
      <c r="J36" s="308"/>
      <c r="K36" s="357"/>
    </row>
    <row r="37" spans="1:11" ht="14.45" customHeight="1" x14ac:dyDescent="0.2">
      <c r="A37" s="830" t="s">
        <v>86</v>
      </c>
      <c r="B37" s="830"/>
      <c r="C37" s="240"/>
      <c r="D37" s="255"/>
      <c r="E37" s="240"/>
      <c r="F37" s="240"/>
      <c r="G37" s="343"/>
      <c r="H37" s="327"/>
      <c r="I37" s="288"/>
      <c r="J37" s="300"/>
      <c r="K37" s="358"/>
    </row>
    <row r="38" spans="1:11" ht="14.45" customHeight="1" x14ac:dyDescent="0.2">
      <c r="A38" s="95"/>
      <c r="B38" s="95"/>
      <c r="C38" s="256" t="s">
        <v>6</v>
      </c>
      <c r="D38" s="244">
        <f>INDEX([2]DS!B17:AK17,1,3*T!$A$4-2)</f>
        <v>135</v>
      </c>
      <c r="E38" s="89">
        <f>INDEX([2]DS!C17:AL17,1,3*T!$A$4-2)</f>
        <v>11427.215</v>
      </c>
      <c r="F38" s="96">
        <f>INDEX([2]DS!D17:AM17,1,3*T!$A$4-2)</f>
        <v>121614.04399999999</v>
      </c>
      <c r="G38" s="333">
        <f>E38/$E$44</f>
        <v>0.32431943583386752</v>
      </c>
      <c r="H38" s="315">
        <f>(E38-I38)/I38</f>
        <v>-3.4357369610910155E-2</v>
      </c>
      <c r="I38" s="299">
        <f>INDEX([4]DS!C17:AL17,1,3*T!$A$4-2)</f>
        <v>11833.793000000001</v>
      </c>
      <c r="J38" s="300">
        <f>INDEX([4]DS!D17:AM17,1,3*T!$A$4-2)</f>
        <v>125473.40100000001</v>
      </c>
      <c r="K38" s="351">
        <f>I38/$I$44</f>
        <v>0.30169100075490357</v>
      </c>
    </row>
    <row r="39" spans="1:11" ht="14.45" customHeight="1" x14ac:dyDescent="0.2">
      <c r="A39" s="95"/>
      <c r="B39" s="95"/>
      <c r="C39" s="256" t="s">
        <v>7</v>
      </c>
      <c r="D39" s="244">
        <f>INDEX([2]DS!B18:AK18,1,3*T!$A$4-2)</f>
        <v>352</v>
      </c>
      <c r="E39" s="89">
        <f>INDEX([2]DS!C18:AL18,1,3*T!$A$4-2)</f>
        <v>2370.61</v>
      </c>
      <c r="F39" s="96">
        <f>INDEX([2]DS!D18:AM18,1,3*T!$A$4-2)</f>
        <v>25229.217000000001</v>
      </c>
      <c r="G39" s="333">
        <f t="shared" ref="G39:G43" si="11">E39/$E$44</f>
        <v>6.7281038974249169E-2</v>
      </c>
      <c r="H39" s="315">
        <f t="shared" ref="H39:H41" si="12">(E39-I39)/I39</f>
        <v>-5.3945925970563219E-2</v>
      </c>
      <c r="I39" s="299">
        <f>INDEX([4]DS!C18:AL18,1,3*T!$A$4-2)</f>
        <v>2505.7869999999998</v>
      </c>
      <c r="J39" s="300">
        <f>INDEX([4]DS!D18:AM18,1,3*T!$A$4-2)</f>
        <v>26568.758999999998</v>
      </c>
      <c r="K39" s="351">
        <f t="shared" ref="K39:K43" si="13">I39/$I$44</f>
        <v>6.3882593493787443E-2</v>
      </c>
    </row>
    <row r="40" spans="1:11" ht="14.45" customHeight="1" x14ac:dyDescent="0.2">
      <c r="A40" s="291"/>
      <c r="B40" s="831"/>
      <c r="C40" s="256" t="s">
        <v>8</v>
      </c>
      <c r="D40" s="244">
        <f>INDEX([2]DS!B19:AK19,1,3*T!$A$4-2)</f>
        <v>9790</v>
      </c>
      <c r="E40" s="89">
        <f>INDEX([2]DS!C19:AL19,1,3*T!$A$4-2)</f>
        <v>6679.0376660000002</v>
      </c>
      <c r="F40" s="96">
        <f>INDEX([2]DS!D19:AM19,1,3*T!$A$4-2)</f>
        <v>71081.381181999997</v>
      </c>
      <c r="G40" s="333">
        <f t="shared" si="11"/>
        <v>0.18955989956872882</v>
      </c>
      <c r="H40" s="315">
        <f t="shared" si="12"/>
        <v>-0.13927188005682645</v>
      </c>
      <c r="I40" s="299">
        <f>INDEX([4]DS!C19:AL19,1,3*T!$A$4-2)</f>
        <v>7759.7530639999995</v>
      </c>
      <c r="J40" s="300">
        <f>INDEX([4]DS!D19:AM19,1,3*T!$A$4-2)</f>
        <v>82275.062674000001</v>
      </c>
      <c r="K40" s="351">
        <f t="shared" si="13"/>
        <v>0.19782732953746013</v>
      </c>
    </row>
    <row r="41" spans="1:11" ht="14.45" customHeight="1" x14ac:dyDescent="0.2">
      <c r="A41" s="291"/>
      <c r="B41" s="831"/>
      <c r="C41" s="256" t="s">
        <v>9</v>
      </c>
      <c r="D41" s="244">
        <f>INDEX([2]DS!B20:AK20,1,3*T!$A$4-2)</f>
        <v>103499</v>
      </c>
      <c r="E41" s="89">
        <f>INDEX([2]DS!C20:AL20,1,3*T!$A$4-2)</f>
        <v>14063.315333999999</v>
      </c>
      <c r="F41" s="96">
        <f>INDEX([2]DS!D20:AM20,1,3*T!$A$4-2)</f>
        <v>149668.24981800001</v>
      </c>
      <c r="G41" s="333">
        <f t="shared" si="11"/>
        <v>0.39913544070682649</v>
      </c>
      <c r="H41" s="315">
        <f t="shared" si="12"/>
        <v>-0.1392718800568265</v>
      </c>
      <c r="I41" s="299">
        <f>INDEX([4]DS!C20:AL20,1,3*T!$A$4-2)</f>
        <v>16338.858935999999</v>
      </c>
      <c r="J41" s="300">
        <f>INDEX([4]DS!D20:AM20,1,3*T!$A$4-2)</f>
        <v>173237.55432599998</v>
      </c>
      <c r="K41" s="351">
        <f t="shared" si="13"/>
        <v>0.41654325908819245</v>
      </c>
    </row>
    <row r="42" spans="1:11" ht="14.45" customHeight="1" x14ac:dyDescent="0.2">
      <c r="A42" s="291"/>
      <c r="B42" s="831"/>
      <c r="C42" s="257" t="s">
        <v>201</v>
      </c>
      <c r="D42" s="245">
        <f>SUM(D38:D41)</f>
        <v>113776</v>
      </c>
      <c r="E42" s="243">
        <f>SUM(E38:E41)</f>
        <v>34540.178</v>
      </c>
      <c r="F42" s="260">
        <f>SUM(F38:F41)</f>
        <v>367592.89199999999</v>
      </c>
      <c r="G42" s="334">
        <f t="shared" si="11"/>
        <v>0.98029581508367203</v>
      </c>
      <c r="H42" s="316">
        <f>(E42-I42)/I42</f>
        <v>-0.10140992063310372</v>
      </c>
      <c r="I42" s="301">
        <f>SUM(I38:I41)</f>
        <v>38438.192000000003</v>
      </c>
      <c r="J42" s="302">
        <f>SUM(J38:J41)</f>
        <v>407554.777</v>
      </c>
      <c r="K42" s="352">
        <f t="shared" si="13"/>
        <v>0.97994418287434371</v>
      </c>
    </row>
    <row r="43" spans="1:11" ht="14.45" customHeight="1" x14ac:dyDescent="0.2">
      <c r="A43" s="291"/>
      <c r="B43" s="831"/>
      <c r="C43" s="239" t="s">
        <v>117</v>
      </c>
      <c r="D43" s="248"/>
      <c r="E43" s="173">
        <f>INDEX([2]DS!C21:AL21,1,3*T!$A$4-2)</f>
        <v>694.26599999999996</v>
      </c>
      <c r="F43" s="173">
        <f>INDEX([2]DS!D21:AM21,1,3*T!$A$4-2)</f>
        <v>7388.7269999999999</v>
      </c>
      <c r="G43" s="333">
        <f t="shared" si="11"/>
        <v>1.9704184916327895E-2</v>
      </c>
      <c r="H43" s="325">
        <f>(E43-I43)/I43</f>
        <v>-0.11748128544135095</v>
      </c>
      <c r="I43" s="297">
        <f>INDEX([4]DS!C21:AL21,1,3*T!$A$4-2)</f>
        <v>786.68700000000001</v>
      </c>
      <c r="J43" s="298">
        <f>INDEX([4]DS!D21:AM21,1,3*T!$A$4-2)</f>
        <v>8341.0550000000003</v>
      </c>
      <c r="K43" s="351">
        <f t="shared" si="13"/>
        <v>2.0055817125656399E-2</v>
      </c>
    </row>
    <row r="44" spans="1:11" ht="14.45" customHeight="1" x14ac:dyDescent="0.2">
      <c r="A44" s="291"/>
      <c r="B44" s="831"/>
      <c r="C44" s="258" t="s">
        <v>2</v>
      </c>
      <c r="D44" s="252">
        <f>D42</f>
        <v>113776</v>
      </c>
      <c r="E44" s="251">
        <f>SUM(E42:E43)</f>
        <v>35234.444000000003</v>
      </c>
      <c r="F44" s="251">
        <f>SUM(F42:F43)</f>
        <v>374981.61900000001</v>
      </c>
      <c r="G44" s="335">
        <f>SUM(G42:G43)</f>
        <v>0.99999999999999989</v>
      </c>
      <c r="H44" s="317">
        <f>(E44-I44)/I44</f>
        <v>-0.10173224498665752</v>
      </c>
      <c r="I44" s="303">
        <f>SUM(I42:I43)</f>
        <v>39224.879000000001</v>
      </c>
      <c r="J44" s="304">
        <f>SUM(J42:J43)</f>
        <v>415895.83199999999</v>
      </c>
      <c r="K44" s="353">
        <f>SUM(K42:K43)</f>
        <v>1</v>
      </c>
    </row>
    <row r="45" spans="1:11" ht="14.45" customHeight="1" x14ac:dyDescent="0.2">
      <c r="A45" s="291"/>
      <c r="B45" s="831"/>
      <c r="C45" s="291"/>
      <c r="D45" s="309"/>
      <c r="E45" s="305"/>
      <c r="F45" s="305"/>
      <c r="G45" s="344"/>
      <c r="H45" s="328"/>
      <c r="I45" s="310"/>
      <c r="J45" s="308"/>
      <c r="K45" s="359"/>
    </row>
    <row r="46" spans="1:11" ht="14.45" customHeight="1" x14ac:dyDescent="0.2">
      <c r="A46" s="830" t="s">
        <v>209</v>
      </c>
      <c r="B46" s="830"/>
      <c r="C46" s="240"/>
      <c r="D46" s="238"/>
      <c r="E46" s="832"/>
      <c r="F46" s="830"/>
      <c r="G46" s="345"/>
      <c r="H46" s="327"/>
      <c r="I46" s="289"/>
      <c r="J46" s="311"/>
      <c r="K46" s="360"/>
    </row>
    <row r="47" spans="1:11" ht="14.45" customHeight="1" x14ac:dyDescent="0.2">
      <c r="A47" s="833" t="s">
        <v>203</v>
      </c>
      <c r="B47" s="833"/>
      <c r="C47" s="256" t="s">
        <v>6</v>
      </c>
      <c r="D47" s="248">
        <f>INDEX([2]DS!B26:AK26,1,3*T!$A$4-2)</f>
        <v>11</v>
      </c>
      <c r="E47" s="247">
        <f>INDEX([2]DS!C26:AL26,1,3*T!$A$4-2)</f>
        <v>11438.978999999999</v>
      </c>
      <c r="F47" s="173">
        <f>INDEX([2]DS!D26:AM26,1,3*T!$A$4-2)</f>
        <v>121652.99400000001</v>
      </c>
      <c r="G47" s="346">
        <f>E47/$E$51</f>
        <v>0.87148382220905041</v>
      </c>
      <c r="H47" s="315">
        <f t="shared" ref="H47:H51" si="14">(E47-I47)/I47</f>
        <v>3.1382048644888259</v>
      </c>
      <c r="I47" s="299">
        <f>INDEX([4]DS!C26:AL26,1,3*T!$A$4-2)</f>
        <v>2764.2370000000001</v>
      </c>
      <c r="J47" s="300">
        <f>INDEX([4]DS!D26:AM26,1,3*T!$A$4-2)</f>
        <v>29257.933000000001</v>
      </c>
      <c r="K47" s="361">
        <f>I47/$I$51</f>
        <v>0.56295079042593221</v>
      </c>
    </row>
    <row r="48" spans="1:11" ht="14.45" customHeight="1" x14ac:dyDescent="0.2">
      <c r="A48" s="833" t="s">
        <v>204</v>
      </c>
      <c r="B48" s="833"/>
      <c r="C48" s="256" t="s">
        <v>201</v>
      </c>
      <c r="D48" s="248">
        <f>INDEX([2]DS!B32:AK32,1,3*T!$A$4-2)</f>
        <v>160</v>
      </c>
      <c r="E48" s="247">
        <f>INDEX([2]DS!C32:AL32,1,3*T!$A$4-2)</f>
        <v>1349.1279999999999</v>
      </c>
      <c r="F48" s="173">
        <f>INDEX([2]DS!D32:AM32,1,3*T!$A$4-2)</f>
        <v>14159.351999999999</v>
      </c>
      <c r="G48" s="346">
        <f t="shared" ref="G48:G50" si="15">E48/$E$51</f>
        <v>0.10278393081141698</v>
      </c>
      <c r="H48" s="315">
        <f t="shared" si="14"/>
        <v>6.883251743063963E-4</v>
      </c>
      <c r="I48" s="299">
        <f>INDEX([4]DS!C32:AL32,1,3*T!$A$4-2)</f>
        <v>1348.2</v>
      </c>
      <c r="J48" s="300">
        <f>INDEX([4]DS!D32:AM32,1,3*T!$A$4-2)</f>
        <v>14139.499999999998</v>
      </c>
      <c r="K48" s="361">
        <f>I48/$I$51</f>
        <v>0.2745677218169939</v>
      </c>
    </row>
    <row r="49" spans="1:11" ht="14.45" customHeight="1" x14ac:dyDescent="0.2">
      <c r="A49" s="329"/>
      <c r="B49" s="329"/>
      <c r="C49" s="257" t="s">
        <v>201</v>
      </c>
      <c r="D49" s="245">
        <f>SUM(D47:D48)</f>
        <v>171</v>
      </c>
      <c r="E49" s="243">
        <f>SUM(E47:E48)</f>
        <v>12788.107</v>
      </c>
      <c r="F49" s="260">
        <f>SUM(F47:F48)</f>
        <v>135812.34600000002</v>
      </c>
      <c r="G49" s="334">
        <f t="shared" si="15"/>
        <v>0.97426775302046753</v>
      </c>
      <c r="H49" s="316">
        <f t="shared" si="14"/>
        <v>2.1096177278825183</v>
      </c>
      <c r="I49" s="301">
        <f>SUM(I47:I48)</f>
        <v>4112.4369999999999</v>
      </c>
      <c r="J49" s="302">
        <f>SUM(J47:J48)</f>
        <v>43397.432999999997</v>
      </c>
      <c r="K49" s="352">
        <f t="shared" ref="K49:K50" si="16">I49/$I$51</f>
        <v>0.83751851224292606</v>
      </c>
    </row>
    <row r="50" spans="1:11" ht="14.45" customHeight="1" x14ac:dyDescent="0.2">
      <c r="A50" s="833" t="s">
        <v>208</v>
      </c>
      <c r="B50" s="833"/>
      <c r="C50" s="256" t="s">
        <v>163</v>
      </c>
      <c r="D50" s="248"/>
      <c r="E50" s="247">
        <f>INDEX([2]DS!C34:AL34,1,3*T!$A$4-2)</f>
        <v>337.75800000000163</v>
      </c>
      <c r="F50" s="173">
        <f>INDEX([2]DS!D34:AM34,1,3*T!$A$4-2)</f>
        <v>3601.0265000000072</v>
      </c>
      <c r="G50" s="346">
        <f t="shared" si="15"/>
        <v>2.5732246979532518E-2</v>
      </c>
      <c r="H50" s="315">
        <f t="shared" si="14"/>
        <v>-0.57665258257742447</v>
      </c>
      <c r="I50" s="297">
        <f>INDEX([4]DS!C34:AL34,1,3*T!$A$4-2)</f>
        <v>797.82700000000114</v>
      </c>
      <c r="J50" s="298">
        <f>INDEX([4]DS!D34:AM34,1,3*T!$A$4-2)</f>
        <v>8723.7220199999574</v>
      </c>
      <c r="K50" s="361">
        <f t="shared" si="16"/>
        <v>0.16248148775707394</v>
      </c>
    </row>
    <row r="51" spans="1:11" ht="14.45" customHeight="1" x14ac:dyDescent="0.2">
      <c r="A51" s="312"/>
      <c r="B51" s="312"/>
      <c r="C51" s="258" t="s">
        <v>2</v>
      </c>
      <c r="D51" s="252">
        <f>D49</f>
        <v>171</v>
      </c>
      <c r="E51" s="250">
        <f>SUM(E49:E50)</f>
        <v>13125.865000000002</v>
      </c>
      <c r="F51" s="251">
        <f>SUM(F49:F50)</f>
        <v>139413.37250000003</v>
      </c>
      <c r="G51" s="335">
        <f>SUM(G49:G50)</f>
        <v>1</v>
      </c>
      <c r="H51" s="317">
        <f t="shared" si="14"/>
        <v>1.6731485313213299</v>
      </c>
      <c r="I51" s="290">
        <f>SUM(I49:I50)</f>
        <v>4910.264000000001</v>
      </c>
      <c r="J51" s="261">
        <f>SUM(J49:J50)</f>
        <v>52121.155019999955</v>
      </c>
      <c r="K51" s="353">
        <f>SUM(K49:K50)</f>
        <v>1</v>
      </c>
    </row>
    <row r="52" spans="1:11" ht="14.45" customHeight="1" x14ac:dyDescent="0.2">
      <c r="A52" s="312"/>
      <c r="B52" s="312"/>
      <c r="C52" s="239"/>
      <c r="D52" s="248"/>
      <c r="E52" s="247"/>
      <c r="F52" s="173"/>
      <c r="G52" s="347"/>
      <c r="H52" s="266"/>
      <c r="I52" s="288"/>
      <c r="J52" s="300"/>
      <c r="K52" s="362"/>
    </row>
    <row r="53" spans="1:11" ht="14.45" customHeight="1" x14ac:dyDescent="0.2">
      <c r="A53" s="312"/>
      <c r="B53" s="312"/>
      <c r="C53" s="239"/>
      <c r="D53" s="173"/>
      <c r="E53" s="173"/>
      <c r="F53" s="173"/>
      <c r="G53" s="173"/>
      <c r="H53" s="95"/>
      <c r="I53" s="288"/>
      <c r="J53" s="300"/>
      <c r="K53" s="313"/>
    </row>
    <row r="54" spans="1:11" ht="15.75" customHeight="1" x14ac:dyDescent="0.2">
      <c r="A54" s="62"/>
      <c r="B54" s="242"/>
      <c r="C54" s="242"/>
      <c r="D54" s="242"/>
      <c r="E54" s="242"/>
      <c r="F54" s="242"/>
      <c r="G54" s="242"/>
      <c r="H54" s="242"/>
      <c r="I54" s="87"/>
      <c r="J54" s="242"/>
    </row>
    <row r="55" spans="1:11" ht="15" customHeight="1" x14ac:dyDescent="0.2">
      <c r="A55" s="801" t="s">
        <v>296</v>
      </c>
      <c r="B55" s="801"/>
      <c r="C55" s="801"/>
      <c r="D55" s="801"/>
      <c r="E55" s="801"/>
      <c r="F55" s="801"/>
      <c r="G55" s="801"/>
      <c r="H55" s="801"/>
      <c r="I55" s="801"/>
      <c r="J55" s="801"/>
      <c r="K55" s="801"/>
    </row>
    <row r="56" spans="1:11" ht="15" customHeight="1" x14ac:dyDescent="0.2">
      <c r="A56" s="801"/>
      <c r="B56" s="801"/>
      <c r="C56" s="801"/>
      <c r="D56" s="801"/>
      <c r="E56" s="801"/>
      <c r="F56" s="801"/>
      <c r="G56" s="801"/>
      <c r="H56" s="801"/>
      <c r="I56" s="801"/>
      <c r="J56" s="801"/>
      <c r="K56" s="801"/>
    </row>
    <row r="57" spans="1:11" ht="15" customHeight="1" x14ac:dyDescent="0.2">
      <c r="A57" s="801"/>
      <c r="B57" s="801"/>
      <c r="C57" s="801"/>
      <c r="D57" s="801"/>
      <c r="E57" s="801"/>
      <c r="F57" s="801"/>
      <c r="G57" s="801"/>
      <c r="H57" s="801"/>
      <c r="I57" s="801"/>
      <c r="J57" s="801"/>
      <c r="K57" s="801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  <mergeCell ref="A28:B28"/>
    <mergeCell ref="A29:B30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 t="s">
        <v>245</v>
      </c>
      <c r="K1" s="829"/>
    </row>
    <row r="2" spans="1:17" ht="6.75" customHeight="1" x14ac:dyDescent="0.2"/>
    <row r="3" spans="1:17" ht="30" customHeight="1" x14ac:dyDescent="0.2">
      <c r="A3" s="837" t="s">
        <v>280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 t="str">
        <f>T!G19</f>
        <v>Prosinec</v>
      </c>
      <c r="E4" s="836"/>
      <c r="F4" s="223">
        <f>T!I21</f>
        <v>2015</v>
      </c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D4</f>
        <v>Prosinec</v>
      </c>
      <c r="F7" s="264">
        <f>F4</f>
        <v>2015</v>
      </c>
      <c r="G7" s="264"/>
      <c r="H7" s="840"/>
      <c r="I7" s="279" t="str">
        <f>D4</f>
        <v>Prosinec</v>
      </c>
      <c r="J7" s="259">
        <f>F4-1</f>
        <v>2014</v>
      </c>
      <c r="K7" s="273"/>
    </row>
    <row r="8" spans="1:17" ht="14.1" customHeight="1" x14ac:dyDescent="0.2">
      <c r="A8" s="277"/>
      <c r="B8" s="371"/>
      <c r="C8" s="844" t="s">
        <v>95</v>
      </c>
      <c r="D8" s="825"/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372"/>
      <c r="C9" s="84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4.45" customHeight="1" x14ac:dyDescent="0.2">
      <c r="A10" s="842" t="s">
        <v>4</v>
      </c>
      <c r="B10" s="842"/>
      <c r="C10" s="364"/>
      <c r="D10" s="253"/>
      <c r="E10" s="364"/>
      <c r="F10" s="364"/>
      <c r="G10" s="332"/>
      <c r="H10" s="314"/>
      <c r="I10" s="281"/>
      <c r="J10" s="364"/>
      <c r="K10" s="350"/>
    </row>
    <row r="11" spans="1:17" ht="14.45" customHeight="1" x14ac:dyDescent="0.2">
      <c r="A11" s="95"/>
      <c r="B11" s="95"/>
      <c r="C11" s="847" t="s">
        <v>72</v>
      </c>
      <c r="D11" s="848"/>
      <c r="E11" s="96">
        <f>'5'!E26</f>
        <v>109171.41700001099</v>
      </c>
      <c r="F11" s="96">
        <f>'5'!F26</f>
        <v>1160090.492643117</v>
      </c>
      <c r="G11" s="333">
        <f>E11/$E$15</f>
        <v>0.12090223225965402</v>
      </c>
      <c r="H11" s="315">
        <f>(E11-I11)/I11</f>
        <v>-0.16357403906535187</v>
      </c>
      <c r="I11" s="282">
        <f>'5'!I26</f>
        <v>130521.31581140724</v>
      </c>
      <c r="J11" s="96">
        <f>'5'!J26</f>
        <v>1380931.5013640779</v>
      </c>
      <c r="K11" s="351">
        <f>I11/$I$15</f>
        <v>0.13212594382972664</v>
      </c>
    </row>
    <row r="12" spans="1:17" ht="14.45" customHeight="1" x14ac:dyDescent="0.2">
      <c r="A12" s="95"/>
      <c r="B12" s="95"/>
      <c r="C12" s="847" t="s">
        <v>73</v>
      </c>
      <c r="D12" s="848"/>
      <c r="E12" s="96">
        <f>'5'!E35</f>
        <v>745440.98971917026</v>
      </c>
      <c r="F12" s="96">
        <f>'5'!F35</f>
        <v>7942274.1797599997</v>
      </c>
      <c r="G12" s="333">
        <f>E12/$E$15</f>
        <v>0.82554099004581405</v>
      </c>
      <c r="H12" s="315">
        <f t="shared" ref="H12:H13" si="0">(E12-I12)/I12</f>
        <v>-8.3322628414477934E-2</v>
      </c>
      <c r="I12" s="282">
        <f>'5'!I35</f>
        <v>813198.85580880602</v>
      </c>
      <c r="J12" s="96">
        <f>'5'!J35</f>
        <v>8634335.7535890006</v>
      </c>
      <c r="K12" s="351">
        <f>I12/$I$15</f>
        <v>0.823196316073316</v>
      </c>
      <c r="L12" s="283"/>
      <c r="M12" s="283"/>
      <c r="O12" s="283"/>
      <c r="P12" s="283"/>
      <c r="Q12" s="283"/>
    </row>
    <row r="13" spans="1:17" ht="14.45" customHeight="1" x14ac:dyDescent="0.2">
      <c r="A13" s="291"/>
      <c r="B13" s="267"/>
      <c r="C13" s="847" t="s">
        <v>74</v>
      </c>
      <c r="D13" s="848"/>
      <c r="E13" s="96">
        <f>'5'!E44</f>
        <v>35234.444000000003</v>
      </c>
      <c r="F13" s="96">
        <f>'5'!F44</f>
        <v>374981.61900000001</v>
      </c>
      <c r="G13" s="333">
        <f>E13/$E$15</f>
        <v>3.9020496839638388E-2</v>
      </c>
      <c r="H13" s="315">
        <f t="shared" si="0"/>
        <v>-0.10173224498665752</v>
      </c>
      <c r="I13" s="282">
        <f>'5'!I44</f>
        <v>39224.879000000001</v>
      </c>
      <c r="J13" s="96">
        <f>'5'!J44</f>
        <v>415895.83199999999</v>
      </c>
      <c r="K13" s="351">
        <f>I13/$I$15</f>
        <v>3.9707109350401414E-2</v>
      </c>
      <c r="L13" s="283"/>
      <c r="M13" s="283"/>
      <c r="O13" s="283"/>
      <c r="P13" s="283"/>
      <c r="Q13" s="283"/>
    </row>
    <row r="14" spans="1:17" ht="14.45" customHeight="1" x14ac:dyDescent="0.2">
      <c r="A14" s="291"/>
      <c r="B14" s="267"/>
      <c r="C14" s="847" t="s">
        <v>164</v>
      </c>
      <c r="D14" s="848"/>
      <c r="E14" s="96">
        <f>'5'!E51</f>
        <v>13125.865000000002</v>
      </c>
      <c r="F14" s="96">
        <f>'5'!F51</f>
        <v>139413.37250000003</v>
      </c>
      <c r="G14" s="333">
        <f>E14/$E$15</f>
        <v>1.4536280854893585E-2</v>
      </c>
      <c r="H14" s="315">
        <f>(E14-I14)/I14</f>
        <v>1.6731485313213299</v>
      </c>
      <c r="I14" s="282">
        <f>'5'!I51</f>
        <v>4910.264000000001</v>
      </c>
      <c r="J14" s="96">
        <f>'5'!J51</f>
        <v>52121.155019999955</v>
      </c>
      <c r="K14" s="351">
        <f>I14/$I$15</f>
        <v>4.9706307465560186E-3</v>
      </c>
      <c r="L14" s="283"/>
      <c r="M14" s="283"/>
      <c r="O14" s="283"/>
      <c r="P14" s="283"/>
      <c r="Q14" s="283"/>
    </row>
    <row r="15" spans="1:17" ht="14.45" customHeight="1" x14ac:dyDescent="0.2">
      <c r="A15" s="291"/>
      <c r="B15" s="267"/>
      <c r="C15" s="849" t="s">
        <v>5</v>
      </c>
      <c r="D15" s="850"/>
      <c r="E15" s="250">
        <f>SUM(E11:E14)</f>
        <v>902972.71571918123</v>
      </c>
      <c r="F15" s="251">
        <f>SUM(F11:F14)</f>
        <v>9616759.6639031172</v>
      </c>
      <c r="G15" s="335">
        <f>SUM(G11:G14)</f>
        <v>1</v>
      </c>
      <c r="H15" s="317">
        <f>(E15-I15)/I15</f>
        <v>-8.5926144896700404E-2</v>
      </c>
      <c r="I15" s="285">
        <f>SUM(I11:I14)</f>
        <v>987855.31462021323</v>
      </c>
      <c r="J15" s="251">
        <f>SUM(J11:J14)</f>
        <v>10483284.24197308</v>
      </c>
      <c r="K15" s="353">
        <f>SUM(K11:K14)</f>
        <v>1.0000000000000002</v>
      </c>
      <c r="L15" s="283"/>
      <c r="M15" s="790"/>
      <c r="O15" s="283"/>
      <c r="P15" s="283"/>
      <c r="Q15" s="283"/>
    </row>
    <row r="16" spans="1:17" ht="14.45" customHeight="1" x14ac:dyDescent="0.2">
      <c r="A16" s="291"/>
      <c r="B16" s="267"/>
      <c r="C16" s="256"/>
      <c r="D16" s="375"/>
      <c r="E16" s="376"/>
      <c r="F16" s="376"/>
      <c r="G16" s="377"/>
      <c r="H16" s="378"/>
      <c r="I16" s="379"/>
      <c r="J16" s="376"/>
      <c r="K16" s="380"/>
      <c r="L16" s="283"/>
      <c r="M16" s="283"/>
      <c r="O16" s="283"/>
      <c r="P16" s="283"/>
      <c r="Q16" s="283"/>
    </row>
    <row r="17" spans="1:16" ht="14.45" customHeight="1" x14ac:dyDescent="0.2">
      <c r="A17" s="838"/>
      <c r="B17" s="838"/>
      <c r="C17" s="838"/>
      <c r="D17" s="296"/>
      <c r="E17" s="174"/>
      <c r="F17" s="174"/>
      <c r="G17" s="337"/>
      <c r="H17" s="319"/>
      <c r="I17" s="297"/>
      <c r="J17" s="298"/>
      <c r="K17" s="355"/>
      <c r="L17" s="283"/>
      <c r="M17" s="283"/>
    </row>
    <row r="18" spans="1:16" ht="6" customHeight="1" x14ac:dyDescent="0.2">
      <c r="A18" s="95"/>
      <c r="B18" s="95"/>
      <c r="C18" s="256"/>
      <c r="D18" s="96"/>
      <c r="E18" s="96"/>
      <c r="F18" s="96"/>
      <c r="G18" s="381"/>
      <c r="H18" s="382"/>
      <c r="I18" s="300"/>
      <c r="J18" s="300"/>
      <c r="K18" s="383"/>
      <c r="L18" s="283"/>
      <c r="M18" s="283"/>
      <c r="N18" s="283"/>
    </row>
    <row r="19" spans="1:16" ht="14.45" customHeight="1" x14ac:dyDescent="0.2">
      <c r="A19" s="824" t="s">
        <v>226</v>
      </c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286"/>
      <c r="M19" s="286"/>
      <c r="N19" s="283"/>
    </row>
    <row r="20" spans="1:16" ht="14.45" customHeight="1" x14ac:dyDescent="0.2">
      <c r="A20" s="174"/>
      <c r="B20" s="852"/>
      <c r="C20" s="366"/>
      <c r="D20" s="173"/>
      <c r="E20" s="851" t="str">
        <f>E7</f>
        <v>Prosinec</v>
      </c>
      <c r="F20" s="851"/>
      <c r="G20" s="386"/>
      <c r="H20" s="384"/>
      <c r="I20" s="298"/>
      <c r="J20" s="298"/>
      <c r="K20" s="387"/>
      <c r="L20" s="283"/>
      <c r="M20" s="283"/>
      <c r="N20" s="283"/>
      <c r="O20" s="283"/>
      <c r="P20" s="283"/>
    </row>
    <row r="21" spans="1:16" ht="14.45" customHeight="1" x14ac:dyDescent="0.2">
      <c r="A21" s="174"/>
      <c r="B21" s="852"/>
      <c r="C21" s="366"/>
      <c r="D21" s="173"/>
      <c r="E21" s="482">
        <f>F7</f>
        <v>2015</v>
      </c>
      <c r="F21" s="483">
        <f>J7</f>
        <v>2014</v>
      </c>
      <c r="H21" s="384"/>
      <c r="I21" s="298"/>
      <c r="J21" s="298"/>
      <c r="K21" s="387"/>
      <c r="L21" s="283"/>
      <c r="M21" s="283"/>
      <c r="N21" s="283"/>
      <c r="O21" s="283"/>
      <c r="P21" s="283"/>
    </row>
    <row r="22" spans="1:16" ht="14.45" customHeight="1" x14ac:dyDescent="0.2">
      <c r="A22" s="174"/>
      <c r="B22" s="852"/>
      <c r="C22" s="366"/>
      <c r="D22" s="173" t="str">
        <f>C11</f>
        <v>PP Distribuce</v>
      </c>
      <c r="E22" s="173">
        <f>E11</f>
        <v>109171.41700001099</v>
      </c>
      <c r="F22" s="481">
        <f>I11</f>
        <v>130521.31581140724</v>
      </c>
      <c r="H22" s="384"/>
      <c r="I22" s="298"/>
      <c r="J22" s="298"/>
      <c r="K22" s="387"/>
      <c r="L22" s="283"/>
      <c r="M22" s="283"/>
      <c r="N22" s="283"/>
      <c r="O22" s="283"/>
      <c r="P22" s="283"/>
    </row>
    <row r="23" spans="1:16" ht="14.45" customHeight="1" x14ac:dyDescent="0.2">
      <c r="A23" s="174"/>
      <c r="B23" s="852"/>
      <c r="C23" s="366"/>
      <c r="D23" s="173" t="str">
        <f>C12</f>
        <v>RWE GasNet</v>
      </c>
      <c r="E23" s="173">
        <f>E12</f>
        <v>745440.98971917026</v>
      </c>
      <c r="F23" s="481">
        <f>I12</f>
        <v>813198.85580880602</v>
      </c>
      <c r="H23" s="384"/>
      <c r="I23" s="298"/>
      <c r="J23" s="298"/>
      <c r="K23" s="387"/>
      <c r="L23" s="283"/>
      <c r="M23" s="283"/>
      <c r="N23" s="283"/>
      <c r="O23" s="283"/>
      <c r="P23" s="283"/>
    </row>
    <row r="24" spans="1:16" ht="14.45" customHeight="1" x14ac:dyDescent="0.2">
      <c r="A24" s="174"/>
      <c r="B24" s="852"/>
      <c r="C24" s="366"/>
      <c r="D24" s="173" t="str">
        <f>C13</f>
        <v>E.ON Distribuce</v>
      </c>
      <c r="E24" s="173">
        <f>E13</f>
        <v>35234.444000000003</v>
      </c>
      <c r="F24" s="481">
        <f>I13</f>
        <v>39224.879000000001</v>
      </c>
      <c r="H24" s="384"/>
      <c r="I24" s="298"/>
      <c r="J24" s="298"/>
      <c r="K24" s="387"/>
      <c r="L24" s="283"/>
      <c r="M24" s="283"/>
      <c r="N24" s="283"/>
      <c r="O24" s="283"/>
      <c r="P24" s="283"/>
    </row>
    <row r="25" spans="1:16" ht="14.45" customHeight="1" x14ac:dyDescent="0.2">
      <c r="A25" s="174"/>
      <c r="B25" s="852"/>
      <c r="C25" s="174"/>
      <c r="D25" s="173" t="str">
        <f>C14</f>
        <v>Ostatní společnosti</v>
      </c>
      <c r="E25" s="173">
        <f>E14</f>
        <v>13125.865000000002</v>
      </c>
      <c r="F25" s="481">
        <f>I14</f>
        <v>4910.264000000001</v>
      </c>
      <c r="H25" s="385"/>
      <c r="I25" s="298"/>
      <c r="J25" s="298"/>
      <c r="K25" s="174"/>
      <c r="L25" s="286"/>
      <c r="N25" s="283"/>
      <c r="O25" s="283"/>
      <c r="P25" s="283"/>
    </row>
    <row r="26" spans="1:16" ht="14.45" customHeight="1" x14ac:dyDescent="0.2">
      <c r="A26" s="846"/>
      <c r="B26" s="846"/>
      <c r="C26" s="174"/>
      <c r="D26" s="174"/>
      <c r="E26" s="174"/>
      <c r="F26" s="174"/>
      <c r="G26" s="174"/>
      <c r="H26" s="385"/>
      <c r="I26" s="298"/>
      <c r="J26" s="298"/>
      <c r="K26" s="174"/>
      <c r="L26" s="286"/>
      <c r="N26" s="283"/>
      <c r="O26" s="283"/>
      <c r="P26" s="283"/>
    </row>
    <row r="27" spans="1:16" ht="14.45" customHeight="1" x14ac:dyDescent="0.2">
      <c r="A27" s="853"/>
      <c r="B27" s="853"/>
      <c r="C27" s="366"/>
      <c r="D27" s="173"/>
      <c r="E27" s="173"/>
      <c r="F27" s="173"/>
      <c r="G27" s="387"/>
      <c r="H27" s="388"/>
      <c r="I27" s="298"/>
      <c r="J27" s="298"/>
      <c r="K27" s="387"/>
    </row>
    <row r="28" spans="1:16" ht="14.45" customHeight="1" x14ac:dyDescent="0.2">
      <c r="A28" s="853"/>
      <c r="B28" s="853"/>
      <c r="C28" s="366"/>
      <c r="D28" s="173"/>
      <c r="E28" s="173"/>
      <c r="F28" s="173"/>
      <c r="G28" s="387"/>
      <c r="H28" s="388"/>
      <c r="I28" s="298"/>
      <c r="J28" s="298"/>
      <c r="K28" s="387"/>
    </row>
    <row r="29" spans="1:16" ht="14.45" customHeight="1" x14ac:dyDescent="0.2">
      <c r="A29" s="174"/>
      <c r="B29" s="174"/>
      <c r="C29" s="366"/>
      <c r="D29" s="173"/>
      <c r="E29" s="173"/>
      <c r="F29" s="173"/>
      <c r="G29" s="387"/>
      <c r="H29" s="388"/>
      <c r="I29" s="298"/>
      <c r="J29" s="298"/>
      <c r="K29" s="387"/>
    </row>
    <row r="30" spans="1:16" ht="14.45" customHeight="1" x14ac:dyDescent="0.2">
      <c r="A30" s="174"/>
      <c r="B30" s="174"/>
      <c r="C30" s="366"/>
      <c r="D30" s="173"/>
      <c r="E30" s="173"/>
      <c r="F30" s="173"/>
      <c r="G30" s="387"/>
      <c r="H30" s="388"/>
      <c r="I30" s="298"/>
      <c r="J30" s="298"/>
      <c r="K30" s="387"/>
    </row>
    <row r="31" spans="1:16" ht="14.45" customHeight="1" x14ac:dyDescent="0.2">
      <c r="A31" s="174"/>
      <c r="B31" s="174"/>
      <c r="C31" s="366"/>
      <c r="D31" s="173"/>
      <c r="E31" s="173"/>
      <c r="F31" s="173"/>
      <c r="G31" s="387"/>
      <c r="H31" s="388"/>
      <c r="I31" s="298"/>
      <c r="J31" s="298"/>
      <c r="K31" s="387"/>
    </row>
    <row r="32" spans="1:16" ht="14.45" customHeight="1" x14ac:dyDescent="0.2">
      <c r="A32" s="846" t="s">
        <v>96</v>
      </c>
      <c r="B32" s="846"/>
      <c r="C32" s="846"/>
      <c r="D32" s="846"/>
      <c r="E32" s="846"/>
      <c r="F32" s="846"/>
      <c r="G32" s="846"/>
      <c r="H32" s="846"/>
      <c r="I32" s="846"/>
      <c r="J32" s="846"/>
      <c r="K32" s="846"/>
    </row>
    <row r="33" spans="1:11" ht="14.45" customHeight="1" x14ac:dyDescent="0.2">
      <c r="A33" s="174"/>
      <c r="B33" s="174"/>
      <c r="C33" s="366"/>
      <c r="D33" s="173"/>
      <c r="E33" s="173" t="str">
        <f>E7</f>
        <v>Prosinec</v>
      </c>
      <c r="F33" s="426">
        <f>F7</f>
        <v>2015</v>
      </c>
      <c r="G33" s="387"/>
      <c r="H33" s="388"/>
      <c r="I33" s="298"/>
      <c r="J33" s="298"/>
      <c r="K33" s="387"/>
    </row>
    <row r="34" spans="1:11" ht="14.45" customHeight="1" x14ac:dyDescent="0.2">
      <c r="A34" s="389"/>
      <c r="B34" s="389"/>
      <c r="C34" s="389"/>
      <c r="D34" s="389"/>
      <c r="E34" s="389"/>
      <c r="F34" s="389"/>
      <c r="G34" s="389"/>
      <c r="H34" s="390"/>
      <c r="I34" s="391"/>
      <c r="J34" s="298"/>
      <c r="K34" s="389"/>
    </row>
    <row r="35" spans="1:11" ht="14.45" customHeight="1" x14ac:dyDescent="0.2">
      <c r="A35" s="853"/>
      <c r="B35" s="853"/>
      <c r="C35" s="389"/>
      <c r="D35" s="389"/>
      <c r="E35" s="389" t="str">
        <f>C11</f>
        <v>PP Distribuce</v>
      </c>
      <c r="F35" s="391">
        <f>E11</f>
        <v>109171.41700001099</v>
      </c>
      <c r="G35" s="389"/>
      <c r="H35" s="390"/>
      <c r="I35" s="391"/>
      <c r="J35" s="298"/>
      <c r="K35" s="389"/>
    </row>
    <row r="36" spans="1:11" ht="14.45" customHeight="1" x14ac:dyDescent="0.2">
      <c r="A36" s="389"/>
      <c r="B36" s="389"/>
      <c r="C36" s="366"/>
      <c r="D36" s="173"/>
      <c r="E36" s="389" t="str">
        <f t="shared" ref="E36:E38" si="1">C12</f>
        <v>RWE GasNet</v>
      </c>
      <c r="F36" s="391">
        <f t="shared" ref="F36:F38" si="2">E12</f>
        <v>745440.98971917026</v>
      </c>
      <c r="G36" s="387"/>
      <c r="H36" s="388"/>
      <c r="I36" s="298"/>
      <c r="J36" s="298"/>
      <c r="K36" s="387"/>
    </row>
    <row r="37" spans="1:11" ht="14.45" customHeight="1" x14ac:dyDescent="0.2">
      <c r="A37" s="389"/>
      <c r="B37" s="389"/>
      <c r="C37" s="366"/>
      <c r="D37" s="173"/>
      <c r="E37" s="389" t="str">
        <f t="shared" si="1"/>
        <v>E.ON Distribuce</v>
      </c>
      <c r="F37" s="391">
        <f t="shared" si="2"/>
        <v>35234.444000000003</v>
      </c>
      <c r="G37" s="387"/>
      <c r="H37" s="388"/>
      <c r="I37" s="298"/>
      <c r="J37" s="298"/>
      <c r="K37" s="387"/>
    </row>
    <row r="38" spans="1:11" ht="14.45" customHeight="1" x14ac:dyDescent="0.2">
      <c r="A38" s="174"/>
      <c r="B38" s="852"/>
      <c r="C38" s="366"/>
      <c r="D38" s="173"/>
      <c r="E38" s="389" t="str">
        <f t="shared" si="1"/>
        <v>Ostatní společnosti</v>
      </c>
      <c r="F38" s="391">
        <f t="shared" si="2"/>
        <v>13125.865000000002</v>
      </c>
      <c r="G38" s="387"/>
      <c r="H38" s="388"/>
      <c r="I38" s="298"/>
      <c r="J38" s="298"/>
      <c r="K38" s="387"/>
    </row>
    <row r="39" spans="1:11" ht="14.45" customHeight="1" x14ac:dyDescent="0.2">
      <c r="A39" s="174"/>
      <c r="B39" s="852"/>
      <c r="C39" s="366"/>
      <c r="D39" s="173"/>
      <c r="E39" s="389"/>
      <c r="F39" s="389"/>
      <c r="G39" s="387"/>
      <c r="H39" s="388"/>
      <c r="I39" s="298"/>
      <c r="J39" s="298"/>
      <c r="K39" s="387"/>
    </row>
    <row r="40" spans="1:11" ht="14.45" customHeight="1" x14ac:dyDescent="0.2">
      <c r="A40" s="174"/>
      <c r="B40" s="852"/>
      <c r="C40" s="366"/>
      <c r="D40" s="173"/>
      <c r="E40" s="173"/>
      <c r="F40" s="173"/>
      <c r="G40" s="387"/>
      <c r="H40" s="388"/>
      <c r="I40" s="298"/>
      <c r="J40" s="298"/>
      <c r="K40" s="387"/>
    </row>
    <row r="41" spans="1:11" ht="14.45" customHeight="1" x14ac:dyDescent="0.2">
      <c r="A41" s="174"/>
      <c r="B41" s="852"/>
      <c r="C41" s="366"/>
      <c r="D41" s="173"/>
      <c r="E41" s="173"/>
      <c r="F41" s="173"/>
      <c r="G41" s="387"/>
      <c r="H41" s="388"/>
      <c r="I41" s="298"/>
      <c r="J41" s="298"/>
      <c r="K41" s="387"/>
    </row>
    <row r="42" spans="1:11" ht="14.45" customHeight="1" x14ac:dyDescent="0.2">
      <c r="A42" s="174"/>
      <c r="B42" s="852"/>
      <c r="C42" s="366"/>
      <c r="D42" s="173"/>
      <c r="E42" s="173"/>
      <c r="F42" s="173"/>
      <c r="G42" s="387"/>
      <c r="H42" s="388"/>
      <c r="I42" s="298"/>
      <c r="J42" s="298"/>
      <c r="K42" s="387"/>
    </row>
    <row r="43" spans="1:11" ht="14.45" customHeight="1" x14ac:dyDescent="0.2">
      <c r="A43" s="853"/>
      <c r="B43" s="853"/>
      <c r="C43" s="389"/>
      <c r="D43" s="365"/>
      <c r="E43" s="853"/>
      <c r="F43" s="853"/>
      <c r="G43" s="365"/>
      <c r="H43" s="390"/>
      <c r="I43" s="391"/>
      <c r="J43" s="298"/>
      <c r="K43" s="365"/>
    </row>
    <row r="44" spans="1:11" ht="14.45" customHeight="1" x14ac:dyDescent="0.25">
      <c r="A44" s="270"/>
      <c r="B44" s="126"/>
      <c r="C44" s="273"/>
      <c r="D44" s="273"/>
      <c r="E44" s="274"/>
      <c r="F44" s="273"/>
      <c r="G44" s="275"/>
      <c r="H44" s="854" t="s">
        <v>225</v>
      </c>
      <c r="I44" s="275"/>
      <c r="J44" s="275"/>
      <c r="K44" s="275"/>
    </row>
    <row r="45" spans="1:11" ht="14.45" customHeight="1" x14ac:dyDescent="0.25">
      <c r="A45" s="277"/>
      <c r="B45" s="278"/>
      <c r="C45" s="262"/>
      <c r="D45" s="262"/>
      <c r="E45" s="263" t="str">
        <f>E7</f>
        <v>Prosinec</v>
      </c>
      <c r="F45" s="264">
        <f>F7</f>
        <v>2015</v>
      </c>
      <c r="G45" s="264"/>
      <c r="H45" s="855"/>
      <c r="I45" s="397" t="str">
        <f>I7</f>
        <v>Prosinec</v>
      </c>
      <c r="J45" s="259">
        <f>J7</f>
        <v>2014</v>
      </c>
      <c r="K45" s="275"/>
    </row>
    <row r="46" spans="1:11" ht="14.45" customHeight="1" x14ac:dyDescent="0.2">
      <c r="A46" s="277"/>
      <c r="B46" s="371"/>
      <c r="C46" s="844" t="s">
        <v>95</v>
      </c>
      <c r="D46" s="825"/>
      <c r="E46" s="827" t="s">
        <v>224</v>
      </c>
      <c r="F46" s="796"/>
      <c r="G46" s="425"/>
      <c r="H46" s="855"/>
      <c r="I46" s="828" t="s">
        <v>224</v>
      </c>
      <c r="J46" s="796"/>
      <c r="K46" s="87"/>
    </row>
    <row r="47" spans="1:11" ht="12.95" customHeight="1" x14ac:dyDescent="0.2">
      <c r="A47" s="408"/>
      <c r="B47" s="371"/>
      <c r="C47" s="844"/>
      <c r="D47" s="825"/>
      <c r="E47" s="411" t="s">
        <v>69</v>
      </c>
      <c r="F47" s="373" t="s">
        <v>126</v>
      </c>
      <c r="G47" s="393" t="s">
        <v>127</v>
      </c>
      <c r="H47" s="855"/>
      <c r="I47" s="418" t="s">
        <v>69</v>
      </c>
      <c r="J47" s="373" t="s">
        <v>126</v>
      </c>
      <c r="K47" s="373" t="s">
        <v>127</v>
      </c>
    </row>
    <row r="48" spans="1:11" ht="12.95" customHeight="1" x14ac:dyDescent="0.2">
      <c r="A48" s="249"/>
      <c r="B48" s="372"/>
      <c r="C48" s="845"/>
      <c r="D48" s="826"/>
      <c r="E48" s="412" t="s">
        <v>14</v>
      </c>
      <c r="F48" s="265" t="s">
        <v>14</v>
      </c>
      <c r="G48" s="265" t="s">
        <v>14</v>
      </c>
      <c r="H48" s="410" t="s">
        <v>14</v>
      </c>
      <c r="I48" s="419" t="s">
        <v>14</v>
      </c>
      <c r="J48" s="265" t="s">
        <v>14</v>
      </c>
      <c r="K48" s="265" t="s">
        <v>14</v>
      </c>
    </row>
    <row r="49" spans="1:11" ht="14.45" customHeight="1" x14ac:dyDescent="0.2">
      <c r="A49" s="844" t="s">
        <v>4</v>
      </c>
      <c r="B49" s="844"/>
      <c r="C49" s="364"/>
      <c r="D49" s="253"/>
      <c r="E49" s="413"/>
      <c r="F49" s="364"/>
      <c r="G49" s="394"/>
      <c r="H49" s="409"/>
      <c r="I49" s="420"/>
      <c r="J49" s="364"/>
      <c r="K49" s="364"/>
    </row>
    <row r="50" spans="1:11" ht="14.45" customHeight="1" x14ac:dyDescent="0.2">
      <c r="A50" s="95"/>
      <c r="B50" s="95"/>
      <c r="C50" s="847" t="s">
        <v>72</v>
      </c>
      <c r="D50" s="848"/>
      <c r="E50" s="414">
        <f>INDEX([5]MZ!D21:BK21,1,5*T!$A$4-4)</f>
        <v>5.3774193548387101</v>
      </c>
      <c r="F50" s="400">
        <f>INDEX([5]MZ!E21:BL21,1,5*T!$A$4-4)</f>
        <v>11.8</v>
      </c>
      <c r="G50" s="401">
        <f>INDEX([5]MZ!F21:BM21,1,5*T!$A$4-4)</f>
        <v>-1.2</v>
      </c>
      <c r="H50" s="402">
        <f>E50-I50</f>
        <v>2.2774193548387096</v>
      </c>
      <c r="I50" s="421">
        <f>INDEX([6]MZ!D21:BK21,1,5*T!$A$4-4)</f>
        <v>3.1000000000000005</v>
      </c>
      <c r="J50" s="400">
        <f>INDEX([6]MZ!E21:BL21,1,5*T!$A$4-4)</f>
        <v>10.4</v>
      </c>
      <c r="K50" s="403">
        <f>INDEX([6]MZ!F21:BM21,1,5*T!$A$4-4)</f>
        <v>-6.8</v>
      </c>
    </row>
    <row r="51" spans="1:11" ht="14.45" customHeight="1" x14ac:dyDescent="0.2">
      <c r="A51" s="95"/>
      <c r="B51" s="95"/>
      <c r="C51" s="847" t="s">
        <v>73</v>
      </c>
      <c r="D51" s="848"/>
      <c r="E51" s="414">
        <f>INDEX([5]MZ!D22:BK22,1,5*T!$A$4-4)</f>
        <v>3.6451612903225805</v>
      </c>
      <c r="F51" s="400">
        <f>INDEX([5]MZ!E22:BL22,1,5*T!$A$4-4)</f>
        <v>7.5166666666666657</v>
      </c>
      <c r="G51" s="401">
        <f>INDEX([5]MZ!F22:BM22,1,5*T!$A$4-4)</f>
        <v>-3.7833333333333337</v>
      </c>
      <c r="H51" s="402">
        <f t="shared" ref="H51:H54" si="3">E51-I51</f>
        <v>1.6569892473118275</v>
      </c>
      <c r="I51" s="421">
        <f>INDEX([6]MZ!D22:BK22,1,5*T!$A$4-4)</f>
        <v>1.988172043010753</v>
      </c>
      <c r="J51" s="400">
        <f>INDEX([6]MZ!E22:BL22,1,5*T!$A$4-4)</f>
        <v>9.6833333333333318</v>
      </c>
      <c r="K51" s="403">
        <f>INDEX([6]MZ!F22:BM22,1,5*T!$A$4-4)</f>
        <v>-6.9666666666666659</v>
      </c>
    </row>
    <row r="52" spans="1:11" ht="15.75" customHeight="1" x14ac:dyDescent="0.2">
      <c r="A52" s="291"/>
      <c r="B52" s="267"/>
      <c r="C52" s="847" t="s">
        <v>74</v>
      </c>
      <c r="D52" s="848"/>
      <c r="E52" s="414">
        <f>INDEX([5]MZ!D23:BK23,1,5*T!$A$4-4)</f>
        <v>3.5677419354838702</v>
      </c>
      <c r="F52" s="400">
        <f>INDEX([5]MZ!E23:BL23,1,5*T!$A$4-4)</f>
        <v>7.2</v>
      </c>
      <c r="G52" s="401">
        <f>INDEX([5]MZ!F23:BM23,1,5*T!$A$4-4)</f>
        <v>-4.4000000000000004</v>
      </c>
      <c r="H52" s="402">
        <f t="shared" si="3"/>
        <v>2.0516129032258057</v>
      </c>
      <c r="I52" s="421">
        <f>INDEX([6]MZ!D23:BK23,1,5*T!$A$4-4)</f>
        <v>1.5161290322580643</v>
      </c>
      <c r="J52" s="400">
        <f>INDEX([6]MZ!E23:BL23,1,5*T!$A$4-4)</f>
        <v>9.1</v>
      </c>
      <c r="K52" s="403">
        <f>INDEX([6]MZ!F23:BM23,1,5*T!$A$4-4)</f>
        <v>-7.4</v>
      </c>
    </row>
    <row r="53" spans="1:11" ht="15" customHeight="1" x14ac:dyDescent="0.2">
      <c r="A53" s="291"/>
      <c r="B53" s="267"/>
      <c r="C53" s="847" t="s">
        <v>164</v>
      </c>
      <c r="D53" s="848"/>
      <c r="E53" s="414">
        <f>INDEX([5]MZ!D24:BK24,1,5*T!$A$4-4)</f>
        <v>3.5354838709677412</v>
      </c>
      <c r="F53" s="400">
        <f>INDEX([5]MZ!E24:BL24,1,5*T!$A$4-4)</f>
        <v>7.4</v>
      </c>
      <c r="G53" s="401">
        <f>INDEX([5]MZ!F24:BM24,1,5*T!$A$4-4)</f>
        <v>-3.9</v>
      </c>
      <c r="H53" s="402">
        <f t="shared" si="3"/>
        <v>1.6161290322580637</v>
      </c>
      <c r="I53" s="421">
        <f>INDEX([6]MZ!D24:BK24,1,5*T!$A$4-4)</f>
        <v>1.9193548387096775</v>
      </c>
      <c r="J53" s="400">
        <f>INDEX([6]MZ!E24:BL24,1,5*T!$A$4-4)</f>
        <v>9.6999999999999993</v>
      </c>
      <c r="K53" s="403">
        <f>INDEX([6]MZ!F24:BM24,1,5*T!$A$4-4)</f>
        <v>-7</v>
      </c>
    </row>
    <row r="54" spans="1:11" ht="15" customHeight="1" x14ac:dyDescent="0.2">
      <c r="A54" s="291"/>
      <c r="B54" s="267"/>
      <c r="C54" s="849" t="s">
        <v>5</v>
      </c>
      <c r="D54" s="850"/>
      <c r="E54" s="415">
        <f>INDEX([5]MZ!D25:BK25,1,5*T!$A$4-4)</f>
        <v>3.5354838709677412</v>
      </c>
      <c r="F54" s="404">
        <f>INDEX([5]MZ!E25:BL25,1,5*T!$A$4-4)</f>
        <v>7.4</v>
      </c>
      <c r="G54" s="405">
        <f>INDEX([5]MZ!F25:BM25,1,5*T!$A$4-4)</f>
        <v>-3.9</v>
      </c>
      <c r="H54" s="406">
        <f t="shared" si="3"/>
        <v>1.6161290322580637</v>
      </c>
      <c r="I54" s="422">
        <f>INDEX([6]MZ!D25:BK25,1,5*T!$A$4-4)</f>
        <v>1.9193548387096775</v>
      </c>
      <c r="J54" s="404">
        <f>INDEX([6]MZ!E25:BL25,1,5*T!$A$4-4)</f>
        <v>9.6999999999999993</v>
      </c>
      <c r="K54" s="407">
        <f>INDEX([6]MZ!F25:BM25,1,5*T!$A$4-4)</f>
        <v>-7</v>
      </c>
    </row>
    <row r="55" spans="1:11" ht="15" customHeight="1" x14ac:dyDescent="0.2">
      <c r="A55" s="291"/>
      <c r="B55" s="267"/>
      <c r="C55" s="256"/>
      <c r="D55" s="375"/>
      <c r="E55" s="416"/>
      <c r="F55" s="376"/>
      <c r="G55" s="395"/>
      <c r="H55" s="398"/>
      <c r="I55" s="423"/>
      <c r="J55" s="376"/>
      <c r="K55" s="392"/>
    </row>
    <row r="56" spans="1:11" ht="15" customHeight="1" x14ac:dyDescent="0.2">
      <c r="A56" s="838"/>
      <c r="B56" s="838"/>
      <c r="C56" s="838"/>
      <c r="D56" s="296"/>
      <c r="E56" s="417"/>
      <c r="F56" s="174"/>
      <c r="G56" s="396"/>
      <c r="H56" s="399"/>
      <c r="I56" s="424"/>
      <c r="J56" s="298"/>
      <c r="K56" s="174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C54:D54"/>
    <mergeCell ref="A56:C56"/>
    <mergeCell ref="I46:J46"/>
    <mergeCell ref="A49:B49"/>
    <mergeCell ref="C50:D50"/>
    <mergeCell ref="C51:D51"/>
    <mergeCell ref="C52:D52"/>
    <mergeCell ref="C53:D53"/>
    <mergeCell ref="A35:B35"/>
    <mergeCell ref="B38:B42"/>
    <mergeCell ref="A43:B43"/>
    <mergeCell ref="E43:F43"/>
    <mergeCell ref="H44:H47"/>
    <mergeCell ref="C46:D48"/>
    <mergeCell ref="E46:F46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J1:K1"/>
    <mergeCell ref="A3:K3"/>
    <mergeCell ref="D4:E4"/>
    <mergeCell ref="H6:H9"/>
    <mergeCell ref="C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 t="s">
        <v>246</v>
      </c>
      <c r="K1" s="829"/>
    </row>
    <row r="2" spans="1:17" ht="6.75" customHeight="1" x14ac:dyDescent="0.2"/>
    <row r="3" spans="1:17" ht="30" customHeight="1" x14ac:dyDescent="0.2">
      <c r="A3" s="837" t="s">
        <v>210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 t="str">
        <f>T!G19</f>
        <v>Prosinec</v>
      </c>
      <c r="E4" s="836"/>
      <c r="F4" s="223">
        <f>T!I21</f>
        <v>2015</v>
      </c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D4</f>
        <v>Prosinec</v>
      </c>
      <c r="F7" s="264">
        <f>F4</f>
        <v>2015</v>
      </c>
      <c r="G7" s="264"/>
      <c r="H7" s="840"/>
      <c r="I7" s="279" t="str">
        <f>D4</f>
        <v>Prosinec</v>
      </c>
      <c r="J7" s="259">
        <f>F4-1</f>
        <v>2014</v>
      </c>
      <c r="K7" s="273"/>
    </row>
    <row r="8" spans="1:17" ht="14.1" customHeight="1" x14ac:dyDescent="0.2">
      <c r="A8" s="277"/>
      <c r="B8" s="834" t="s">
        <v>92</v>
      </c>
      <c r="C8" s="834"/>
      <c r="D8" s="825" t="s">
        <v>0</v>
      </c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835"/>
      <c r="C9" s="83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2.95" customHeight="1" x14ac:dyDescent="0.2">
      <c r="A10" s="842" t="s">
        <v>211</v>
      </c>
      <c r="B10" s="842"/>
      <c r="C10" s="254"/>
      <c r="D10" s="253"/>
      <c r="E10" s="254"/>
      <c r="F10" s="254"/>
      <c r="G10" s="332"/>
      <c r="H10" s="314"/>
      <c r="I10" s="281"/>
      <c r="J10" s="254"/>
      <c r="K10" s="350"/>
    </row>
    <row r="11" spans="1:17" ht="14.1" customHeight="1" x14ac:dyDescent="0.2">
      <c r="A11" s="95"/>
      <c r="B11" s="95"/>
      <c r="C11" s="256" t="s">
        <v>6</v>
      </c>
      <c r="D11" s="244">
        <f>INDEX([2]Kraje!B3:AK3,1,3*T!$A$4-2)</f>
        <v>117</v>
      </c>
      <c r="E11" s="96">
        <f>INDEX([2]Kraje!C3:AL3,1,3*T!$A$4-2)</f>
        <v>9510.6939999999995</v>
      </c>
      <c r="F11" s="96">
        <f>INDEX([2]Kraje!D3:AM3,1,3*T!$A$4-2)</f>
        <v>101217.469</v>
      </c>
      <c r="G11" s="333">
        <f>E11/$E$15</f>
        <v>0.31548719444342538</v>
      </c>
      <c r="H11" s="315">
        <f>(E11-I11)/I11</f>
        <v>-6.9155250051090078E-2</v>
      </c>
      <c r="I11" s="282">
        <f>INDEX([4]Kraje!C3:AL3,1,3*T!$A$4-2)</f>
        <v>10217.272000000001</v>
      </c>
      <c r="J11" s="96">
        <f>INDEX([4]Kraje!D3:AM3,1,3*T!$A$4-2)</f>
        <v>108333.429</v>
      </c>
      <c r="K11" s="351">
        <f>I11/$I$15</f>
        <v>0.30560012500049355</v>
      </c>
    </row>
    <row r="12" spans="1:17" ht="14.1" customHeight="1" x14ac:dyDescent="0.2">
      <c r="A12" s="95"/>
      <c r="B12" s="95"/>
      <c r="C12" s="256" t="s">
        <v>7</v>
      </c>
      <c r="D12" s="244">
        <f>INDEX([2]Kraje!B4:AK4,1,3*T!$A$4-2)</f>
        <v>312</v>
      </c>
      <c r="E12" s="96">
        <f>INDEX([2]Kraje!C4:AL4,1,3*T!$A$4-2)</f>
        <v>1827.847</v>
      </c>
      <c r="F12" s="96">
        <f>INDEX([2]Kraje!D4:AM4,1,3*T!$A$4-2)</f>
        <v>19453.055470000003</v>
      </c>
      <c r="G12" s="333">
        <f>E12/$E$15</f>
        <v>6.0633043382725987E-2</v>
      </c>
      <c r="H12" s="315">
        <f>(E12-I12)/I12</f>
        <v>-0.10536658567957698</v>
      </c>
      <c r="I12" s="282">
        <f>INDEX([4]Kraje!C4:AL4,1,3*T!$A$4-2)</f>
        <v>2043.124</v>
      </c>
      <c r="J12" s="96">
        <f>INDEX([4]Kraje!D4:AM4,1,3*T!$A$4-2)</f>
        <v>21664.566984000001</v>
      </c>
      <c r="K12" s="351">
        <f>I12/$I$15</f>
        <v>6.1110142686962653E-2</v>
      </c>
      <c r="L12" s="283"/>
      <c r="M12" s="283"/>
      <c r="O12" s="283"/>
      <c r="P12" s="283"/>
      <c r="Q12" s="283"/>
    </row>
    <row r="13" spans="1:17" ht="14.1" customHeight="1" x14ac:dyDescent="0.2">
      <c r="A13" s="291"/>
      <c r="B13" s="267"/>
      <c r="C13" s="256" t="s">
        <v>8</v>
      </c>
      <c r="D13" s="244">
        <f>INDEX([2]Kraje!B5:AK5,1,3*T!$A$4-2)</f>
        <v>8940</v>
      </c>
      <c r="E13" s="96">
        <f>INDEX([2]Kraje!C5:AL5,1,3*T!$A$4-2)</f>
        <v>6070.7361860000001</v>
      </c>
      <c r="F13" s="96">
        <f>INDEX([2]Kraje!D5:AM5,1,3*T!$A$4-2)</f>
        <v>64607.989825999997</v>
      </c>
      <c r="G13" s="333">
        <f>E13/$E$15</f>
        <v>0.20137747335024347</v>
      </c>
      <c r="H13" s="315">
        <f t="shared" ref="H13:H15" si="0">(E13-I13)/I13</f>
        <v>-0.1097598144272509</v>
      </c>
      <c r="I13" s="282">
        <f>INDEX([4]Kraje!C5:AL5,1,3*T!$A$4-2)</f>
        <v>6819.2115839999997</v>
      </c>
      <c r="J13" s="96">
        <f>INDEX([4]Kraje!D5:AM5,1,3*T!$A$4-2)</f>
        <v>72303.095506000012</v>
      </c>
      <c r="K13" s="351">
        <f>I13/$I$15</f>
        <v>0.20396363260909695</v>
      </c>
      <c r="L13" s="283"/>
      <c r="M13" s="283"/>
      <c r="O13" s="283"/>
      <c r="P13" s="283"/>
      <c r="Q13" s="283"/>
    </row>
    <row r="14" spans="1:17" ht="14.1" customHeight="1" x14ac:dyDescent="0.2">
      <c r="A14" s="291"/>
      <c r="B14" s="267"/>
      <c r="C14" s="256" t="s">
        <v>9</v>
      </c>
      <c r="D14" s="244">
        <f>INDEX([2]Kraje!B6:AK6,1,3*T!$A$4-2)</f>
        <v>97609</v>
      </c>
      <c r="E14" s="96">
        <f>INDEX([2]Kraje!C6:AL6,1,3*T!$A$4-2)</f>
        <v>12736.776813999999</v>
      </c>
      <c r="F14" s="96">
        <f>INDEX([2]Kraje!D6:AM6,1,3*T!$A$4-2)</f>
        <v>135552.44317400001</v>
      </c>
      <c r="G14" s="333">
        <f>E14/$E$15</f>
        <v>0.42250228882360524</v>
      </c>
      <c r="H14" s="315">
        <f t="shared" si="0"/>
        <v>-0.11265844554245948</v>
      </c>
      <c r="I14" s="282">
        <f>INDEX([4]Kraje!C6:AL6,1,3*T!$A$4-2)</f>
        <v>14353.860416</v>
      </c>
      <c r="J14" s="96">
        <f>INDEX([4]Kraje!D6:AM6,1,3*T!$A$4-2)</f>
        <v>152192.27749400001</v>
      </c>
      <c r="K14" s="351">
        <f>I14/$I$15</f>
        <v>0.42932609970344682</v>
      </c>
      <c r="L14" s="283"/>
      <c r="M14" s="283"/>
      <c r="O14" s="283"/>
      <c r="P14" s="283"/>
      <c r="Q14" s="283"/>
    </row>
    <row r="15" spans="1:17" ht="14.1" customHeight="1" x14ac:dyDescent="0.2">
      <c r="A15" s="291"/>
      <c r="B15" s="267"/>
      <c r="C15" s="258" t="s">
        <v>2</v>
      </c>
      <c r="D15" s="252">
        <f>SUM(D11:D14)</f>
        <v>106978</v>
      </c>
      <c r="E15" s="250">
        <f>SUM(E11:E14)</f>
        <v>30146.053999999996</v>
      </c>
      <c r="F15" s="251">
        <f>SUM(F11:F14)</f>
        <v>320830.95747000002</v>
      </c>
      <c r="G15" s="335">
        <f>SUM(G11:G14)</f>
        <v>1</v>
      </c>
      <c r="H15" s="317">
        <f t="shared" si="0"/>
        <v>-9.8327041633850379E-2</v>
      </c>
      <c r="I15" s="285">
        <f>SUM(I11:I14)</f>
        <v>33433.468000000001</v>
      </c>
      <c r="J15" s="251">
        <f>SUM(J11:J14)</f>
        <v>354493.36898400006</v>
      </c>
      <c r="K15" s="353">
        <f>SUM(K11:K14)</f>
        <v>0.99999999999999989</v>
      </c>
      <c r="L15" s="283"/>
      <c r="M15" s="283"/>
    </row>
    <row r="16" spans="1:17" ht="12.95" customHeight="1" x14ac:dyDescent="0.2">
      <c r="A16" s="291"/>
      <c r="B16" s="267"/>
      <c r="C16" s="292"/>
      <c r="D16" s="293"/>
      <c r="E16" s="292"/>
      <c r="F16" s="292"/>
      <c r="G16" s="336"/>
      <c r="H16" s="318"/>
      <c r="I16" s="294"/>
      <c r="J16" s="295"/>
      <c r="K16" s="354"/>
      <c r="L16" s="283"/>
      <c r="M16" s="283"/>
    </row>
    <row r="17" spans="1:21" ht="12.95" customHeight="1" x14ac:dyDescent="0.2">
      <c r="A17" s="842" t="s">
        <v>212</v>
      </c>
      <c r="B17" s="842"/>
      <c r="C17" s="254"/>
      <c r="D17" s="253"/>
      <c r="E17" s="254"/>
      <c r="F17" s="254"/>
      <c r="G17" s="332"/>
      <c r="H17" s="363"/>
      <c r="I17" s="281"/>
      <c r="J17" s="254"/>
      <c r="K17" s="350"/>
      <c r="L17" s="283"/>
      <c r="M17" s="283"/>
    </row>
    <row r="18" spans="1:21" ht="14.1" customHeight="1" x14ac:dyDescent="0.2">
      <c r="A18" s="95"/>
      <c r="B18" s="95"/>
      <c r="C18" s="256" t="s">
        <v>6</v>
      </c>
      <c r="D18" s="244">
        <f>INDEX([2]Kraje!B9:AK9,1,3*T!$A$4-2)</f>
        <v>190</v>
      </c>
      <c r="E18" s="96">
        <f>INDEX([2]Kraje!C9:AL9,1,3*T!$A$4-2)</f>
        <v>50583</v>
      </c>
      <c r="F18" s="96">
        <f>INDEX([2]Kraje!D9:AM9,1,3*T!$A$4-2)</f>
        <v>538935.1666</v>
      </c>
      <c r="G18" s="333">
        <f>E18/$E$22</f>
        <v>0.3453419829838017</v>
      </c>
      <c r="H18" s="315">
        <f>(E18-I18)/I18</f>
        <v>2.8929553628093869E-2</v>
      </c>
      <c r="I18" s="282">
        <f>INDEX([4]Kraje!C9:AL9,1,3*T!$A$4-2)</f>
        <v>49160.800000000003</v>
      </c>
      <c r="J18" s="96">
        <f>INDEX([4]Kraje!D9:AM9,1,3*T!$A$4-2)</f>
        <v>521976.88657799998</v>
      </c>
      <c r="K18" s="351">
        <f>I18/$I$22</f>
        <v>0.34399206228142237</v>
      </c>
      <c r="L18" s="283"/>
      <c r="M18" s="283"/>
      <c r="N18" s="283"/>
    </row>
    <row r="19" spans="1:21" ht="14.1" customHeight="1" x14ac:dyDescent="0.2">
      <c r="A19" s="95"/>
      <c r="B19" s="95"/>
      <c r="C19" s="256" t="s">
        <v>7</v>
      </c>
      <c r="D19" s="244">
        <f>INDEX([2]Kraje!B10:AK10,1,3*T!$A$4-2)</f>
        <v>942</v>
      </c>
      <c r="E19" s="96">
        <f>INDEX([2]Kraje!C10:AL10,1,3*T!$A$4-2)</f>
        <v>14749.6</v>
      </c>
      <c r="F19" s="96">
        <f>INDEX([2]Kraje!D10:AM10,1,3*T!$A$4-2)</f>
        <v>157149.56812000004</v>
      </c>
      <c r="G19" s="333">
        <f t="shared" ref="G19:G20" si="1">E19/$E$22</f>
        <v>0.10069897222817709</v>
      </c>
      <c r="H19" s="315">
        <f>(E19-I19)/I19</f>
        <v>-2.3088845027884143E-2</v>
      </c>
      <c r="I19" s="282">
        <f>INDEX([4]Kraje!C10:AL10,1,3*T!$A$4-2)</f>
        <v>15098.2</v>
      </c>
      <c r="J19" s="96">
        <f>INDEX([4]Kraje!D10:AM10,1,3*T!$A$4-2)</f>
        <v>160308.32402700005</v>
      </c>
      <c r="K19" s="351">
        <f t="shared" ref="K19:K21" si="2">I19/$I$22</f>
        <v>0.10564638807215039</v>
      </c>
      <c r="L19" s="286"/>
      <c r="M19" s="286"/>
      <c r="N19" s="283"/>
    </row>
    <row r="20" spans="1:21" ht="14.1" customHeight="1" x14ac:dyDescent="0.2">
      <c r="A20" s="291"/>
      <c r="B20" s="267"/>
      <c r="C20" s="256" t="s">
        <v>8</v>
      </c>
      <c r="D20" s="244">
        <f>INDEX([2]Kraje!B11:AK11,1,3*T!$A$4-2)</f>
        <v>23923</v>
      </c>
      <c r="E20" s="96">
        <f>INDEX([2]Kraje!C11:AL11,1,3*T!$A$4-2)</f>
        <v>21735.599999999999</v>
      </c>
      <c r="F20" s="96">
        <f>INDEX([2]Kraje!D11:AM11,1,3*T!$A$4-2)</f>
        <v>231580.9</v>
      </c>
      <c r="G20" s="333">
        <f t="shared" si="1"/>
        <v>0.14839402972031551</v>
      </c>
      <c r="H20" s="315">
        <f t="shared" ref="H20:H22" si="3">(E20-I20)/I20</f>
        <v>2.0795761947700598E-2</v>
      </c>
      <c r="I20" s="282">
        <f>INDEX([4]Kraje!C11:AL11,1,3*T!$A$4-2)</f>
        <v>21292.799999999999</v>
      </c>
      <c r="J20" s="96">
        <f>INDEX([4]Kraje!D11:AM11,1,3*T!$A$4-2)</f>
        <v>226081</v>
      </c>
      <c r="K20" s="351">
        <f>I20/$I$22</f>
        <v>0.1489917613982252</v>
      </c>
      <c r="L20" s="283"/>
      <c r="M20" s="283"/>
      <c r="N20" s="283"/>
      <c r="O20" s="283"/>
      <c r="P20" s="283"/>
    </row>
    <row r="21" spans="1:21" ht="14.1" customHeight="1" x14ac:dyDescent="0.2">
      <c r="A21" s="291"/>
      <c r="B21" s="267"/>
      <c r="C21" s="256" t="s">
        <v>9</v>
      </c>
      <c r="D21" s="244">
        <f>INDEX([2]Kraje!B12:AK12,1,3*T!$A$4-2)</f>
        <v>361736</v>
      </c>
      <c r="E21" s="96">
        <f>INDEX([2]Kraje!C12:AL12,1,3*T!$A$4-2)</f>
        <v>59404</v>
      </c>
      <c r="F21" s="96">
        <f>INDEX([2]Kraje!D12:AM12,1,3*T!$A$4-2)</f>
        <v>632918.1</v>
      </c>
      <c r="G21" s="333">
        <f>E21/$E$22</f>
        <v>0.40556501506770565</v>
      </c>
      <c r="H21" s="315">
        <f t="shared" si="3"/>
        <v>3.5620144767855348E-2</v>
      </c>
      <c r="I21" s="282">
        <f>INDEX([4]Kraje!C12:AL12,1,3*T!$A$4-2)</f>
        <v>57360.800000000003</v>
      </c>
      <c r="J21" s="96">
        <f>INDEX([4]Kraje!D12:AM12,1,3*T!$A$4-2)</f>
        <v>609042</v>
      </c>
      <c r="K21" s="351">
        <f t="shared" si="2"/>
        <v>0.40136978824820208</v>
      </c>
      <c r="L21" s="283"/>
      <c r="M21" s="283"/>
      <c r="N21" s="283"/>
      <c r="O21" s="283"/>
      <c r="P21" s="283"/>
    </row>
    <row r="22" spans="1:21" ht="14.1" customHeight="1" x14ac:dyDescent="0.2">
      <c r="A22" s="291"/>
      <c r="B22" s="267"/>
      <c r="C22" s="258" t="s">
        <v>2</v>
      </c>
      <c r="D22" s="252">
        <f>SUM(D18:D21)</f>
        <v>386791</v>
      </c>
      <c r="E22" s="250">
        <f>SUM(E18:E21)</f>
        <v>146472.20000000001</v>
      </c>
      <c r="F22" s="251">
        <f>SUM(F18:F21)</f>
        <v>1560583.7347200001</v>
      </c>
      <c r="G22" s="335">
        <f>SUM(G18:G21)</f>
        <v>1</v>
      </c>
      <c r="H22" s="317">
        <f t="shared" si="3"/>
        <v>2.4907530896506016E-2</v>
      </c>
      <c r="I22" s="285">
        <f>SUM(I18:I21)</f>
        <v>142912.6</v>
      </c>
      <c r="J22" s="251">
        <f>SUM(J18:J21)</f>
        <v>1517408.2106050001</v>
      </c>
      <c r="K22" s="353">
        <f>SUM(K18:K21)</f>
        <v>1</v>
      </c>
      <c r="L22" s="283"/>
      <c r="M22" s="283"/>
      <c r="N22" s="283"/>
      <c r="O22" s="283"/>
      <c r="P22" s="283"/>
    </row>
    <row r="23" spans="1:21" ht="12.95" customHeight="1" x14ac:dyDescent="0.2">
      <c r="A23" s="291"/>
      <c r="B23" s="267"/>
      <c r="C23" s="292"/>
      <c r="D23" s="293"/>
      <c r="E23" s="292"/>
      <c r="F23" s="292"/>
      <c r="G23" s="336"/>
      <c r="H23" s="318"/>
      <c r="I23" s="294"/>
      <c r="J23" s="295"/>
      <c r="K23" s="354"/>
      <c r="L23" s="283"/>
      <c r="M23" s="283"/>
      <c r="N23" s="283"/>
      <c r="O23" s="283"/>
      <c r="P23" s="283"/>
    </row>
    <row r="24" spans="1:21" ht="12.95" customHeight="1" x14ac:dyDescent="0.2">
      <c r="A24" s="842" t="s">
        <v>213</v>
      </c>
      <c r="B24" s="842"/>
      <c r="C24" s="254"/>
      <c r="D24" s="253"/>
      <c r="E24" s="254"/>
      <c r="F24" s="254"/>
      <c r="G24" s="332"/>
      <c r="H24" s="363"/>
      <c r="I24" s="281"/>
      <c r="J24" s="254"/>
      <c r="K24" s="350"/>
      <c r="L24" s="283"/>
      <c r="M24" s="283"/>
      <c r="N24" s="283"/>
      <c r="O24" s="283"/>
      <c r="P24" s="283"/>
    </row>
    <row r="25" spans="1:21" ht="14.1" customHeight="1" x14ac:dyDescent="0.2">
      <c r="A25" s="95"/>
      <c r="B25" s="95"/>
      <c r="C25" s="256" t="s">
        <v>6</v>
      </c>
      <c r="D25" s="244">
        <f>INDEX([2]Kraje!B15:AK15,1,3*T!$A$4-2)</f>
        <v>51</v>
      </c>
      <c r="E25" s="96">
        <f>INDEX([2]Kraje!C15:AL15,1,3*T!$A$4-2)</f>
        <v>9467.6</v>
      </c>
      <c r="F25" s="96">
        <f>INDEX([2]Kraje!D15:AM15,1,3*T!$A$4-2)</f>
        <v>100872.27503000003</v>
      </c>
      <c r="G25" s="333">
        <f>E25/$E$29</f>
        <v>0.38760337345451568</v>
      </c>
      <c r="H25" s="315">
        <f>(E25-I25)/I25</f>
        <v>-9.555016335810762E-2</v>
      </c>
      <c r="I25" s="282">
        <f>INDEX([4]Kraje!C15:AL15,1,3*T!$A$4-2)</f>
        <v>10467.799999999999</v>
      </c>
      <c r="J25" s="96">
        <f>INDEX([4]Kraje!D15:AM15,1,3*T!$A$4-2)</f>
        <v>111144.32014399998</v>
      </c>
      <c r="K25" s="351">
        <f>I25/$I$29</f>
        <v>0.40990077298393723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</row>
    <row r="26" spans="1:21" ht="14.1" customHeight="1" x14ac:dyDescent="0.2">
      <c r="A26" s="95"/>
      <c r="B26" s="95"/>
      <c r="C26" s="256" t="s">
        <v>7</v>
      </c>
      <c r="D26" s="244">
        <f>INDEX([2]Kraje!B16:AK16,1,3*T!$A$4-2)</f>
        <v>193</v>
      </c>
      <c r="E26" s="96">
        <f>INDEX([2]Kraje!C16:AL16,1,3*T!$A$4-2)</f>
        <v>2429.5</v>
      </c>
      <c r="F26" s="96">
        <f>INDEX([2]Kraje!D16:AM16,1,3*T!$A$4-2)</f>
        <v>25884.619750000009</v>
      </c>
      <c r="G26" s="333">
        <f t="shared" ref="G26:G28" si="4">E26/$E$29</f>
        <v>9.9463686235978052E-2</v>
      </c>
      <c r="H26" s="315">
        <f t="shared" ref="H26:H29" si="5">(E26-I26)/I26</f>
        <v>-0.11689869506742755</v>
      </c>
      <c r="I26" s="282">
        <f>INDEX([4]Kraje!C16:AL16,1,3*T!$A$4-2)</f>
        <v>2751.1</v>
      </c>
      <c r="J26" s="96">
        <f>INDEX([4]Kraje!D16:AM16,1,3*T!$A$4-2)</f>
        <v>29210.789270000005</v>
      </c>
      <c r="K26" s="351">
        <f t="shared" ref="K26:K27" si="6">I26/$I$29</f>
        <v>0.10772827304267465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1:21" ht="14.1" customHeight="1" x14ac:dyDescent="0.2">
      <c r="A27" s="291"/>
      <c r="B27" s="267"/>
      <c r="C27" s="256" t="s">
        <v>8</v>
      </c>
      <c r="D27" s="244">
        <f>INDEX([2]Kraje!B17:AK17,1,3*T!$A$4-2)</f>
        <v>6001</v>
      </c>
      <c r="E27" s="96">
        <f>INDEX([2]Kraje!C17:AL17,1,3*T!$A$4-2)</f>
        <v>5218.3999999999996</v>
      </c>
      <c r="F27" s="96">
        <f>INDEX([2]Kraje!D17:AM17,1,3*T!$A$4-2)</f>
        <v>55599.1</v>
      </c>
      <c r="G27" s="333">
        <f t="shared" si="4"/>
        <v>0.21364120199787109</v>
      </c>
      <c r="H27" s="315">
        <f t="shared" si="5"/>
        <v>5.220272378787482E-3</v>
      </c>
      <c r="I27" s="282">
        <f>INDEX([4]Kraje!C17:AL17,1,3*T!$A$4-2)</f>
        <v>5191.3</v>
      </c>
      <c r="J27" s="96">
        <f>INDEX([4]Kraje!D17:AM17,1,3*T!$A$4-2)</f>
        <v>55119.8</v>
      </c>
      <c r="K27" s="351">
        <f t="shared" si="6"/>
        <v>0.20328224486439497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spans="1:21" ht="14.1" customHeight="1" x14ac:dyDescent="0.2">
      <c r="A28" s="291"/>
      <c r="B28" s="267"/>
      <c r="C28" s="256" t="s">
        <v>9</v>
      </c>
      <c r="D28" s="244">
        <f>INDEX([2]Kraje!B18:AK18,1,3*T!$A$4-2)</f>
        <v>79953</v>
      </c>
      <c r="E28" s="96">
        <f>INDEX([2]Kraje!C18:AL18,1,3*T!$A$4-2)</f>
        <v>7310.5</v>
      </c>
      <c r="F28" s="96">
        <f>INDEX([2]Kraje!D18:AM18,1,3*T!$A$4-2)</f>
        <v>77889.399999999994</v>
      </c>
      <c r="G28" s="333">
        <f t="shared" si="4"/>
        <v>0.29929173831163514</v>
      </c>
      <c r="H28" s="315">
        <f t="shared" si="5"/>
        <v>2.5718374677292651E-2</v>
      </c>
      <c r="I28" s="282">
        <f>INDEX([4]Kraje!C18:AL18,1,3*T!$A$4-2)</f>
        <v>7127.2</v>
      </c>
      <c r="J28" s="96">
        <f>INDEX([4]Kraje!D18:AM18,1,3*T!$A$4-2)</f>
        <v>75675</v>
      </c>
      <c r="K28" s="351">
        <f>I28/$I$29</f>
        <v>0.27908870910899308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1:21" ht="14.1" customHeight="1" x14ac:dyDescent="0.2">
      <c r="A29" s="291"/>
      <c r="B29" s="267"/>
      <c r="C29" s="258" t="s">
        <v>2</v>
      </c>
      <c r="D29" s="252">
        <f>SUM(D25:D28)</f>
        <v>86198</v>
      </c>
      <c r="E29" s="250">
        <f>SUM(E25:E28)</f>
        <v>24426</v>
      </c>
      <c r="F29" s="251">
        <f>SUM(F25:F28)</f>
        <v>260245.39478000003</v>
      </c>
      <c r="G29" s="335">
        <f>SUM(G25:G28)</f>
        <v>1</v>
      </c>
      <c r="H29" s="317">
        <f t="shared" si="5"/>
        <v>-4.3520483682755545E-2</v>
      </c>
      <c r="I29" s="285">
        <f>SUM(I25:I28)</f>
        <v>25537.4</v>
      </c>
      <c r="J29" s="251">
        <f>SUM(J25:J28)</f>
        <v>271149.90941399999</v>
      </c>
      <c r="K29" s="353">
        <f>SUM(K25:K28)</f>
        <v>0.99999999999999989</v>
      </c>
    </row>
    <row r="30" spans="1:21" ht="12.95" customHeight="1" x14ac:dyDescent="0.2">
      <c r="A30" s="291"/>
      <c r="B30" s="267"/>
      <c r="C30" s="292"/>
      <c r="D30" s="293"/>
      <c r="E30" s="292"/>
      <c r="F30" s="292"/>
      <c r="G30" s="336"/>
      <c r="H30" s="318"/>
      <c r="I30" s="294"/>
      <c r="J30" s="295"/>
      <c r="K30" s="354"/>
    </row>
    <row r="31" spans="1:21" ht="12.95" customHeight="1" x14ac:dyDescent="0.2">
      <c r="A31" s="842" t="s">
        <v>214</v>
      </c>
      <c r="B31" s="842"/>
      <c r="C31" s="254"/>
      <c r="D31" s="253"/>
      <c r="E31" s="254"/>
      <c r="F31" s="254"/>
      <c r="G31" s="332"/>
      <c r="H31" s="363"/>
      <c r="I31" s="281"/>
      <c r="J31" s="254"/>
      <c r="K31" s="350"/>
    </row>
    <row r="32" spans="1:21" ht="14.1" customHeight="1" x14ac:dyDescent="0.2">
      <c r="A32" s="95"/>
      <c r="B32" s="95"/>
      <c r="C32" s="256" t="s">
        <v>6</v>
      </c>
      <c r="D32" s="244">
        <f>INDEX([2]Kraje!B21:AK21,1,3*T!$A$4-2)</f>
        <v>83</v>
      </c>
      <c r="E32" s="96">
        <f>INDEX([2]Kraje!C21:AL21,1,3*T!$A$4-2)</f>
        <v>11054.6</v>
      </c>
      <c r="F32" s="96">
        <f>INDEX([2]Kraje!D21:AM21,1,3*T!$A$4-2)</f>
        <v>117780.80345000004</v>
      </c>
      <c r="G32" s="333">
        <f>E32/$E$36</f>
        <v>0.29010738691832083</v>
      </c>
      <c r="H32" s="315">
        <f>(E32-I32)/I32</f>
        <v>-0.12581451255772758</v>
      </c>
      <c r="I32" s="282">
        <f>INDEX([4]Kraje!C21:AL21,1,3*T!$A$4-2)</f>
        <v>12645.6</v>
      </c>
      <c r="J32" s="96">
        <f>INDEX([4]Kraje!D21:AM21,1,3*T!$A$4-2)</f>
        <v>134267.79843299996</v>
      </c>
      <c r="K32" s="351">
        <f>I32/$I$36</f>
        <v>0.30982499209855124</v>
      </c>
    </row>
    <row r="33" spans="1:11" ht="14.1" customHeight="1" x14ac:dyDescent="0.2">
      <c r="A33" s="95"/>
      <c r="B33" s="95"/>
      <c r="C33" s="256" t="s">
        <v>7</v>
      </c>
      <c r="D33" s="244">
        <f>INDEX([2]Kraje!B22:AK22,1,3*T!$A$4-2)</f>
        <v>255</v>
      </c>
      <c r="E33" s="96">
        <f>INDEX([2]Kraje!C22:AL22,1,3*T!$A$4-2)</f>
        <v>3139.8</v>
      </c>
      <c r="F33" s="96">
        <f>INDEX([2]Kraje!D22:AM22,1,3*T!$A$4-2)</f>
        <v>33453.150950000032</v>
      </c>
      <c r="G33" s="333">
        <f t="shared" ref="G33:G35" si="7">E33/$E$36</f>
        <v>8.2398202869949505E-2</v>
      </c>
      <c r="H33" s="315">
        <f t="shared" ref="H33:H36" si="8">(E33-I33)/I33</f>
        <v>-0.12129183924773303</v>
      </c>
      <c r="I33" s="282">
        <f>INDEX([4]Kraje!C22:AL22,1,3*T!$A$4-2)</f>
        <v>3573.2</v>
      </c>
      <c r="J33" s="96">
        <f>INDEX([4]Kraje!D22:AM22,1,3*T!$A$4-2)</f>
        <v>37939.37136099999</v>
      </c>
      <c r="K33" s="351">
        <f t="shared" ref="K33:K35" si="9">I33/$I$36</f>
        <v>8.7545601771884557E-2</v>
      </c>
    </row>
    <row r="34" spans="1:11" ht="14.1" customHeight="1" x14ac:dyDescent="0.2">
      <c r="A34" s="291"/>
      <c r="B34" s="267"/>
      <c r="C34" s="256" t="s">
        <v>8</v>
      </c>
      <c r="D34" s="244">
        <f>INDEX([2]Kraje!B23:AK23,1,3*T!$A$4-2)</f>
        <v>9450</v>
      </c>
      <c r="E34" s="96">
        <f>INDEX([2]Kraje!C23:AL23,1,3*T!$A$4-2)</f>
        <v>8188.4</v>
      </c>
      <c r="F34" s="96">
        <f>INDEX([2]Kraje!D23:AM23,1,3*T!$A$4-2)</f>
        <v>87243.3</v>
      </c>
      <c r="G34" s="333">
        <f t="shared" si="7"/>
        <v>0.21488930644636425</v>
      </c>
      <c r="H34" s="315">
        <f t="shared" si="8"/>
        <v>-4.2997557355398904E-2</v>
      </c>
      <c r="I34" s="282">
        <f>INDEX([4]Kraje!C23:AL23,1,3*T!$A$4-2)</f>
        <v>8556.2999999999993</v>
      </c>
      <c r="J34" s="96">
        <f>INDEX([4]Kraje!D23:AM23,1,3*T!$A$4-2)</f>
        <v>90849.1</v>
      </c>
      <c r="K34" s="351">
        <f t="shared" si="9"/>
        <v>0.20963462231075108</v>
      </c>
    </row>
    <row r="35" spans="1:11" ht="14.1" customHeight="1" x14ac:dyDescent="0.2">
      <c r="A35" s="291"/>
      <c r="B35" s="267"/>
      <c r="C35" s="256" t="s">
        <v>9</v>
      </c>
      <c r="D35" s="244">
        <f>INDEX([2]Kraje!B24:AK24,1,3*T!$A$4-2)</f>
        <v>108814</v>
      </c>
      <c r="E35" s="96">
        <f>INDEX([2]Kraje!C24:AL24,1,3*T!$A$4-2)</f>
        <v>15722.4</v>
      </c>
      <c r="F35" s="96">
        <f>INDEX([2]Kraje!D24:AM24,1,3*T!$A$4-2)</f>
        <v>167513.4</v>
      </c>
      <c r="G35" s="333">
        <f t="shared" si="7"/>
        <v>0.4126051037653653</v>
      </c>
      <c r="H35" s="315">
        <f t="shared" si="8"/>
        <v>-1.981272053964421E-2</v>
      </c>
      <c r="I35" s="282">
        <f>INDEX([4]Kraje!C24:AL24,1,3*T!$A$4-2)</f>
        <v>16040.2</v>
      </c>
      <c r="J35" s="96">
        <f>INDEX([4]Kraje!D24:AM24,1,3*T!$A$4-2)</f>
        <v>170311</v>
      </c>
      <c r="K35" s="351">
        <f t="shared" si="9"/>
        <v>0.39299478381881303</v>
      </c>
    </row>
    <row r="36" spans="1:11" ht="14.1" customHeight="1" x14ac:dyDescent="0.2">
      <c r="A36" s="291"/>
      <c r="B36" s="267"/>
      <c r="C36" s="258" t="s">
        <v>2</v>
      </c>
      <c r="D36" s="252">
        <f>SUM(D32:D35)</f>
        <v>118602</v>
      </c>
      <c r="E36" s="250">
        <f>SUM(E32:E35)</f>
        <v>38105.200000000004</v>
      </c>
      <c r="F36" s="251">
        <f>SUM(F32:F35)</f>
        <v>405990.65440000012</v>
      </c>
      <c r="G36" s="335">
        <f>SUM(G32:G35)</f>
        <v>0.99999999999999989</v>
      </c>
      <c r="H36" s="317">
        <f t="shared" si="8"/>
        <v>-6.6399119937866402E-2</v>
      </c>
      <c r="I36" s="285">
        <f>SUM(I32:I35)</f>
        <v>40815.300000000003</v>
      </c>
      <c r="J36" s="251">
        <f>SUM(J32:J35)</f>
        <v>433367.26979399996</v>
      </c>
      <c r="K36" s="353">
        <f>SUM(K32:K35)</f>
        <v>1</v>
      </c>
    </row>
    <row r="37" spans="1:11" ht="12.95" customHeight="1" x14ac:dyDescent="0.2">
      <c r="A37" s="291"/>
      <c r="B37" s="267"/>
      <c r="C37" s="292"/>
      <c r="D37" s="293"/>
      <c r="E37" s="292"/>
      <c r="F37" s="292"/>
      <c r="G37" s="336"/>
      <c r="H37" s="318"/>
      <c r="I37" s="294"/>
      <c r="J37" s="295"/>
      <c r="K37" s="354"/>
    </row>
    <row r="38" spans="1:11" ht="12.95" customHeight="1" x14ac:dyDescent="0.2">
      <c r="A38" s="842" t="s">
        <v>215</v>
      </c>
      <c r="B38" s="842"/>
      <c r="C38" s="254"/>
      <c r="D38" s="253"/>
      <c r="E38" s="254"/>
      <c r="F38" s="254"/>
      <c r="G38" s="332"/>
      <c r="H38" s="363"/>
      <c r="I38" s="281"/>
      <c r="J38" s="254"/>
      <c r="K38" s="350"/>
    </row>
    <row r="39" spans="1:11" ht="14.1" customHeight="1" x14ac:dyDescent="0.2">
      <c r="A39" s="95"/>
      <c r="B39" s="95"/>
      <c r="C39" s="256" t="s">
        <v>6</v>
      </c>
      <c r="D39" s="244">
        <f>INDEX([2]Kraje!B27:AK27,1,3*T!$A$4-2)</f>
        <v>96</v>
      </c>
      <c r="E39" s="96">
        <f>INDEX([2]Kraje!C27:AL27,1,3*T!$A$4-2)</f>
        <v>15849.5</v>
      </c>
      <c r="F39" s="96">
        <f>INDEX([2]Kraje!D27:AM27,1,3*T!$A$4-2)</f>
        <v>168868.33196999994</v>
      </c>
      <c r="G39" s="333">
        <f>E39/$E$43</f>
        <v>0.39470112586756056</v>
      </c>
      <c r="H39" s="315">
        <f>(E39-I39)/I39</f>
        <v>-0.1055485953566067</v>
      </c>
      <c r="I39" s="282">
        <f>INDEX([4]Kraje!C27:AL27,1,3*T!$A$4-2)</f>
        <v>17719.8</v>
      </c>
      <c r="J39" s="96">
        <f>INDEX([4]Kraje!D27:AM27,1,3*T!$A$4-2)</f>
        <v>188144.523495</v>
      </c>
      <c r="K39" s="351">
        <f>I39/$I$43</f>
        <v>0.42290793056785336</v>
      </c>
    </row>
    <row r="40" spans="1:11" ht="14.1" customHeight="1" x14ac:dyDescent="0.2">
      <c r="A40" s="95"/>
      <c r="B40" s="95"/>
      <c r="C40" s="256" t="s">
        <v>7</v>
      </c>
      <c r="D40" s="244">
        <f>INDEX([2]Kraje!B28:AK28,1,3*T!$A$4-2)</f>
        <v>305</v>
      </c>
      <c r="E40" s="96">
        <f>INDEX([2]Kraje!C28:AL28,1,3*T!$A$4-2)</f>
        <v>4247.1000000000004</v>
      </c>
      <c r="F40" s="96">
        <f>INDEX([2]Kraje!D28:AM28,1,3*T!$A$4-2)</f>
        <v>45250.28269</v>
      </c>
      <c r="G40" s="333">
        <f>E40/$E$43</f>
        <v>0.10576580659781801</v>
      </c>
      <c r="H40" s="315">
        <f t="shared" ref="H40:H43" si="10">(E40-I40)/I40</f>
        <v>-8.232319958514292E-2</v>
      </c>
      <c r="I40" s="282">
        <f>INDEX([4]Kraje!C28:AL28,1,3*T!$A$4-2)</f>
        <v>4628.1000000000004</v>
      </c>
      <c r="J40" s="96">
        <f>INDEX([4]Kraje!D28:AM28,1,3*T!$A$4-2)</f>
        <v>49139.594256999982</v>
      </c>
      <c r="K40" s="351">
        <f t="shared" ref="K40:K41" si="11">I40/$I$43</f>
        <v>0.11045611087377297</v>
      </c>
    </row>
    <row r="41" spans="1:11" ht="14.1" customHeight="1" x14ac:dyDescent="0.2">
      <c r="A41" s="291"/>
      <c r="B41" s="267"/>
      <c r="C41" s="256" t="s">
        <v>8</v>
      </c>
      <c r="D41" s="244">
        <f>INDEX([2]Kraje!B29:AK29,1,3*T!$A$4-2)</f>
        <v>8568</v>
      </c>
      <c r="E41" s="96">
        <f>INDEX([2]Kraje!C29:AL29,1,3*T!$A$4-2)</f>
        <v>8133.5</v>
      </c>
      <c r="F41" s="96">
        <f>INDEX([2]Kraje!D29:AM29,1,3*T!$A$4-2)</f>
        <v>86658.6</v>
      </c>
      <c r="G41" s="333">
        <f t="shared" ref="G41:G42" si="12">E41/$E$43</f>
        <v>0.20254907771499439</v>
      </c>
      <c r="H41" s="315">
        <f t="shared" si="10"/>
        <v>6.2022589279885097E-2</v>
      </c>
      <c r="I41" s="282">
        <f>INDEX([4]Kraje!C29:AL29,1,3*T!$A$4-2)</f>
        <v>7658.5</v>
      </c>
      <c r="J41" s="96">
        <f>INDEX([4]Kraje!D29:AM29,1,3*T!$A$4-2)</f>
        <v>81315.899999999994</v>
      </c>
      <c r="K41" s="351">
        <f t="shared" si="11"/>
        <v>0.18278086582545541</v>
      </c>
    </row>
    <row r="42" spans="1:11" ht="14.1" customHeight="1" x14ac:dyDescent="0.2">
      <c r="A42" s="291"/>
      <c r="B42" s="267"/>
      <c r="C42" s="256" t="s">
        <v>9</v>
      </c>
      <c r="D42" s="244">
        <f>INDEX([2]Kraje!B30:AK30,1,3*T!$A$4-2)</f>
        <v>83734</v>
      </c>
      <c r="E42" s="96">
        <f>INDEX([2]Kraje!C30:AL30,1,3*T!$A$4-2)</f>
        <v>11925.6</v>
      </c>
      <c r="F42" s="96">
        <f>INDEX([2]Kraje!D30:AM30,1,3*T!$A$4-2)</f>
        <v>127060.5</v>
      </c>
      <c r="G42" s="333">
        <f t="shared" si="12"/>
        <v>0.29698398981962715</v>
      </c>
      <c r="H42" s="315">
        <f t="shared" si="10"/>
        <v>2.6989532097364414E-3</v>
      </c>
      <c r="I42" s="282">
        <f>INDEX([4]Kraje!C30:AL30,1,3*T!$A$4-2)</f>
        <v>11893.5</v>
      </c>
      <c r="J42" s="96">
        <f>INDEX([4]Kraje!D30:AM30,1,3*T!$A$4-2)</f>
        <v>126281.60000000001</v>
      </c>
      <c r="K42" s="351">
        <f>I42/$I$43</f>
        <v>0.2838550927329182</v>
      </c>
    </row>
    <row r="43" spans="1:11" ht="14.1" customHeight="1" x14ac:dyDescent="0.2">
      <c r="A43" s="291"/>
      <c r="B43" s="267"/>
      <c r="C43" s="258" t="s">
        <v>2</v>
      </c>
      <c r="D43" s="252">
        <f>SUM(D39:D42)</f>
        <v>92703</v>
      </c>
      <c r="E43" s="250">
        <f>SUM(E39:E42)</f>
        <v>40155.699999999997</v>
      </c>
      <c r="F43" s="251">
        <f>SUM(F39:F42)</f>
        <v>427837.71465999994</v>
      </c>
      <c r="G43" s="335">
        <f>SUM(G39:G42)</f>
        <v>1</v>
      </c>
      <c r="H43" s="317">
        <f t="shared" si="10"/>
        <v>-4.1627784314521139E-2</v>
      </c>
      <c r="I43" s="285">
        <f>SUM(I39:I42)</f>
        <v>41899.9</v>
      </c>
      <c r="J43" s="251">
        <f>SUM(J39:J42)</f>
        <v>444881.61775199999</v>
      </c>
      <c r="K43" s="353">
        <f>SUM(K39:K42)</f>
        <v>0.99999999999999989</v>
      </c>
    </row>
    <row r="44" spans="1:11" ht="12.95" customHeight="1" x14ac:dyDescent="0.2">
      <c r="A44" s="291"/>
      <c r="B44" s="267"/>
      <c r="C44" s="292"/>
      <c r="D44" s="293"/>
      <c r="E44" s="292"/>
      <c r="F44" s="292"/>
      <c r="G44" s="336"/>
      <c r="H44" s="318"/>
      <c r="I44" s="294"/>
      <c r="J44" s="295"/>
      <c r="K44" s="354"/>
    </row>
    <row r="45" spans="1:11" ht="12.95" customHeight="1" x14ac:dyDescent="0.2">
      <c r="A45" s="842" t="s">
        <v>216</v>
      </c>
      <c r="B45" s="842"/>
      <c r="C45" s="254"/>
      <c r="D45" s="253"/>
      <c r="E45" s="254"/>
      <c r="F45" s="254"/>
      <c r="G45" s="332"/>
      <c r="H45" s="363"/>
      <c r="I45" s="281"/>
      <c r="J45" s="254"/>
      <c r="K45" s="350"/>
    </row>
    <row r="46" spans="1:11" ht="14.1" customHeight="1" x14ac:dyDescent="0.2">
      <c r="A46" s="95"/>
      <c r="B46" s="95"/>
      <c r="C46" s="256" t="s">
        <v>6</v>
      </c>
      <c r="D46" s="244">
        <f>INDEX([2]Kraje!B33:AK33,1,3*T!$A$4-2)</f>
        <v>137</v>
      </c>
      <c r="E46" s="96">
        <f>INDEX([2]Kraje!C33:AL33,1,3*T!$A$4-2)</f>
        <v>41037.727999999996</v>
      </c>
      <c r="F46" s="96">
        <f>INDEX([2]Kraje!D33:AM33,1,3*T!$A$4-2)</f>
        <v>436900.89936999994</v>
      </c>
      <c r="G46" s="333">
        <f>E46/$E$50</f>
        <v>0.41903118751007173</v>
      </c>
      <c r="H46" s="315">
        <f>(E46-I46)/I46</f>
        <v>-6.1977636162490024E-2</v>
      </c>
      <c r="I46" s="282">
        <f>INDEX([4]Kraje!C33:AL33,1,3*T!$A$4-2)</f>
        <v>43749.200000000004</v>
      </c>
      <c r="J46" s="96">
        <f>INDEX([4]Kraje!D33:AM33,1,3*T!$A$4-2)</f>
        <v>464352.64666800003</v>
      </c>
      <c r="K46" s="351">
        <f>I46/$I$50</f>
        <v>0.42559397565040419</v>
      </c>
    </row>
    <row r="47" spans="1:11" ht="14.1" customHeight="1" x14ac:dyDescent="0.2">
      <c r="A47" s="95"/>
      <c r="B47" s="95"/>
      <c r="C47" s="256" t="s">
        <v>7</v>
      </c>
      <c r="D47" s="244">
        <f>INDEX([2]Kraje!B34:AK34,1,3*T!$A$4-2)</f>
        <v>485</v>
      </c>
      <c r="E47" s="96">
        <f>INDEX([2]Kraje!C34:AL34,1,3*T!$A$4-2)</f>
        <v>6685.2</v>
      </c>
      <c r="F47" s="96">
        <f>INDEX([2]Kraje!D34:AM34,1,3*T!$A$4-2)</f>
        <v>71201.539749999996</v>
      </c>
      <c r="G47" s="333">
        <f t="shared" ref="G47:G49" si="13">E47/$E$50</f>
        <v>6.8261754031371621E-2</v>
      </c>
      <c r="H47" s="315">
        <f t="shared" ref="H47:H50" si="14">(E47-I47)/I47</f>
        <v>-0.10033912903052154</v>
      </c>
      <c r="I47" s="282">
        <f>INDEX([4]Kraje!C34:AL34,1,3*T!$A$4-2)</f>
        <v>7430.7999999999993</v>
      </c>
      <c r="J47" s="96">
        <f>INDEX([4]Kraje!D34:AM34,1,3*T!$A$4-2)</f>
        <v>78876.657738000009</v>
      </c>
      <c r="K47" s="351">
        <f t="shared" ref="K47:K49" si="15">I47/$I$50</f>
        <v>7.2287121004796034E-2</v>
      </c>
    </row>
    <row r="48" spans="1:11" ht="14.1" customHeight="1" x14ac:dyDescent="0.2">
      <c r="A48" s="291"/>
      <c r="B48" s="267"/>
      <c r="C48" s="256" t="s">
        <v>8</v>
      </c>
      <c r="D48" s="244">
        <f>INDEX([2]Kraje!B35:AK35,1,3*T!$A$4-2)</f>
        <v>18074</v>
      </c>
      <c r="E48" s="96">
        <f>INDEX([2]Kraje!C35:AL35,1,3*T!$A$4-2)</f>
        <v>15069.153999999999</v>
      </c>
      <c r="F48" s="96">
        <f>INDEX([2]Kraje!D35:AM35,1,3*T!$A$4-2)</f>
        <v>160457.84900000002</v>
      </c>
      <c r="G48" s="333">
        <f t="shared" si="13"/>
        <v>0.15386927598409317</v>
      </c>
      <c r="H48" s="315">
        <f t="shared" si="14"/>
        <v>-3.7897229652459043E-2</v>
      </c>
      <c r="I48" s="282">
        <f>INDEX([4]Kraje!C35:AL35,1,3*T!$A$4-2)</f>
        <v>15662.727999999999</v>
      </c>
      <c r="J48" s="96">
        <f>INDEX([4]Kraje!D35:AM35,1,3*T!$A$4-2)</f>
        <v>166312.02199999997</v>
      </c>
      <c r="K48" s="351">
        <f t="shared" si="15"/>
        <v>0.15236764738671571</v>
      </c>
    </row>
    <row r="49" spans="1:11" ht="14.1" customHeight="1" x14ac:dyDescent="0.2">
      <c r="A49" s="291"/>
      <c r="B49" s="267"/>
      <c r="C49" s="256" t="s">
        <v>9</v>
      </c>
      <c r="D49" s="244">
        <f>INDEX([2]Kraje!B36:AK36,1,3*T!$A$4-2)</f>
        <v>366991</v>
      </c>
      <c r="E49" s="96">
        <f>INDEX([2]Kraje!C36:AL36,1,3*T!$A$4-2)</f>
        <v>35142.699999999997</v>
      </c>
      <c r="F49" s="96">
        <f>INDEX([2]Kraje!D36:AM36,1,3*T!$A$4-2)</f>
        <v>374669.46299999999</v>
      </c>
      <c r="G49" s="333">
        <f t="shared" si="13"/>
        <v>0.35883778247446346</v>
      </c>
      <c r="H49" s="315">
        <f t="shared" si="14"/>
        <v>-2.2535038898114042E-2</v>
      </c>
      <c r="I49" s="282">
        <f>INDEX([4]Kraje!C36:AL36,1,3*T!$A$4-2)</f>
        <v>35952.9</v>
      </c>
      <c r="J49" s="96">
        <f>INDEX([4]Kraje!D36:AM36,1,3*T!$A$4-2)</f>
        <v>381739.6</v>
      </c>
      <c r="K49" s="351">
        <f t="shared" si="15"/>
        <v>0.34975125595808415</v>
      </c>
    </row>
    <row r="50" spans="1:11" ht="14.1" customHeight="1" x14ac:dyDescent="0.2">
      <c r="A50" s="291"/>
      <c r="B50" s="267"/>
      <c r="C50" s="258" t="s">
        <v>2</v>
      </c>
      <c r="D50" s="252">
        <f>SUM(D46:D49)</f>
        <v>385687</v>
      </c>
      <c r="E50" s="250">
        <f>SUM(E46:E49)</f>
        <v>97934.781999999992</v>
      </c>
      <c r="F50" s="251">
        <f>SUM(F46:F49)</f>
        <v>1043229.7511199999</v>
      </c>
      <c r="G50" s="335">
        <f>SUM(G46:G49)</f>
        <v>1</v>
      </c>
      <c r="H50" s="317">
        <f t="shared" si="14"/>
        <v>-4.72865052198524E-2</v>
      </c>
      <c r="I50" s="285">
        <f>SUM(I46:I49)</f>
        <v>102795.628</v>
      </c>
      <c r="J50" s="251">
        <f>SUM(J46:J49)</f>
        <v>1091280.926406</v>
      </c>
      <c r="K50" s="353">
        <f>SUM(K46:K49)</f>
        <v>1</v>
      </c>
    </row>
    <row r="51" spans="1:11" ht="12.95" customHeight="1" x14ac:dyDescent="0.2">
      <c r="A51" s="291"/>
      <c r="B51" s="267"/>
      <c r="C51" s="292"/>
      <c r="D51" s="293"/>
      <c r="E51" s="292"/>
      <c r="F51" s="292"/>
      <c r="G51" s="336"/>
      <c r="H51" s="318"/>
      <c r="I51" s="294"/>
      <c r="J51" s="295"/>
      <c r="K51" s="354"/>
    </row>
    <row r="52" spans="1:11" ht="12.95" customHeight="1" x14ac:dyDescent="0.2">
      <c r="A52" s="842" t="s">
        <v>217</v>
      </c>
      <c r="B52" s="842"/>
      <c r="C52" s="254"/>
      <c r="D52" s="253"/>
      <c r="E52" s="254"/>
      <c r="F52" s="254"/>
      <c r="G52" s="332"/>
      <c r="H52" s="363"/>
      <c r="I52" s="281"/>
      <c r="J52" s="254"/>
      <c r="K52" s="350"/>
    </row>
    <row r="53" spans="1:11" ht="14.1" customHeight="1" x14ac:dyDescent="0.2">
      <c r="A53" s="95"/>
      <c r="B53" s="95"/>
      <c r="C53" s="256" t="s">
        <v>6</v>
      </c>
      <c r="D53" s="244">
        <f>INDEX([2]Kraje!B39:AK39,1,3*T!$A$4-2)</f>
        <v>109</v>
      </c>
      <c r="E53" s="96">
        <f>INDEX([2]Kraje!C39:AL39,1,3*T!$A$4-2)</f>
        <v>17089.599999999999</v>
      </c>
      <c r="F53" s="96">
        <f>INDEX([2]Kraje!D39:AM39,1,3*T!$A$4-2)</f>
        <v>182080.30000000005</v>
      </c>
      <c r="G53" s="333">
        <f>E53/$E$57</f>
        <v>0.3056140231656917</v>
      </c>
      <c r="H53" s="315">
        <f>(E53-I53)/I53</f>
        <v>6.9943255808470432E-3</v>
      </c>
      <c r="I53" s="282">
        <f>INDEX([4]Kraje!C39:AL39,1,3*T!$A$4-2)</f>
        <v>16970.900000000001</v>
      </c>
      <c r="J53" s="96">
        <f>INDEX([4]Kraje!D39:AM39,1,3*T!$A$4-2)</f>
        <v>180192.30423800007</v>
      </c>
      <c r="K53" s="351">
        <f>I53/$I$57</f>
        <v>0.29821641948407962</v>
      </c>
    </row>
    <row r="54" spans="1:11" ht="14.1" customHeight="1" x14ac:dyDescent="0.2">
      <c r="A54" s="95"/>
      <c r="B54" s="95"/>
      <c r="C54" s="256" t="s">
        <v>7</v>
      </c>
      <c r="D54" s="244">
        <f>INDEX([2]Kraje!B40:AK40,1,3*T!$A$4-2)</f>
        <v>379</v>
      </c>
      <c r="E54" s="96">
        <f>INDEX([2]Kraje!C40:AL40,1,3*T!$A$4-2)</f>
        <v>5546.2</v>
      </c>
      <c r="F54" s="96">
        <f>INDEX([2]Kraje!D40:AM40,1,3*T!$A$4-2)</f>
        <v>59091.548010000057</v>
      </c>
      <c r="G54" s="333">
        <f>E54/$E$57</f>
        <v>9.9182923841491868E-2</v>
      </c>
      <c r="H54" s="315">
        <f t="shared" ref="H54:H57" si="16">(E54-I54)/I54</f>
        <v>-5.4372474467613598E-2</v>
      </c>
      <c r="I54" s="282">
        <f>INDEX([4]Kraje!C40:AL40,1,3*T!$A$4-2)</f>
        <v>5865.1</v>
      </c>
      <c r="J54" s="96">
        <f>INDEX([4]Kraje!D40:AM40,1,3*T!$A$4-2)</f>
        <v>62274.460555000056</v>
      </c>
      <c r="K54" s="351">
        <f t="shared" ref="K54:K55" si="17">I54/$I$57</f>
        <v>0.10306283826527027</v>
      </c>
    </row>
    <row r="55" spans="1:11" ht="14.1" customHeight="1" x14ac:dyDescent="0.2">
      <c r="A55" s="291"/>
      <c r="B55" s="267"/>
      <c r="C55" s="256" t="s">
        <v>8</v>
      </c>
      <c r="D55" s="244">
        <f>INDEX([2]Kraje!B41:AK41,1,3*T!$A$4-2)</f>
        <v>12822</v>
      </c>
      <c r="E55" s="96">
        <f>INDEX([2]Kraje!C41:AL41,1,3*T!$A$4-2)</f>
        <v>10686</v>
      </c>
      <c r="F55" s="96">
        <f>INDEX([2]Kraje!D41:AM41,1,3*T!$A$4-2)</f>
        <v>113853.9</v>
      </c>
      <c r="G55" s="333">
        <f>E55/$E$57</f>
        <v>0.19109817968522269</v>
      </c>
      <c r="H55" s="315">
        <f t="shared" si="16"/>
        <v>-4.91105989553208E-2</v>
      </c>
      <c r="I55" s="282">
        <f>INDEX([4]Kraje!C41:AL41,1,3*T!$A$4-2)</f>
        <v>11237.9</v>
      </c>
      <c r="J55" s="96">
        <f>INDEX([4]Kraje!D41:AM41,1,3*T!$A$4-2)</f>
        <v>119321</v>
      </c>
      <c r="K55" s="351">
        <f t="shared" si="17"/>
        <v>0.19747487172278061</v>
      </c>
    </row>
    <row r="56" spans="1:11" ht="14.1" customHeight="1" x14ac:dyDescent="0.2">
      <c r="A56" s="291"/>
      <c r="B56" s="267"/>
      <c r="C56" s="256" t="s">
        <v>9</v>
      </c>
      <c r="D56" s="244">
        <f>INDEX([2]Kraje!B42:AK42,1,3*T!$A$4-2)</f>
        <v>174503</v>
      </c>
      <c r="E56" s="96">
        <f>INDEX([2]Kraje!C42:AL42,1,3*T!$A$4-2)</f>
        <v>22597.1</v>
      </c>
      <c r="F56" s="96">
        <f>INDEX([2]Kraje!D42:AM42,1,3*T!$A$4-2)</f>
        <v>240759.6</v>
      </c>
      <c r="G56" s="333">
        <f t="shared" ref="G56" si="18">E56/$E$57</f>
        <v>0.40410487330759365</v>
      </c>
      <c r="H56" s="315">
        <f t="shared" si="16"/>
        <v>-1.0379213544654705E-2</v>
      </c>
      <c r="I56" s="282">
        <f>INDEX([4]Kraje!C42:AL42,1,3*T!$A$4-2)</f>
        <v>22834.1</v>
      </c>
      <c r="J56" s="96">
        <f>INDEX([4]Kraje!D42:AM42,1,3*T!$A$4-2)</f>
        <v>242447.1</v>
      </c>
      <c r="K56" s="351">
        <f>I56/$I$57</f>
        <v>0.40124587052786953</v>
      </c>
    </row>
    <row r="57" spans="1:11" ht="14.1" customHeight="1" x14ac:dyDescent="0.2">
      <c r="A57" s="291"/>
      <c r="B57" s="267"/>
      <c r="C57" s="258" t="s">
        <v>2</v>
      </c>
      <c r="D57" s="252">
        <f>SUM(D53:D56)</f>
        <v>187813</v>
      </c>
      <c r="E57" s="250">
        <f>SUM(E53:E56)</f>
        <v>55918.9</v>
      </c>
      <c r="F57" s="251">
        <f>SUM(F53:F56)</f>
        <v>595785.34801000007</v>
      </c>
      <c r="G57" s="335">
        <f>SUM(G53:G56)</f>
        <v>0.99999999999999978</v>
      </c>
      <c r="H57" s="317">
        <f t="shared" si="16"/>
        <v>-1.7380684613762538E-2</v>
      </c>
      <c r="I57" s="285">
        <f>SUM(I53:I56)</f>
        <v>56908</v>
      </c>
      <c r="J57" s="251">
        <f>SUM(J53:J56)</f>
        <v>604234.86479300016</v>
      </c>
      <c r="K57" s="353">
        <f>SUM(K53:K56)</f>
        <v>1</v>
      </c>
    </row>
    <row r="58" spans="1:11" ht="12.95" customHeight="1" x14ac:dyDescent="0.2">
      <c r="A58" s="291"/>
      <c r="B58" s="267"/>
      <c r="C58" s="174"/>
      <c r="D58" s="296"/>
      <c r="E58" s="174"/>
      <c r="F58" s="174"/>
      <c r="G58" s="337"/>
      <c r="H58" s="319"/>
      <c r="I58" s="297"/>
      <c r="J58" s="298"/>
      <c r="K58" s="355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7:B17"/>
    <mergeCell ref="A24:B24"/>
    <mergeCell ref="A31:B31"/>
    <mergeCell ref="A38:B38"/>
    <mergeCell ref="A52:B52"/>
    <mergeCell ref="A45:B45"/>
    <mergeCell ref="A10:B10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/>
      <c r="K1" s="829"/>
    </row>
    <row r="2" spans="1:17" ht="6.75" customHeight="1" x14ac:dyDescent="0.2"/>
    <row r="3" spans="1:17" ht="30" customHeight="1" x14ac:dyDescent="0.2">
      <c r="A3" s="837"/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/>
      <c r="E4" s="836"/>
      <c r="F4" s="223"/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'7'!E7</f>
        <v>Prosinec</v>
      </c>
      <c r="F7" s="264">
        <f>'7'!F7</f>
        <v>2015</v>
      </c>
      <c r="G7" s="264"/>
      <c r="H7" s="840"/>
      <c r="I7" s="279" t="str">
        <f>E7</f>
        <v>Prosinec</v>
      </c>
      <c r="J7" s="259">
        <f>F7-1</f>
        <v>2014</v>
      </c>
      <c r="K7" s="273"/>
    </row>
    <row r="8" spans="1:17" ht="14.1" customHeight="1" x14ac:dyDescent="0.2">
      <c r="A8" s="277"/>
      <c r="B8" s="834" t="s">
        <v>92</v>
      </c>
      <c r="C8" s="834"/>
      <c r="D8" s="825" t="s">
        <v>0</v>
      </c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835"/>
      <c r="C9" s="83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2.95" customHeight="1" x14ac:dyDescent="0.2">
      <c r="A10" s="842" t="s">
        <v>218</v>
      </c>
      <c r="B10" s="842"/>
      <c r="C10" s="254"/>
      <c r="D10" s="253"/>
      <c r="E10" s="254"/>
      <c r="F10" s="254"/>
      <c r="G10" s="332"/>
      <c r="H10" s="314"/>
      <c r="I10" s="281"/>
      <c r="J10" s="254"/>
      <c r="K10" s="350"/>
    </row>
    <row r="11" spans="1:17" ht="14.1" customHeight="1" x14ac:dyDescent="0.2">
      <c r="A11" s="95"/>
      <c r="B11" s="95"/>
      <c r="C11" s="256" t="s">
        <v>6</v>
      </c>
      <c r="D11" s="244">
        <f>INDEX([2]Kraje!B45:AK45,1,3*T!$A$4-2)</f>
        <v>78</v>
      </c>
      <c r="E11" s="96">
        <f>INDEX([2]Kraje!C45:AL45,1,3*T!$A$4-2)</f>
        <v>13560.8</v>
      </c>
      <c r="F11" s="96">
        <f>INDEX([2]Kraje!D45:AM45,1,3*T!$A$4-2)</f>
        <v>144482.98020000008</v>
      </c>
      <c r="G11" s="333">
        <f>E11/$E$15</f>
        <v>0.30533608629963954</v>
      </c>
      <c r="H11" s="315">
        <f>(E11-I11)/I11</f>
        <v>0.28244217056609466</v>
      </c>
      <c r="I11" s="282">
        <f>INDEX([4]Kraje!C45:AL45,1,3*T!$A$4-2)</f>
        <v>10574.2</v>
      </c>
      <c r="J11" s="96">
        <f>INDEX([4]Kraje!D45:AM45,1,3*T!$A$4-2)</f>
        <v>112273.93120800001</v>
      </c>
      <c r="K11" s="351">
        <f>I11/$I$15</f>
        <v>0.25148165412532464</v>
      </c>
    </row>
    <row r="12" spans="1:17" ht="14.1" customHeight="1" x14ac:dyDescent="0.2">
      <c r="A12" s="95"/>
      <c r="B12" s="95"/>
      <c r="C12" s="256" t="s">
        <v>7</v>
      </c>
      <c r="D12" s="244">
        <f>INDEX([2]Kraje!B46:AK46,1,3*T!$A$4-2)</f>
        <v>289</v>
      </c>
      <c r="E12" s="96">
        <f>INDEX([2]Kraje!C46:AL46,1,3*T!$A$4-2)</f>
        <v>3844.4</v>
      </c>
      <c r="F12" s="96">
        <f>INDEX([2]Kraje!D46:AM46,1,3*T!$A$4-2)</f>
        <v>40959.932549999998</v>
      </c>
      <c r="G12" s="333">
        <f>E12/$E$15</f>
        <v>8.6560826070020525E-2</v>
      </c>
      <c r="H12" s="315">
        <f>(E12-I12)/I12</f>
        <v>-0.14197076219171964</v>
      </c>
      <c r="I12" s="282">
        <f>INDEX([4]Kraje!C46:AL46,1,3*T!$A$4-2)</f>
        <v>4480.5</v>
      </c>
      <c r="J12" s="96">
        <f>INDEX([4]Kraje!D46:AM46,1,3*T!$A$4-2)</f>
        <v>47573.140125000005</v>
      </c>
      <c r="K12" s="351">
        <f>I12/$I$15</f>
        <v>0.10655780591520086</v>
      </c>
      <c r="L12" s="283"/>
      <c r="M12" s="283"/>
      <c r="O12" s="283"/>
      <c r="P12" s="283"/>
      <c r="Q12" s="283"/>
    </row>
    <row r="13" spans="1:17" ht="14.1" customHeight="1" x14ac:dyDescent="0.2">
      <c r="A13" s="291"/>
      <c r="B13" s="267"/>
      <c r="C13" s="256" t="s">
        <v>8</v>
      </c>
      <c r="D13" s="244">
        <f>INDEX([2]Kraje!B47:AK47,1,3*T!$A$4-2)</f>
        <v>10860</v>
      </c>
      <c r="E13" s="96">
        <f>INDEX([2]Kraje!C47:AL47,1,3*T!$A$4-2)</f>
        <v>8927.2999999999993</v>
      </c>
      <c r="F13" s="96">
        <f>INDEX([2]Kraje!D47:AM47,1,3*T!$A$4-2)</f>
        <v>95115.7</v>
      </c>
      <c r="G13" s="333">
        <f>E13/$E$15</f>
        <v>0.20100781983531738</v>
      </c>
      <c r="H13" s="315">
        <f t="shared" ref="H13:H15" si="0">(E13-I13)/I13</f>
        <v>-1.550524377198694E-2</v>
      </c>
      <c r="I13" s="282">
        <f>INDEX([4]Kraje!C47:AL47,1,3*T!$A$4-2)</f>
        <v>9067.9</v>
      </c>
      <c r="J13" s="96">
        <f>INDEX([4]Kraje!D47:AM47,1,3*T!$A$4-2)</f>
        <v>96281.1</v>
      </c>
      <c r="K13" s="351">
        <f>I13/$I$15</f>
        <v>0.21565796858798125</v>
      </c>
      <c r="L13" s="283"/>
      <c r="M13" s="283"/>
      <c r="O13" s="283"/>
      <c r="P13" s="283"/>
      <c r="Q13" s="283"/>
    </row>
    <row r="14" spans="1:17" ht="14.1" customHeight="1" x14ac:dyDescent="0.2">
      <c r="A14" s="291"/>
      <c r="B14" s="267"/>
      <c r="C14" s="256" t="s">
        <v>9</v>
      </c>
      <c r="D14" s="244">
        <f>INDEX([2]Kraje!B48:AK48,1,3*T!$A$4-2)</f>
        <v>125215</v>
      </c>
      <c r="E14" s="96">
        <f>INDEX([2]Kraje!C48:AL48,1,3*T!$A$4-2)</f>
        <v>18080.2</v>
      </c>
      <c r="F14" s="96">
        <f>INDEX([2]Kraje!D48:AM48,1,3*T!$A$4-2)</f>
        <v>192634.9</v>
      </c>
      <c r="G14" s="333">
        <f>E14/$E$15</f>
        <v>0.40709526779502264</v>
      </c>
      <c r="H14" s="315">
        <f t="shared" si="0"/>
        <v>8.6582984658298869E-3</v>
      </c>
      <c r="I14" s="282">
        <f>INDEX([4]Kraje!C48:AL48,1,3*T!$A$4-2)</f>
        <v>17925</v>
      </c>
      <c r="J14" s="96">
        <f>INDEX([4]Kraje!D48:AM48,1,3*T!$A$4-2)</f>
        <v>190323.4</v>
      </c>
      <c r="K14" s="351">
        <f>I14/$I$15</f>
        <v>0.4263025713714933</v>
      </c>
      <c r="L14" s="283"/>
      <c r="M14" s="283"/>
      <c r="O14" s="283"/>
      <c r="P14" s="283"/>
      <c r="Q14" s="283"/>
    </row>
    <row r="15" spans="1:17" ht="14.1" customHeight="1" x14ac:dyDescent="0.2">
      <c r="A15" s="291"/>
      <c r="B15" s="267"/>
      <c r="C15" s="258" t="s">
        <v>2</v>
      </c>
      <c r="D15" s="252">
        <f>SUM(D11:D14)</f>
        <v>136442</v>
      </c>
      <c r="E15" s="250">
        <f>SUM(E11:E14)</f>
        <v>44412.7</v>
      </c>
      <c r="F15" s="251">
        <f>SUM(F11:F14)</f>
        <v>473193.51275000011</v>
      </c>
      <c r="G15" s="335">
        <f>SUM(G11:G14)</f>
        <v>1</v>
      </c>
      <c r="H15" s="317">
        <f t="shared" si="0"/>
        <v>5.6248156850807147E-2</v>
      </c>
      <c r="I15" s="285">
        <f>SUM(I11:I14)</f>
        <v>42047.6</v>
      </c>
      <c r="J15" s="251">
        <f>SUM(J11:J14)</f>
        <v>446451.57133300003</v>
      </c>
      <c r="K15" s="353">
        <f>SUM(K11:K14)</f>
        <v>1</v>
      </c>
      <c r="L15" s="283"/>
      <c r="M15" s="283"/>
    </row>
    <row r="16" spans="1:17" ht="12.95" customHeight="1" x14ac:dyDescent="0.2">
      <c r="A16" s="291"/>
      <c r="B16" s="267"/>
      <c r="C16" s="292"/>
      <c r="D16" s="293"/>
      <c r="E16" s="292"/>
      <c r="F16" s="292"/>
      <c r="G16" s="336"/>
      <c r="H16" s="318"/>
      <c r="I16" s="294"/>
      <c r="J16" s="295"/>
      <c r="K16" s="354"/>
      <c r="L16" s="283"/>
      <c r="M16" s="283"/>
    </row>
    <row r="17" spans="1:16" ht="12.95" customHeight="1" x14ac:dyDescent="0.2">
      <c r="A17" s="842" t="s">
        <v>219</v>
      </c>
      <c r="B17" s="842"/>
      <c r="C17" s="254"/>
      <c r="D17" s="253"/>
      <c r="E17" s="254"/>
      <c r="F17" s="254"/>
      <c r="G17" s="332"/>
      <c r="H17" s="363"/>
      <c r="I17" s="281"/>
      <c r="J17" s="254"/>
      <c r="K17" s="350"/>
      <c r="L17" s="283"/>
      <c r="M17" s="283"/>
    </row>
    <row r="18" spans="1:16" ht="14.1" customHeight="1" x14ac:dyDescent="0.2">
      <c r="A18" s="95"/>
      <c r="B18" s="95"/>
      <c r="C18" s="256" t="s">
        <v>6</v>
      </c>
      <c r="D18" s="244">
        <f>INDEX([2]Kraje!B51:AK51,1,3*T!$A$4-2)</f>
        <v>84</v>
      </c>
      <c r="E18" s="96">
        <f>INDEX([2]Kraje!C51:AL51,1,3*T!$A$4-2)</f>
        <v>13134.2</v>
      </c>
      <c r="F18" s="96">
        <f>INDEX([2]Kraje!D51:AM51,1,3*T!$A$4-2)</f>
        <v>139937.42149000001</v>
      </c>
      <c r="G18" s="333">
        <f>E18/$E$22</f>
        <v>0.29605469287103758</v>
      </c>
      <c r="H18" s="315">
        <f>(E18-I18)/I18</f>
        <v>3.2530423571585886E-2</v>
      </c>
      <c r="I18" s="282">
        <f>INDEX([4]Kraje!C51:AL51,1,3*T!$A$4-2)</f>
        <v>12720.4</v>
      </c>
      <c r="J18" s="96">
        <f>INDEX([4]Kraje!D51:AM51,1,3*T!$A$4-2)</f>
        <v>135061.62848000007</v>
      </c>
      <c r="K18" s="351">
        <f>I18/$I$22</f>
        <v>0.29058927000879509</v>
      </c>
      <c r="L18" s="283"/>
      <c r="M18" s="283"/>
      <c r="N18" s="283"/>
    </row>
    <row r="19" spans="1:16" ht="14.1" customHeight="1" x14ac:dyDescent="0.2">
      <c r="A19" s="95"/>
      <c r="B19" s="95"/>
      <c r="C19" s="256" t="s">
        <v>7</v>
      </c>
      <c r="D19" s="244">
        <f>INDEX([2]Kraje!B52:AK52,1,3*T!$A$4-2)</f>
        <v>345</v>
      </c>
      <c r="E19" s="96">
        <f>INDEX([2]Kraje!C52:AL52,1,3*T!$A$4-2)</f>
        <v>4528.2</v>
      </c>
      <c r="F19" s="96">
        <f>INDEX([2]Kraje!D52:AM52,1,3*T!$A$4-2)</f>
        <v>48245.398030000004</v>
      </c>
      <c r="G19" s="333">
        <f t="shared" ref="G19:G20" si="1">E19/$E$22</f>
        <v>0.10206901526234048</v>
      </c>
      <c r="H19" s="315">
        <f>(E19-I19)/I19</f>
        <v>-0.13932182771991181</v>
      </c>
      <c r="I19" s="282">
        <f>INDEX([4]Kraje!C52:AL52,1,3*T!$A$4-2)</f>
        <v>5261.2</v>
      </c>
      <c r="J19" s="96">
        <f>INDEX([4]Kraje!D52:AM52,1,3*T!$A$4-2)</f>
        <v>55861.989169000037</v>
      </c>
      <c r="K19" s="351">
        <f t="shared" ref="K19:K21" si="2">I19/$I$22</f>
        <v>0.12018869433117454</v>
      </c>
      <c r="L19" s="286"/>
      <c r="M19" s="286"/>
      <c r="N19" s="283"/>
    </row>
    <row r="20" spans="1:16" ht="14.1" customHeight="1" x14ac:dyDescent="0.2">
      <c r="A20" s="291"/>
      <c r="B20" s="267"/>
      <c r="C20" s="256" t="s">
        <v>8</v>
      </c>
      <c r="D20" s="244">
        <f>INDEX([2]Kraje!B53:AK53,1,3*T!$A$4-2)</f>
        <v>11412</v>
      </c>
      <c r="E20" s="96">
        <f>INDEX([2]Kraje!C53:AL53,1,3*T!$A$4-2)</f>
        <v>9855.5</v>
      </c>
      <c r="F20" s="96">
        <f>INDEX([2]Kraje!D53:AM53,1,3*T!$A$4-2)</f>
        <v>105005</v>
      </c>
      <c r="G20" s="333">
        <f t="shared" si="1"/>
        <v>0.22215034228125891</v>
      </c>
      <c r="H20" s="315">
        <f t="shared" ref="H20:H22" si="3">(E20-I20)/I20</f>
        <v>1.8656330749354005E-2</v>
      </c>
      <c r="I20" s="282">
        <f>INDEX([4]Kraje!C53:AL53,1,3*T!$A$4-2)</f>
        <v>9675</v>
      </c>
      <c r="J20" s="96">
        <f>INDEX([4]Kraje!D53:AM53,1,3*T!$A$4-2)</f>
        <v>102726.2</v>
      </c>
      <c r="K20" s="351">
        <f t="shared" si="2"/>
        <v>0.22101908645444265</v>
      </c>
      <c r="L20" s="283"/>
      <c r="M20" s="283"/>
      <c r="N20" s="283"/>
      <c r="O20" s="283"/>
      <c r="P20" s="283"/>
    </row>
    <row r="21" spans="1:16" ht="14.1" customHeight="1" x14ac:dyDescent="0.2">
      <c r="A21" s="291"/>
      <c r="B21" s="267"/>
      <c r="C21" s="256" t="s">
        <v>9</v>
      </c>
      <c r="D21" s="244">
        <f>INDEX([2]Kraje!B54:AK54,1,3*T!$A$4-2)</f>
        <v>147495</v>
      </c>
      <c r="E21" s="96">
        <f>INDEX([2]Kraje!C54:AL54,1,3*T!$A$4-2)</f>
        <v>16846.2</v>
      </c>
      <c r="F21" s="96">
        <f>INDEX([2]Kraje!D54:AM54,1,3*T!$A$4-2)</f>
        <v>179487.3</v>
      </c>
      <c r="G21" s="333">
        <f>E21/$E$22</f>
        <v>0.37972594958536293</v>
      </c>
      <c r="H21" s="315">
        <f t="shared" si="3"/>
        <v>4.5185787230346455E-2</v>
      </c>
      <c r="I21" s="282">
        <f>INDEX([4]Kraje!C54:AL54,1,3*T!$A$4-2)</f>
        <v>16117.9</v>
      </c>
      <c r="J21" s="96">
        <f>INDEX([4]Kraje!D54:AM54,1,3*T!$A$4-2)</f>
        <v>171136.1</v>
      </c>
      <c r="K21" s="351">
        <f t="shared" si="2"/>
        <v>0.36820294920558772</v>
      </c>
      <c r="L21" s="283"/>
      <c r="M21" s="283"/>
      <c r="N21" s="283"/>
      <c r="O21" s="283"/>
      <c r="P21" s="283"/>
    </row>
    <row r="22" spans="1:16" ht="14.1" customHeight="1" x14ac:dyDescent="0.2">
      <c r="A22" s="291"/>
      <c r="B22" s="267"/>
      <c r="C22" s="258" t="s">
        <v>2</v>
      </c>
      <c r="D22" s="252">
        <f>SUM(D18:D21)</f>
        <v>159336</v>
      </c>
      <c r="E22" s="250">
        <f>SUM(E18:E21)</f>
        <v>44364.100000000006</v>
      </c>
      <c r="F22" s="251">
        <f>SUM(F18:F21)</f>
        <v>472675.11952000001</v>
      </c>
      <c r="G22" s="335">
        <f>SUM(G18:G21)</f>
        <v>0.99999999999999978</v>
      </c>
      <c r="H22" s="317">
        <f t="shared" si="3"/>
        <v>1.3469028772458985E-2</v>
      </c>
      <c r="I22" s="285">
        <f>SUM(I18:I21)</f>
        <v>43774.5</v>
      </c>
      <c r="J22" s="251">
        <f>SUM(J18:J21)</f>
        <v>464785.91764900007</v>
      </c>
      <c r="K22" s="353">
        <f>SUM(K18:K21)</f>
        <v>1</v>
      </c>
      <c r="L22" s="283"/>
      <c r="M22" s="283"/>
      <c r="N22" s="283"/>
      <c r="O22" s="283"/>
      <c r="P22" s="283"/>
    </row>
    <row r="23" spans="1:16" ht="12.95" customHeight="1" x14ac:dyDescent="0.2">
      <c r="A23" s="291"/>
      <c r="B23" s="267"/>
      <c r="C23" s="292"/>
      <c r="D23" s="293"/>
      <c r="E23" s="292"/>
      <c r="F23" s="292"/>
      <c r="G23" s="336"/>
      <c r="H23" s="318"/>
      <c r="I23" s="294"/>
      <c r="J23" s="295"/>
      <c r="K23" s="354"/>
      <c r="L23" s="283"/>
      <c r="M23" s="283"/>
      <c r="N23" s="283"/>
      <c r="O23" s="283"/>
      <c r="P23" s="283"/>
    </row>
    <row r="24" spans="1:16" ht="12.95" customHeight="1" x14ac:dyDescent="0.2">
      <c r="A24" s="842" t="s">
        <v>3</v>
      </c>
      <c r="B24" s="842"/>
      <c r="C24" s="254"/>
      <c r="D24" s="253"/>
      <c r="E24" s="254"/>
      <c r="F24" s="254"/>
      <c r="G24" s="332"/>
      <c r="H24" s="363"/>
      <c r="I24" s="281"/>
      <c r="J24" s="254"/>
      <c r="K24" s="350"/>
      <c r="L24" s="283"/>
      <c r="M24" s="283"/>
      <c r="N24" s="283"/>
      <c r="O24" s="283"/>
      <c r="P24" s="283"/>
    </row>
    <row r="25" spans="1:16" ht="14.1" customHeight="1" x14ac:dyDescent="0.2">
      <c r="A25" s="95"/>
      <c r="B25" s="95"/>
      <c r="C25" s="256" t="s">
        <v>6</v>
      </c>
      <c r="D25" s="244">
        <f>INDEX([2]Kraje!B57:AK57,1,3*T!$A$4-2)</f>
        <v>185</v>
      </c>
      <c r="E25" s="96">
        <f>INDEX([2]Kraje!C57:AL57,1,3*T!$A$4-2)</f>
        <v>25427.301524831939</v>
      </c>
      <c r="F25" s="96">
        <f>INDEX([2]Kraje!D57:AM57,1,3*T!$A$4-2)</f>
        <v>270198.62900000002</v>
      </c>
      <c r="G25" s="333">
        <f>E25/$E$29</f>
        <v>0.23914810858899505</v>
      </c>
      <c r="H25" s="315">
        <f>(E25-I25)/I25</f>
        <v>-0.17679809192004792</v>
      </c>
      <c r="I25" s="282">
        <f>INDEX([4]Kraje!C57:AL57,1,3*T!$A$4-2)</f>
        <v>30888.292744776238</v>
      </c>
      <c r="J25" s="96">
        <f>INDEX([4]Kraje!D57:AM57,1,3*T!$A$4-2)</f>
        <v>326801.75400000002</v>
      </c>
      <c r="K25" s="351">
        <f>I25/$I$29</f>
        <v>0.24196288653075743</v>
      </c>
      <c r="L25" s="286"/>
      <c r="N25" s="283"/>
      <c r="O25" s="283"/>
      <c r="P25" s="283"/>
    </row>
    <row r="26" spans="1:16" ht="14.1" customHeight="1" x14ac:dyDescent="0.2">
      <c r="A26" s="95"/>
      <c r="B26" s="95"/>
      <c r="C26" s="256" t="s">
        <v>7</v>
      </c>
      <c r="D26" s="244">
        <f>INDEX([2]Kraje!B58:AK58,1,3*T!$A$4-2)</f>
        <v>1636</v>
      </c>
      <c r="E26" s="96">
        <f>INDEX([2]Kraje!C58:AL58,1,3*T!$A$4-2)</f>
        <v>20384.915756356157</v>
      </c>
      <c r="F26" s="96">
        <f>INDEX([2]Kraje!D58:AM58,1,3*T!$A$4-2)</f>
        <v>216616.66099999999</v>
      </c>
      <c r="G26" s="333">
        <f t="shared" ref="G26:G28" si="4">E26/$E$29</f>
        <v>0.19172361023515253</v>
      </c>
      <c r="H26" s="315">
        <f t="shared" ref="H26:H29" si="5">(E26-I26)/I26</f>
        <v>-0.14240467159384257</v>
      </c>
      <c r="I26" s="282">
        <f>INDEX([4]Kraje!C58:AL58,1,3*T!$A$4-2)</f>
        <v>23769.854010564122</v>
      </c>
      <c r="J26" s="96">
        <f>INDEX([4]Kraje!D58:AM58,1,3*T!$A$4-2)</f>
        <v>251488.005</v>
      </c>
      <c r="K26" s="351">
        <f t="shared" ref="K26:K28" si="6">I26/$I$29</f>
        <v>0.18620072453772843</v>
      </c>
      <c r="L26" s="286"/>
      <c r="N26" s="283"/>
      <c r="O26" s="283"/>
      <c r="P26" s="283"/>
    </row>
    <row r="27" spans="1:16" ht="14.1" customHeight="1" x14ac:dyDescent="0.2">
      <c r="A27" s="291"/>
      <c r="B27" s="267"/>
      <c r="C27" s="256" t="s">
        <v>8</v>
      </c>
      <c r="D27" s="244">
        <f>INDEX([2]Kraje!B59:AK59,1,3*T!$A$4-2)</f>
        <v>38655</v>
      </c>
      <c r="E27" s="96">
        <f>INDEX([2]Kraje!C59:AL59,1,3*T!$A$4-2)</f>
        <v>24903.863513193508</v>
      </c>
      <c r="F27" s="96">
        <f>INDEX([2]Kraje!D59:AM59,1,3*T!$A$4-2)</f>
        <v>264636.45102607971</v>
      </c>
      <c r="G27" s="333">
        <f>E27/$E$29</f>
        <v>0.23422508479409226</v>
      </c>
      <c r="H27" s="315">
        <f t="shared" si="5"/>
        <v>-0.15594659711002667</v>
      </c>
      <c r="I27" s="282">
        <f>INDEX([4]Kraje!C59:AL59,1,3*T!$A$4-2)</f>
        <v>29505.080398852268</v>
      </c>
      <c r="J27" s="96">
        <f>INDEX([4]Kraje!D59:AM59,1,3*T!$A$4-2)</f>
        <v>312167.41186438024</v>
      </c>
      <c r="K27" s="351">
        <f t="shared" si="6"/>
        <v>0.2311275174583976</v>
      </c>
    </row>
    <row r="28" spans="1:16" ht="14.1" customHeight="1" x14ac:dyDescent="0.2">
      <c r="A28" s="291"/>
      <c r="B28" s="267"/>
      <c r="C28" s="256" t="s">
        <v>9</v>
      </c>
      <c r="D28" s="244">
        <f>INDEX([2]Kraje!B60:AK60,1,3*T!$A$4-2)</f>
        <v>388506</v>
      </c>
      <c r="E28" s="96">
        <f>INDEX([2]Kraje!C60:AL60,1,3*T!$A$4-2)</f>
        <v>35608.412737498402</v>
      </c>
      <c r="F28" s="96">
        <f>INDEX([2]Kraje!D60:AM60,1,3*T!$A$4-2)</f>
        <v>378386.42861703708</v>
      </c>
      <c r="G28" s="333">
        <f t="shared" si="4"/>
        <v>0.33490319638176025</v>
      </c>
      <c r="H28" s="315">
        <f t="shared" si="5"/>
        <v>-0.1813014421233333</v>
      </c>
      <c r="I28" s="282">
        <f>INDEX([4]Kraje!C60:AL60,1,3*T!$A$4-2)</f>
        <v>43493.923856236535</v>
      </c>
      <c r="J28" s="96">
        <f>INDEX([4]Kraje!D60:AM60,1,3*T!$A$4-2)</f>
        <v>460171.11149969744</v>
      </c>
      <c r="K28" s="351">
        <f t="shared" si="6"/>
        <v>0.34070887147311651</v>
      </c>
    </row>
    <row r="29" spans="1:16" ht="14.1" customHeight="1" x14ac:dyDescent="0.2">
      <c r="A29" s="291"/>
      <c r="B29" s="267"/>
      <c r="C29" s="258" t="s">
        <v>2</v>
      </c>
      <c r="D29" s="252">
        <f>SUM(D25:D28)</f>
        <v>428982</v>
      </c>
      <c r="E29" s="250">
        <f>SUM(E25:E28)</f>
        <v>106324.49353188</v>
      </c>
      <c r="F29" s="251">
        <f>SUM(F25:F28)</f>
        <v>1129838.1696431169</v>
      </c>
      <c r="G29" s="335">
        <f>SUM(G25:G28)</f>
        <v>1</v>
      </c>
      <c r="H29" s="317">
        <f t="shared" si="5"/>
        <v>-0.16710898927085066</v>
      </c>
      <c r="I29" s="285">
        <f>SUM(I25:I28)</f>
        <v>127657.15101042917</v>
      </c>
      <c r="J29" s="251">
        <f>SUM(J25:J28)</f>
        <v>1350628.2823640779</v>
      </c>
      <c r="K29" s="353">
        <f>SUM(K25:K28)</f>
        <v>1</v>
      </c>
    </row>
    <row r="30" spans="1:16" ht="12.95" customHeight="1" x14ac:dyDescent="0.2">
      <c r="A30" s="291"/>
      <c r="B30" s="267"/>
      <c r="C30" s="292"/>
      <c r="D30" s="293"/>
      <c r="E30" s="292"/>
      <c r="F30" s="292"/>
      <c r="G30" s="336"/>
      <c r="H30" s="318"/>
      <c r="I30" s="294"/>
      <c r="J30" s="295"/>
      <c r="K30" s="354"/>
    </row>
    <row r="31" spans="1:16" ht="12.95" customHeight="1" x14ac:dyDescent="0.2">
      <c r="A31" s="842" t="s">
        <v>220</v>
      </c>
      <c r="B31" s="842"/>
      <c r="C31" s="254"/>
      <c r="D31" s="253"/>
      <c r="E31" s="254"/>
      <c r="F31" s="254"/>
      <c r="G31" s="332"/>
      <c r="H31" s="363"/>
      <c r="I31" s="281"/>
      <c r="J31" s="254"/>
      <c r="K31" s="350"/>
    </row>
    <row r="32" spans="1:16" ht="14.1" customHeight="1" x14ac:dyDescent="0.2">
      <c r="A32" s="95"/>
      <c r="B32" s="95"/>
      <c r="C32" s="256" t="s">
        <v>6</v>
      </c>
      <c r="D32" s="244">
        <f>INDEX([2]Kraje!B63:AK63,1,3*T!$A$4-2)</f>
        <v>180</v>
      </c>
      <c r="E32" s="96">
        <f>INDEX([2]Kraje!C63:AL63,1,3*T!$A$4-2)</f>
        <v>48857.122000000003</v>
      </c>
      <c r="F32" s="96">
        <f>INDEX([2]Kraje!D63:AM63,1,3*T!$A$4-2)</f>
        <v>520536.54307999992</v>
      </c>
      <c r="G32" s="333">
        <f>E32/$E$36</f>
        <v>0.42858394523304383</v>
      </c>
      <c r="H32" s="315">
        <f>(E32-I32)/I32</f>
        <v>-0.10914749364140723</v>
      </c>
      <c r="I32" s="282">
        <f>INDEX([4]Kraje!C63:AL63,1,3*T!$A$4-2)</f>
        <v>54843.11</v>
      </c>
      <c r="J32" s="96">
        <f>INDEX([4]Kraje!D63:AM63,1,3*T!$A$4-2)</f>
        <v>582217.89887500007</v>
      </c>
      <c r="K32" s="351">
        <f>I32/$I$36</f>
        <v>0.45481585273426772</v>
      </c>
    </row>
    <row r="33" spans="1:11" ht="14.1" customHeight="1" x14ac:dyDescent="0.2">
      <c r="A33" s="95"/>
      <c r="B33" s="95"/>
      <c r="C33" s="256" t="s">
        <v>7</v>
      </c>
      <c r="D33" s="244">
        <f>INDEX([2]Kraje!B64:AK64,1,3*T!$A$4-2)</f>
        <v>648</v>
      </c>
      <c r="E33" s="96">
        <f>INDEX([2]Kraje!C64:AL64,1,3*T!$A$4-2)</f>
        <v>9151.2999999999993</v>
      </c>
      <c r="F33" s="96">
        <f>INDEX([2]Kraje!D64:AM64,1,3*T!$A$4-2)</f>
        <v>97502.043309999906</v>
      </c>
      <c r="G33" s="333">
        <f t="shared" ref="G33:G35" si="7">E33/$E$36</f>
        <v>8.0276940135998051E-2</v>
      </c>
      <c r="H33" s="315">
        <f t="shared" ref="H33:H36" si="8">(E33-I33)/I33</f>
        <v>-9.7237841570484443E-2</v>
      </c>
      <c r="I33" s="282">
        <f>INDEX([4]Kraje!C64:AL64,1,3*T!$A$4-2)</f>
        <v>10137</v>
      </c>
      <c r="J33" s="96">
        <f>INDEX([4]Kraje!D64:AM64,1,3*T!$A$4-2)</f>
        <v>107632.06214799994</v>
      </c>
      <c r="K33" s="351">
        <f t="shared" ref="K33:K35" si="9">I33/$I$36</f>
        <v>8.4066499860552618E-2</v>
      </c>
    </row>
    <row r="34" spans="1:11" ht="14.1" customHeight="1" x14ac:dyDescent="0.2">
      <c r="A34" s="291"/>
      <c r="B34" s="267"/>
      <c r="C34" s="256" t="s">
        <v>8</v>
      </c>
      <c r="D34" s="244">
        <f>INDEX([2]Kraje!B65:AK65,1,3*T!$A$4-2)</f>
        <v>18019</v>
      </c>
      <c r="E34" s="96">
        <f>INDEX([2]Kraje!C65:AL65,1,3*T!$A$4-2)</f>
        <v>16085.9</v>
      </c>
      <c r="F34" s="96">
        <f>INDEX([2]Kraje!D65:AM65,1,3*T!$A$4-2)</f>
        <v>171386.9</v>
      </c>
      <c r="G34" s="333">
        <f t="shared" si="7"/>
        <v>0.14110856723456244</v>
      </c>
      <c r="H34" s="315">
        <f t="shared" si="8"/>
        <v>3.5247732291913609E-3</v>
      </c>
      <c r="I34" s="282">
        <f>INDEX([4]Kraje!C65:AL65,1,3*T!$A$4-2)</f>
        <v>16029.4</v>
      </c>
      <c r="J34" s="96">
        <f>INDEX([4]Kraje!D65:AM65,1,3*T!$A$4-2)</f>
        <v>170196</v>
      </c>
      <c r="K34" s="351">
        <f t="shared" si="9"/>
        <v>0.13293238165776286</v>
      </c>
    </row>
    <row r="35" spans="1:11" ht="14.1" customHeight="1" x14ac:dyDescent="0.2">
      <c r="A35" s="291"/>
      <c r="B35" s="267"/>
      <c r="C35" s="256" t="s">
        <v>9</v>
      </c>
      <c r="D35" s="244">
        <f>INDEX([2]Kraje!B66:AK66,1,3*T!$A$4-2)</f>
        <v>234583</v>
      </c>
      <c r="E35" s="96">
        <f>INDEX([2]Kraje!C66:AL66,1,3*T!$A$4-2)</f>
        <v>39902.300000000003</v>
      </c>
      <c r="F35" s="96">
        <f>INDEX([2]Kraje!D66:AM66,1,3*T!$A$4-2)</f>
        <v>425138.1</v>
      </c>
      <c r="G35" s="333">
        <f t="shared" si="7"/>
        <v>0.35003054739639566</v>
      </c>
      <c r="H35" s="315">
        <f t="shared" si="8"/>
        <v>8.3060424121132372E-3</v>
      </c>
      <c r="I35" s="282">
        <f>INDEX([4]Kraje!C66:AL66,1,3*T!$A$4-2)</f>
        <v>39573.599999999999</v>
      </c>
      <c r="J35" s="96">
        <f>INDEX([4]Kraje!D66:AM66,1,3*T!$A$4-2)</f>
        <v>420182.2</v>
      </c>
      <c r="K35" s="351">
        <f t="shared" si="9"/>
        <v>0.32818526574741691</v>
      </c>
    </row>
    <row r="36" spans="1:11" ht="14.1" customHeight="1" x14ac:dyDescent="0.2">
      <c r="A36" s="291"/>
      <c r="B36" s="267"/>
      <c r="C36" s="258" t="s">
        <v>2</v>
      </c>
      <c r="D36" s="252">
        <f>SUM(D32:D35)</f>
        <v>253430</v>
      </c>
      <c r="E36" s="250">
        <f>SUM(E32:E35)</f>
        <v>113996.622</v>
      </c>
      <c r="F36" s="251">
        <f>SUM(F32:F35)</f>
        <v>1214563.5863899998</v>
      </c>
      <c r="G36" s="335">
        <f>SUM(G32:G35)</f>
        <v>1</v>
      </c>
      <c r="H36" s="317">
        <f t="shared" si="8"/>
        <v>-5.4621978152661545E-2</v>
      </c>
      <c r="I36" s="285">
        <f>SUM(I32:I35)</f>
        <v>120583.10999999999</v>
      </c>
      <c r="J36" s="251">
        <f>SUM(J32:J35)</f>
        <v>1280228.161023</v>
      </c>
      <c r="K36" s="353">
        <f>SUM(K32:K35)</f>
        <v>1</v>
      </c>
    </row>
    <row r="37" spans="1:11" ht="12.95" customHeight="1" x14ac:dyDescent="0.2">
      <c r="A37" s="291"/>
      <c r="B37" s="267"/>
      <c r="C37" s="292"/>
      <c r="D37" s="293"/>
      <c r="E37" s="292"/>
      <c r="F37" s="292"/>
      <c r="G37" s="336"/>
      <c r="H37" s="318"/>
      <c r="I37" s="294"/>
      <c r="J37" s="295"/>
      <c r="K37" s="354"/>
    </row>
    <row r="38" spans="1:11" ht="12.95" customHeight="1" x14ac:dyDescent="0.2">
      <c r="A38" s="842" t="s">
        <v>221</v>
      </c>
      <c r="B38" s="842"/>
      <c r="C38" s="254"/>
      <c r="D38" s="253"/>
      <c r="E38" s="254"/>
      <c r="F38" s="254"/>
      <c r="G38" s="332"/>
      <c r="H38" s="363"/>
      <c r="I38" s="281"/>
      <c r="J38" s="254"/>
      <c r="K38" s="350"/>
    </row>
    <row r="39" spans="1:11" ht="14.1" customHeight="1" x14ac:dyDescent="0.2">
      <c r="A39" s="95"/>
      <c r="B39" s="95"/>
      <c r="C39" s="256" t="s">
        <v>6</v>
      </c>
      <c r="D39" s="244">
        <f>INDEX([2]Kraje!B69:AK69,1,3*T!$A$4-2)</f>
        <v>129</v>
      </c>
      <c r="E39" s="96">
        <f>INDEX([2]Kraje!C69:AL69,1,3*T!$A$4-2)</f>
        <v>51992.356999999996</v>
      </c>
      <c r="F39" s="96">
        <f>INDEX([2]Kraje!D69:AM69,1,3*T!$A$4-2)</f>
        <v>553737.01014999975</v>
      </c>
      <c r="G39" s="333">
        <f>E39/$E$43</f>
        <v>0.5960727112456029</v>
      </c>
      <c r="H39" s="315">
        <f>(E39-I39)/I39</f>
        <v>0.10909629559218516</v>
      </c>
      <c r="I39" s="282">
        <f>INDEX([4]Kraje!C69:AL69,1,3*T!$A$4-2)</f>
        <v>46878.127</v>
      </c>
      <c r="J39" s="96">
        <f>INDEX([4]Kraje!D69:AM69,1,3*T!$A$4-2)</f>
        <v>497739.4790900001</v>
      </c>
      <c r="K39" s="351">
        <f>I39/$I$43</f>
        <v>0.57057653427045996</v>
      </c>
    </row>
    <row r="40" spans="1:11" ht="14.1" customHeight="1" x14ac:dyDescent="0.2">
      <c r="A40" s="95"/>
      <c r="B40" s="95"/>
      <c r="C40" s="256" t="s">
        <v>7</v>
      </c>
      <c r="D40" s="244">
        <f>INDEX([2]Kraje!B70:AK70,1,3*T!$A$4-2)</f>
        <v>343</v>
      </c>
      <c r="E40" s="96">
        <f>INDEX([2]Kraje!C70:AL70,1,3*T!$A$4-2)</f>
        <v>4620.2</v>
      </c>
      <c r="F40" s="96">
        <f>INDEX([2]Kraje!D70:AM70,1,3*T!$A$4-2)</f>
        <v>49225.273930000047</v>
      </c>
      <c r="G40" s="333">
        <f t="shared" ref="G40:G41" si="10">E40/$E$43</f>
        <v>5.296884579587216E-2</v>
      </c>
      <c r="H40" s="315">
        <f t="shared" ref="H40:H43" si="11">(E40-I40)/I40</f>
        <v>-9.4238271677547072E-2</v>
      </c>
      <c r="I40" s="282">
        <f>INDEX([4]Kraje!C70:AL70,1,3*T!$A$4-2)</f>
        <v>5100.8999999999996</v>
      </c>
      <c r="J40" s="96">
        <f>INDEX([4]Kraje!D70:AM70,1,3*T!$A$4-2)</f>
        <v>54160.362173000038</v>
      </c>
      <c r="K40" s="351">
        <f t="shared" ref="K40:K42" si="12">I40/$I$43</f>
        <v>6.2085540313080105E-2</v>
      </c>
    </row>
    <row r="41" spans="1:11" ht="14.1" customHeight="1" x14ac:dyDescent="0.2">
      <c r="A41" s="291"/>
      <c r="B41" s="267"/>
      <c r="C41" s="256" t="s">
        <v>8</v>
      </c>
      <c r="D41" s="244">
        <f>INDEX([2]Kraje!B71:AK71,1,3*T!$A$4-2)</f>
        <v>12396</v>
      </c>
      <c r="E41" s="96">
        <f>INDEX([2]Kraje!C71:AL71,1,3*T!$A$4-2)</f>
        <v>9440.1</v>
      </c>
      <c r="F41" s="96">
        <f>INDEX([2]Kraje!D71:AM71,1,3*T!$A$4-2)</f>
        <v>100579.3</v>
      </c>
      <c r="G41" s="333">
        <f t="shared" si="10"/>
        <v>0.10822717657192607</v>
      </c>
      <c r="H41" s="315">
        <f t="shared" si="11"/>
        <v>1.1594637747939941E-2</v>
      </c>
      <c r="I41" s="282">
        <f>INDEX([4]Kraje!C71:AL71,1,3*T!$A$4-2)</f>
        <v>9331.9</v>
      </c>
      <c r="J41" s="96">
        <f>INDEX([4]Kraje!D71:AM71,1,3*T!$A$4-2)</f>
        <v>99084.1</v>
      </c>
      <c r="K41" s="351">
        <f t="shared" si="12"/>
        <v>0.11358310369692257</v>
      </c>
    </row>
    <row r="42" spans="1:11" ht="14.1" customHeight="1" x14ac:dyDescent="0.2">
      <c r="A42" s="291"/>
      <c r="B42" s="267"/>
      <c r="C42" s="256" t="s">
        <v>9</v>
      </c>
      <c r="D42" s="244">
        <f>INDEX([2]Kraje!B72:AK72,1,3*T!$A$4-2)</f>
        <v>214016</v>
      </c>
      <c r="E42" s="96">
        <f>INDEX([2]Kraje!C72:AL72,1,3*T!$A$4-2)</f>
        <v>21172.2</v>
      </c>
      <c r="F42" s="96">
        <f>INDEX([2]Kraje!D72:AM72,1,3*T!$A$4-2)</f>
        <v>225578</v>
      </c>
      <c r="G42" s="333">
        <f>E42/$E$43</f>
        <v>0.24273126638659898</v>
      </c>
      <c r="H42" s="315">
        <f t="shared" si="11"/>
        <v>1.553603890964738E-2</v>
      </c>
      <c r="I42" s="282">
        <f>INDEX([4]Kraje!C72:AL72,1,3*T!$A$4-2)</f>
        <v>20848.3</v>
      </c>
      <c r="J42" s="96">
        <f>INDEX([4]Kraje!D72:AM72,1,3*T!$A$4-2)</f>
        <v>221361.7</v>
      </c>
      <c r="K42" s="351">
        <f t="shared" si="12"/>
        <v>0.25375482171953734</v>
      </c>
    </row>
    <row r="43" spans="1:11" ht="14.1" customHeight="1" x14ac:dyDescent="0.2">
      <c r="A43" s="291"/>
      <c r="B43" s="267"/>
      <c r="C43" s="258" t="s">
        <v>2</v>
      </c>
      <c r="D43" s="252">
        <f>SUM(D39:D42)</f>
        <v>226884</v>
      </c>
      <c r="E43" s="250">
        <f>SUM(E39:E42)</f>
        <v>87224.856999999989</v>
      </c>
      <c r="F43" s="251">
        <f>SUM(F39:F42)</f>
        <v>929119.58407999983</v>
      </c>
      <c r="G43" s="335">
        <f>SUM(G39:G42)</f>
        <v>1</v>
      </c>
      <c r="H43" s="317">
        <f t="shared" si="11"/>
        <v>6.16562519508611E-2</v>
      </c>
      <c r="I43" s="285">
        <f>SUM(I39:I42)</f>
        <v>82159.226999999999</v>
      </c>
      <c r="J43" s="251">
        <f>SUM(J39:J42)</f>
        <v>872345.6412630002</v>
      </c>
      <c r="K43" s="353">
        <f>SUM(K39:K42)</f>
        <v>1</v>
      </c>
    </row>
    <row r="44" spans="1:11" ht="12.95" customHeight="1" x14ac:dyDescent="0.2">
      <c r="A44" s="291"/>
      <c r="B44" s="267"/>
      <c r="C44" s="292"/>
      <c r="D44" s="293"/>
      <c r="E44" s="292"/>
      <c r="F44" s="292"/>
      <c r="G44" s="336"/>
      <c r="H44" s="318"/>
      <c r="I44" s="294"/>
      <c r="J44" s="295"/>
      <c r="K44" s="354"/>
    </row>
    <row r="45" spans="1:11" ht="12.95" customHeight="1" x14ac:dyDescent="0.2">
      <c r="A45" s="842" t="s">
        <v>222</v>
      </c>
      <c r="B45" s="842"/>
      <c r="C45" s="254"/>
      <c r="D45" s="253"/>
      <c r="E45" s="254"/>
      <c r="F45" s="254"/>
      <c r="G45" s="332"/>
      <c r="H45" s="363"/>
      <c r="I45" s="281"/>
      <c r="J45" s="254"/>
      <c r="K45" s="350"/>
    </row>
    <row r="46" spans="1:11" ht="14.1" customHeight="1" x14ac:dyDescent="0.2">
      <c r="A46" s="95"/>
      <c r="B46" s="95"/>
      <c r="C46" s="256" t="s">
        <v>6</v>
      </c>
      <c r="D46" s="244">
        <f>INDEX([2]Kraje!B75:AK75,1,3*T!$A$4-2)</f>
        <v>98</v>
      </c>
      <c r="E46" s="96">
        <f>INDEX([2]Kraje!C75:AL75,1,3*T!$A$4-2)</f>
        <v>12365.621000000001</v>
      </c>
      <c r="F46" s="96">
        <f>INDEX([2]Kraje!D75:AM75,1,3*T!$A$4-2)</f>
        <v>131726.02058000001</v>
      </c>
      <c r="G46" s="333">
        <f>E46/$E$50</f>
        <v>0.29526228241349051</v>
      </c>
      <c r="H46" s="315">
        <f>(E46-I46)/I46</f>
        <v>-4.5643644211093006E-3</v>
      </c>
      <c r="I46" s="282">
        <f>INDEX([4]Kraje!C75:AL75,1,3*T!$A$4-2)</f>
        <v>12422.321</v>
      </c>
      <c r="J46" s="96">
        <f>INDEX([4]Kraje!D75:AM75,1,3*T!$A$4-2)</f>
        <v>131873.24473099996</v>
      </c>
      <c r="K46" s="351">
        <f>I46/$I$50</f>
        <v>0.29373561035367862</v>
      </c>
    </row>
    <row r="47" spans="1:11" ht="14.1" customHeight="1" x14ac:dyDescent="0.2">
      <c r="A47" s="95"/>
      <c r="B47" s="95"/>
      <c r="C47" s="256" t="s">
        <v>7</v>
      </c>
      <c r="D47" s="244">
        <f>INDEX([2]Kraje!B76:AK76,1,3*T!$A$4-2)</f>
        <v>335</v>
      </c>
      <c r="E47" s="96">
        <f>INDEX([2]Kraje!C76:AL76,1,3*T!$A$4-2)</f>
        <v>4434.3630000000003</v>
      </c>
      <c r="F47" s="96">
        <f>INDEX([2]Kraje!D76:AM76,1,3*T!$A$4-2)</f>
        <v>47239.052049999998</v>
      </c>
      <c r="G47" s="333">
        <f t="shared" ref="G47:G49" si="13">E47/$E$50</f>
        <v>0.1058822796226678</v>
      </c>
      <c r="H47" s="315">
        <f t="shared" ref="H47:H50" si="14">(E47-I47)/I47</f>
        <v>-7.6513563872269347E-2</v>
      </c>
      <c r="I47" s="282">
        <f>INDEX([4]Kraje!C76:AL76,1,3*T!$A$4-2)</f>
        <v>4801.7629999999999</v>
      </c>
      <c r="J47" s="96">
        <f>INDEX([4]Kraje!D76:AM76,1,3*T!$A$4-2)</f>
        <v>50976.333376000017</v>
      </c>
      <c r="K47" s="351">
        <f t="shared" ref="K47:K49" si="15">I47/$I$50</f>
        <v>0.11354148597341115</v>
      </c>
    </row>
    <row r="48" spans="1:11" ht="14.1" customHeight="1" x14ac:dyDescent="0.2">
      <c r="A48" s="291"/>
      <c r="B48" s="267"/>
      <c r="C48" s="256" t="s">
        <v>8</v>
      </c>
      <c r="D48" s="244">
        <f>INDEX([2]Kraje!B77:AK77,1,3*T!$A$4-2)</f>
        <v>10169</v>
      </c>
      <c r="E48" s="96">
        <f>INDEX([2]Kraje!C77:AL77,1,3*T!$A$4-2)</f>
        <v>8684.4014800000004</v>
      </c>
      <c r="F48" s="96">
        <f>INDEX([2]Kraje!D77:AM77,1,3*T!$A$4-2)</f>
        <v>92519.491355999999</v>
      </c>
      <c r="G48" s="333">
        <f t="shared" si="13"/>
        <v>0.20736331821749146</v>
      </c>
      <c r="H48" s="315">
        <f t="shared" si="14"/>
        <v>-3.6143712317554516E-4</v>
      </c>
      <c r="I48" s="282">
        <f>INDEX([4]Kraje!C77:AL77,1,3*T!$A$4-2)</f>
        <v>8687.5414799999999</v>
      </c>
      <c r="J48" s="96">
        <f>INDEX([4]Kraje!D77:AM77,1,3*T!$A$4-2)</f>
        <v>92227.067167999994</v>
      </c>
      <c r="K48" s="351">
        <f t="shared" si="15"/>
        <v>0.20542379311408071</v>
      </c>
    </row>
    <row r="49" spans="1:11" ht="14.1" customHeight="1" x14ac:dyDescent="0.2">
      <c r="A49" s="291"/>
      <c r="B49" s="267"/>
      <c r="C49" s="256" t="s">
        <v>9</v>
      </c>
      <c r="D49" s="244">
        <f>INDEX([2]Kraje!B78:AK78,1,3*T!$A$4-2)</f>
        <v>104894</v>
      </c>
      <c r="E49" s="96">
        <f>INDEX([2]Kraje!C78:AL78,1,3*T!$A$4-2)</f>
        <v>16395.738519999999</v>
      </c>
      <c r="F49" s="96">
        <f>INDEX([2]Kraje!D78:AM78,1,3*T!$A$4-2)</f>
        <v>174670.306644</v>
      </c>
      <c r="G49" s="333">
        <f t="shared" si="13"/>
        <v>0.39149211974635034</v>
      </c>
      <c r="H49" s="315">
        <f t="shared" si="14"/>
        <v>1.0098174205412252E-3</v>
      </c>
      <c r="I49" s="282">
        <f>INDEX([4]Kraje!C78:AL78,1,3*T!$A$4-2)</f>
        <v>16379.19852</v>
      </c>
      <c r="J49" s="96">
        <f>INDEX([4]Kraje!D78:AM78,1,3*T!$A$4-2)</f>
        <v>173878.776832</v>
      </c>
      <c r="K49" s="351">
        <f t="shared" si="15"/>
        <v>0.38729911055882948</v>
      </c>
    </row>
    <row r="50" spans="1:11" ht="14.1" customHeight="1" x14ac:dyDescent="0.2">
      <c r="A50" s="291"/>
      <c r="B50" s="267"/>
      <c r="C50" s="258" t="s">
        <v>2</v>
      </c>
      <c r="D50" s="252">
        <f>SUM(D46:D49)</f>
        <v>115496</v>
      </c>
      <c r="E50" s="250">
        <f>SUM(E46:E49)</f>
        <v>41880.123999999996</v>
      </c>
      <c r="F50" s="251">
        <f>SUM(F46:F49)</f>
        <v>446154.87063000002</v>
      </c>
      <c r="G50" s="335">
        <f>SUM(G46:G49)</f>
        <v>1</v>
      </c>
      <c r="H50" s="317">
        <f t="shared" si="14"/>
        <v>-9.7113265043027863E-3</v>
      </c>
      <c r="I50" s="285">
        <f>SUM(I46:I49)</f>
        <v>42290.824000000001</v>
      </c>
      <c r="J50" s="251">
        <f>SUM(J46:J49)</f>
        <v>448955.42210699996</v>
      </c>
      <c r="K50" s="353">
        <f>SUM(K46:K49)</f>
        <v>1</v>
      </c>
    </row>
    <row r="51" spans="1:11" ht="12.95" customHeight="1" x14ac:dyDescent="0.2">
      <c r="A51" s="291"/>
      <c r="B51" s="267"/>
      <c r="C51" s="292"/>
      <c r="D51" s="293"/>
      <c r="E51" s="292"/>
      <c r="F51" s="292"/>
      <c r="G51" s="336"/>
      <c r="H51" s="318"/>
      <c r="I51" s="294"/>
      <c r="J51" s="295"/>
      <c r="K51" s="354"/>
    </row>
    <row r="52" spans="1:11" ht="12.95" customHeight="1" x14ac:dyDescent="0.2">
      <c r="A52" s="842" t="s">
        <v>223</v>
      </c>
      <c r="B52" s="842"/>
      <c r="C52" s="254"/>
      <c r="D52" s="253"/>
      <c r="E52" s="254"/>
      <c r="F52" s="254"/>
      <c r="G52" s="332"/>
      <c r="H52" s="363"/>
      <c r="I52" s="281"/>
      <c r="J52" s="254"/>
      <c r="K52" s="350"/>
    </row>
    <row r="53" spans="1:11" ht="14.1" customHeight="1" x14ac:dyDescent="0.2">
      <c r="A53" s="95"/>
      <c r="B53" s="95"/>
      <c r="C53" s="256" t="s">
        <v>6</v>
      </c>
      <c r="D53" s="244">
        <f>INDEX([2]Kraje!B81:AK81,1,3*T!$A$4-2)</f>
        <v>69</v>
      </c>
      <c r="E53" s="96">
        <f>INDEX([2]Kraje!C81:AL81,1,3*T!$A$4-2)</f>
        <v>14870.5</v>
      </c>
      <c r="F53" s="96">
        <f>INDEX([2]Kraje!D81:AM81,1,3*T!$A$4-2)</f>
        <v>158436.68111000003</v>
      </c>
      <c r="G53" s="333">
        <f>E53/$E$57</f>
        <v>0.28827625513238553</v>
      </c>
      <c r="H53" s="315">
        <f>(E53-I53)/I53</f>
        <v>-0.12314477943734566</v>
      </c>
      <c r="I53" s="282">
        <f>INDEX([4]Kraje!C81:AL81,1,3*T!$A$4-2)</f>
        <v>16958.900000000001</v>
      </c>
      <c r="J53" s="96">
        <f>INDEX([4]Kraje!D81:AM81,1,3*T!$A$4-2)</f>
        <v>180065.39632600002</v>
      </c>
      <c r="K53" s="351">
        <f>I53/$I$57</f>
        <v>0.31527334447520133</v>
      </c>
    </row>
    <row r="54" spans="1:11" ht="14.1" customHeight="1" x14ac:dyDescent="0.2">
      <c r="A54" s="95"/>
      <c r="B54" s="95"/>
      <c r="C54" s="256" t="s">
        <v>7</v>
      </c>
      <c r="D54" s="244">
        <f>INDEX([2]Kraje!B82:AK82,1,3*T!$A$4-2)</f>
        <v>347</v>
      </c>
      <c r="E54" s="96">
        <f>INDEX([2]Kraje!C82:AL82,1,3*T!$A$4-2)</f>
        <v>4432.1000000000004</v>
      </c>
      <c r="F54" s="96">
        <f>INDEX([2]Kraje!D82:AM82,1,3*T!$A$4-2)</f>
        <v>47221.233420000033</v>
      </c>
      <c r="G54" s="333">
        <f t="shared" ref="G54:G56" si="16">E54/$E$57</f>
        <v>8.5919719604064818E-2</v>
      </c>
      <c r="H54" s="315">
        <f t="shared" ref="H54:H57" si="17">(E54-I54)/I54</f>
        <v>-6.9003907070537315E-2</v>
      </c>
      <c r="I54" s="282">
        <f>INDEX([4]Kraje!C82:AL82,1,3*T!$A$4-2)</f>
        <v>4760.6000000000004</v>
      </c>
      <c r="J54" s="96">
        <f>INDEX([4]Kraje!D82:AM82,1,3*T!$A$4-2)</f>
        <v>50547.307430000015</v>
      </c>
      <c r="K54" s="351">
        <f t="shared" ref="K54:K56" si="18">I54/$I$57</f>
        <v>8.8501629451712277E-2</v>
      </c>
    </row>
    <row r="55" spans="1:11" ht="14.1" customHeight="1" x14ac:dyDescent="0.2">
      <c r="A55" s="291"/>
      <c r="B55" s="267"/>
      <c r="C55" s="256" t="s">
        <v>8</v>
      </c>
      <c r="D55" s="244">
        <f>INDEX([2]Kraje!B83:AK83,1,3*T!$A$4-2)</f>
        <v>10436</v>
      </c>
      <c r="E55" s="96">
        <f>INDEX([2]Kraje!C83:AL83,1,3*T!$A$4-2)</f>
        <v>9913.2000000000007</v>
      </c>
      <c r="F55" s="96">
        <f>INDEX([2]Kraje!D83:AM83,1,3*T!$A$4-2)</f>
        <v>105619.6</v>
      </c>
      <c r="G55" s="333">
        <f t="shared" si="16"/>
        <v>0.19217512339049556</v>
      </c>
      <c r="H55" s="315">
        <f t="shared" si="17"/>
        <v>1.525545306675055E-3</v>
      </c>
      <c r="I55" s="282">
        <f>INDEX([4]Kraje!C83:AL83,1,3*T!$A$4-2)</f>
        <v>9898.1</v>
      </c>
      <c r="J55" s="96">
        <f>INDEX([4]Kraje!D83:AM83,1,3*T!$A$4-2)</f>
        <v>105095.7</v>
      </c>
      <c r="K55" s="351">
        <f t="shared" si="18"/>
        <v>0.18400999421837444</v>
      </c>
    </row>
    <row r="56" spans="1:11" ht="14.1" customHeight="1" x14ac:dyDescent="0.2">
      <c r="A56" s="291"/>
      <c r="B56" s="267"/>
      <c r="C56" s="256" t="s">
        <v>9</v>
      </c>
      <c r="D56" s="244">
        <f>INDEX([2]Kraje!B84:AK84,1,3*T!$A$4-2)</f>
        <v>148140</v>
      </c>
      <c r="E56" s="96">
        <f>INDEX([2]Kraje!C84:AL84,1,3*T!$A$4-2)</f>
        <v>22368.400000000001</v>
      </c>
      <c r="F56" s="96">
        <f>INDEX([2]Kraje!D84:AM84,1,3*T!$A$4-2)</f>
        <v>238323.7</v>
      </c>
      <c r="G56" s="333">
        <f t="shared" si="16"/>
        <v>0.4336289018730542</v>
      </c>
      <c r="H56" s="315">
        <f t="shared" si="17"/>
        <v>8.7897715741764477E-3</v>
      </c>
      <c r="I56" s="282">
        <f>INDEX([4]Kraje!C84:AL84,1,3*T!$A$4-2)</f>
        <v>22173.5</v>
      </c>
      <c r="J56" s="96">
        <f>INDEX([4]Kraje!D84:AM84,1,3*T!$A$4-2)</f>
        <v>235432.4</v>
      </c>
      <c r="K56" s="351">
        <f t="shared" si="18"/>
        <v>0.41221503185471203</v>
      </c>
    </row>
    <row r="57" spans="1:11" ht="14.1" customHeight="1" x14ac:dyDescent="0.2">
      <c r="A57" s="291"/>
      <c r="B57" s="267"/>
      <c r="C57" s="258" t="s">
        <v>2</v>
      </c>
      <c r="D57" s="252">
        <f>SUM(D53:D56)</f>
        <v>158992</v>
      </c>
      <c r="E57" s="250">
        <f>SUM(E53:E56)</f>
        <v>51584.2</v>
      </c>
      <c r="F57" s="251">
        <f>SUM(F53:F56)</f>
        <v>549601.21453</v>
      </c>
      <c r="G57" s="335">
        <f>SUM(G53:G56)</f>
        <v>1</v>
      </c>
      <c r="H57" s="317">
        <f t="shared" si="17"/>
        <v>-4.1027233129644153E-2</v>
      </c>
      <c r="I57" s="285">
        <f>SUM(I53:I56)</f>
        <v>53791.1</v>
      </c>
      <c r="J57" s="251">
        <f>SUM(J53:J56)</f>
        <v>571140.80375600001</v>
      </c>
      <c r="K57" s="353">
        <f>SUM(K53:K56)</f>
        <v>1</v>
      </c>
    </row>
    <row r="58" spans="1:11" ht="12.95" customHeight="1" x14ac:dyDescent="0.2">
      <c r="A58" s="291"/>
      <c r="B58" s="267"/>
      <c r="C58" s="174"/>
      <c r="D58" s="296"/>
      <c r="E58" s="174"/>
      <c r="F58" s="174"/>
      <c r="G58" s="337"/>
      <c r="H58" s="319"/>
      <c r="I58" s="297"/>
      <c r="J58" s="298"/>
      <c r="K58" s="355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52:B52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19</vt:i4>
      </vt:variant>
    </vt:vector>
  </HeadingPairs>
  <TitlesOfParts>
    <vt:vector size="3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'2'!Oblast_tisku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2016-02-03T10:38:16Z</cp:lastPrinted>
  <dcterms:created xsi:type="dcterms:W3CDTF">2010-02-15T08:19:53Z</dcterms:created>
  <dcterms:modified xsi:type="dcterms:W3CDTF">2016-02-03T10:38:28Z</dcterms:modified>
</cp:coreProperties>
</file>