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2840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'1'!$A$1:$C$33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'2'!$A$1:$D$36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N30" i="98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K30" i="98" s="1"/>
  <c r="L17" i="98"/>
  <c r="L30" i="98" s="1"/>
  <c r="M17" i="98"/>
  <c r="M30" i="98" s="1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N33" i="97"/>
  <c r="O33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K9" i="97" s="1"/>
  <c r="L7" i="97"/>
  <c r="L9" i="97" s="1"/>
  <c r="M7" i="97"/>
  <c r="M9" i="97" s="1"/>
  <c r="N7" i="97"/>
  <c r="O7" i="97"/>
  <c r="D7" i="97"/>
  <c r="D9" i="97" s="1"/>
  <c r="P26" i="94"/>
  <c r="P25" i="94"/>
  <c r="P24" i="94"/>
  <c r="P23" i="94"/>
  <c r="P22" i="94"/>
  <c r="P21" i="94"/>
  <c r="M17" i="97" l="1"/>
  <c r="M33" i="97" s="1"/>
  <c r="M12" i="97"/>
  <c r="M21" i="97"/>
  <c r="L12" i="97"/>
  <c r="L21" i="97"/>
  <c r="L17" i="97"/>
  <c r="L33" i="97" s="1"/>
  <c r="J9" i="97"/>
  <c r="K17" i="97"/>
  <c r="K33" i="97" s="1"/>
  <c r="K12" i="97"/>
  <c r="K21" i="97"/>
  <c r="J21" i="97"/>
  <c r="J12" i="97"/>
  <c r="J17" i="97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N40" i="96"/>
  <c r="O40" i="96"/>
  <c r="N41" i="96"/>
  <c r="O41" i="96"/>
  <c r="N42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N37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N30" i="96"/>
  <c r="O30" i="96"/>
  <c r="J31" i="96"/>
  <c r="K31" i="96"/>
  <c r="L31" i="96"/>
  <c r="M31" i="96"/>
  <c r="N31" i="96"/>
  <c r="O31" i="96"/>
  <c r="N32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N23" i="96"/>
  <c r="O23" i="96"/>
  <c r="J24" i="96"/>
  <c r="K24" i="96"/>
  <c r="L24" i="96"/>
  <c r="M24" i="96"/>
  <c r="N24" i="96"/>
  <c r="O24" i="96"/>
  <c r="N25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N16" i="96"/>
  <c r="O16" i="96"/>
  <c r="J17" i="96"/>
  <c r="K17" i="96"/>
  <c r="L17" i="96"/>
  <c r="M17" i="96"/>
  <c r="N17" i="96"/>
  <c r="O17" i="96"/>
  <c r="N18" i="96"/>
  <c r="O18" i="96"/>
  <c r="J10" i="96"/>
  <c r="K10" i="96"/>
  <c r="L10" i="96"/>
  <c r="M10" i="96"/>
  <c r="N10" i="96"/>
  <c r="O10" i="96"/>
  <c r="N11" i="96"/>
  <c r="O11" i="96"/>
  <c r="N9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M41" i="96" l="1"/>
  <c r="M40" i="96"/>
  <c r="M37" i="96" s="1"/>
  <c r="M42" i="96"/>
  <c r="M32" i="96" s="1"/>
  <c r="M34" i="97"/>
  <c r="L40" i="96"/>
  <c r="L23" i="96" s="1"/>
  <c r="L41" i="96"/>
  <c r="J33" i="97"/>
  <c r="L42" i="96"/>
  <c r="L32" i="96" s="1"/>
  <c r="L34" i="97"/>
  <c r="K34" i="97"/>
  <c r="K41" i="96"/>
  <c r="K42" i="96"/>
  <c r="K11" i="96" s="1"/>
  <c r="K40" i="96"/>
  <c r="K37" i="96" s="1"/>
  <c r="J34" i="97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M30" i="96" l="1"/>
  <c r="M9" i="96"/>
  <c r="M16" i="96"/>
  <c r="M18" i="96"/>
  <c r="M25" i="96"/>
  <c r="M23" i="96"/>
  <c r="M11" i="96"/>
  <c r="L37" i="96"/>
  <c r="L16" i="96"/>
  <c r="L9" i="96"/>
  <c r="L30" i="96"/>
  <c r="L25" i="96"/>
  <c r="L18" i="96"/>
  <c r="L11" i="96"/>
  <c r="K18" i="96"/>
  <c r="K25" i="96"/>
  <c r="K32" i="96"/>
  <c r="K30" i="96"/>
  <c r="K23" i="96"/>
  <c r="K16" i="96"/>
  <c r="K9" i="96"/>
  <c r="J18" i="96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B8" i="63" l="1"/>
  <c r="F8" i="63"/>
  <c r="J8" i="63"/>
  <c r="B9" i="63"/>
  <c r="F9" i="63"/>
  <c r="J9" i="63"/>
  <c r="B10" i="63"/>
  <c r="F10" i="63"/>
  <c r="J10" i="63"/>
  <c r="C7" i="63"/>
  <c r="G7" i="63"/>
  <c r="K7" i="63"/>
  <c r="L11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I18" i="8" l="1"/>
  <c r="K11" i="63"/>
  <c r="J11" i="63"/>
  <c r="J14" i="8"/>
  <c r="I11" i="63"/>
  <c r="I10" i="8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<sst xmlns="http://schemas.openxmlformats.org/spreadsheetml/2006/main" count="800" uniqueCount="297">
  <si>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</si>
  <si>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</si>
  <si>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</si>
  <si>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</si>
  <si>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</si>
  <si>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</si>
  <si>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</si>
  <si>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</si>
  <si>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</si>
  <si>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</si>
  <si>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</si>
  <si>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</si>
  <si>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</si>
  <si>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</si>
  <si>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</si>
  <si>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</si>
  <si>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</si>
  <si>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</si>
  <si>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</si>
  <si>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</si>
  <si>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</si>
  <si>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</si>
  <si>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</si>
  <si>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</si>
  <si>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</si>
  <si>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</si>
  <si>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</si>
  <si>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</si>
  <si>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</si>
  <si>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</si>
  <si>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</si>
  <si>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</si>
  <si>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</si>
  <si>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</si>
  <si>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</si>
  <si>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</si>
  <si>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</si>
  <si>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</si>
  <si>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</si>
  <si>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</si>
  <si>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</si>
  <si>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</si>
  <si>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</si>
  <si>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</si>
  <si>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</si>
  <si>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</si>
  <si>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</si>
  <si>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</si>
  <si>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</si>
  <si>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</si>
  <si>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</si>
  <si>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</si>
  <si>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</si>
  <si>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</si>
  <si>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</si>
  <si>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</si>
  <si>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</si>
  <si>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</si>
  <si>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</si>
  <si>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</si>
  <si>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</si>
  <si>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</si>
  <si>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</si>
  <si>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</si>
  <si>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</si>
  <si>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</si>
  <si>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</si>
  <si>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</si>
  <si>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</si>
  <si>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</si>
  <si>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</si>
  <si>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</si>
  <si>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</si>
  <si>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</si>
  <si>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</si>
  <si>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</si>
  <si>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</si>
  <si>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</si>
  <si>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</si>
  <si>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</si>
  <si>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</si>
  <si>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</si>
  <si>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</si>
  <si>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</si>
  <si>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</si>
  <si>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</si>
  <si>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</si>
  <si>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</si>
  <si>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</si>
  <si>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</si>
  <si>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</si>
  <si>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</si>
  <si>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</si>
  <si>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</si>
  <si>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</si>
  <si>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</si>
  <si>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</si>
  <si>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</si>
  <si>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Zkratka</t>
  </si>
  <si>
    <t>Význam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</si>
  <si>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</si>
  <si>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</si>
  <si>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</si>
  <si>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</si>
  <si>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</si>
  <si>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</si>
  <si>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</si>
  <si>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</si>
  <si>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</si>
  <si>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</si>
  <si>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</si>
  <si>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</si>
  <si>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</si>
  <si>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</si>
  <si>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</si>
  <si>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</si>
  <si>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</si>
  <si>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</si>
  <si>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</si>
  <si>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Kategorie</t>
  </si>
  <si>
    <t>DTG</t>
  </si>
  <si>
    <t>Denní teplotní gradient (změna spotřeby plynu při jednotkové změně teploty)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</si>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</sst>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2" xfId="0" applyFont="1" applyFill="1" applyBorder="1" applyAlignment="1">
      <alignment horizontal="center" vertical="center" wrapText="1"/>
    </xf>
    <xf numFmtId="164" fontId="44" fillId="2" borderId="60" xfId="1" applyNumberFormat="1" applyFont="1" applyFill="1" applyBorder="1" applyAlignment="1">
      <alignment horizontal="right" vertical="center"/>
    </xf>
    <xf numFmtId="164" fontId="44" fillId="12" borderId="60" xfId="1" applyNumberFormat="1" applyFont="1" applyFill="1" applyBorder="1" applyAlignment="1">
      <alignment horizontal="right" vertical="center"/>
    </xf>
    <xf numFmtId="164" fontId="44" fillId="9" borderId="60" xfId="1" applyNumberFormat="1" applyFont="1" applyFill="1" applyBorder="1" applyAlignment="1">
      <alignment horizontal="right" vertical="center"/>
    </xf>
    <xf numFmtId="0" fontId="45" fillId="3" borderId="61" xfId="0" applyFont="1" applyFill="1" applyBorder="1" applyAlignment="1">
      <alignment vertical="center"/>
    </xf>
    <xf numFmtId="0" fontId="45" fillId="3" borderId="60" xfId="0" applyFont="1" applyFill="1" applyBorder="1" applyAlignment="1">
      <alignment vertical="center"/>
    </xf>
    <xf numFmtId="164" fontId="44" fillId="2" borderId="60" xfId="1" applyNumberFormat="1" applyFont="1" applyFill="1" applyBorder="1" applyAlignment="1">
      <alignment vertical="center"/>
    </xf>
    <xf numFmtId="164" fontId="44" fillId="12" borderId="60" xfId="1" applyNumberFormat="1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vertical="center"/>
    </xf>
    <xf numFmtId="164" fontId="44" fillId="9" borderId="60" xfId="1" applyNumberFormat="1" applyFont="1" applyFill="1" applyBorder="1" applyAlignment="1">
      <alignment vertical="center"/>
    </xf>
    <xf numFmtId="0" fontId="45" fillId="3" borderId="62" xfId="0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right" vertical="center" wrapText="1"/>
    </xf>
    <xf numFmtId="0" fontId="44" fillId="2" borderId="62" xfId="0" applyFont="1" applyFill="1" applyBorder="1" applyAlignment="1">
      <alignment horizontal="right" vertical="center" wrapText="1"/>
    </xf>
    <xf numFmtId="0" fontId="45" fillId="2" borderId="61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vertical="center" wrapText="1"/>
    </xf>
    <xf numFmtId="164" fontId="4" fillId="2" borderId="63" xfId="1" applyNumberFormat="1" applyFont="1" applyFill="1" applyBorder="1" applyAlignment="1">
      <alignment horizontal="right" vertical="center"/>
    </xf>
    <xf numFmtId="164" fontId="4" fillId="12" borderId="63" xfId="1" applyNumberFormat="1" applyFont="1" applyFill="1" applyBorder="1" applyAlignment="1">
      <alignment horizontal="right" vertical="center"/>
    </xf>
    <xf numFmtId="164" fontId="4" fillId="9" borderId="63" xfId="1" applyNumberFormat="1" applyFont="1" applyFill="1" applyBorder="1" applyAlignment="1">
      <alignment horizontal="right" vertical="center"/>
    </xf>
    <xf numFmtId="0" fontId="3" fillId="3" borderId="64" xfId="0" applyFont="1" applyFill="1" applyBorder="1" applyAlignment="1">
      <alignment vertical="center"/>
    </xf>
    <xf numFmtId="0" fontId="3" fillId="3" borderId="63" xfId="0" applyFont="1" applyFill="1" applyBorder="1" applyAlignment="1">
      <alignment vertical="center"/>
    </xf>
    <xf numFmtId="164" fontId="4" fillId="2" borderId="63" xfId="1" applyNumberFormat="1" applyFont="1" applyFill="1" applyBorder="1" applyAlignment="1">
      <alignment vertical="center"/>
    </xf>
    <xf numFmtId="164" fontId="4" fillId="12" borderId="63" xfId="1" applyNumberFormat="1" applyFont="1" applyFill="1" applyBorder="1" applyAlignment="1">
      <alignment vertical="center"/>
    </xf>
    <xf numFmtId="164" fontId="4" fillId="9" borderId="63" xfId="1" applyNumberFormat="1" applyFont="1" applyFill="1" applyBorder="1" applyAlignment="1">
      <alignment vertical="center"/>
    </xf>
    <xf numFmtId="0" fontId="3" fillId="3" borderId="65" xfId="0" applyFont="1" applyFill="1" applyBorder="1" applyAlignment="1">
      <alignment vertical="center"/>
    </xf>
    <xf numFmtId="0" fontId="4" fillId="2" borderId="63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 wrapText="1"/>
    </xf>
    <xf numFmtId="164" fontId="4" fillId="3" borderId="63" xfId="1" applyNumberFormat="1" applyFont="1" applyFill="1" applyBorder="1" applyAlignment="1">
      <alignment horizontal="right" vertical="center"/>
    </xf>
    <xf numFmtId="3" fontId="4" fillId="3" borderId="63" xfId="0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4" fillId="2" borderId="66" xfId="0" applyFont="1" applyFill="1" applyBorder="1" applyAlignment="1">
      <alignment horizontal="center" vertical="center" wrapText="1"/>
    </xf>
    <xf numFmtId="164" fontId="4" fillId="2" borderId="66" xfId="1" applyNumberFormat="1" applyFont="1" applyFill="1" applyBorder="1" applyAlignment="1">
      <alignment horizontal="right" vertical="center"/>
    </xf>
    <xf numFmtId="164" fontId="4" fillId="12" borderId="66" xfId="1" applyNumberFormat="1" applyFont="1" applyFill="1" applyBorder="1" applyAlignment="1">
      <alignment horizontal="right" vertical="center"/>
    </xf>
    <xf numFmtId="164" fontId="4" fillId="9" borderId="66" xfId="1" applyNumberFormat="1" applyFont="1" applyFill="1" applyBorder="1" applyAlignment="1">
      <alignment horizontal="right" vertical="center"/>
    </xf>
    <xf numFmtId="0" fontId="3" fillId="3" borderId="67" xfId="0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4" fillId="2" borderId="66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center" vertical="center" wrapText="1"/>
    </xf>
    <xf numFmtId="164" fontId="4" fillId="3" borderId="66" xfId="1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4" xfId="1" applyNumberFormat="1" applyFont="1" applyFill="1" applyBorder="1" applyAlignment="1">
      <alignment horizontal="right" vertical="center"/>
    </xf>
    <xf numFmtId="164" fontId="44" fillId="2" borderId="61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7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69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vertical="center" wrapText="1"/>
    </xf>
    <xf numFmtId="164" fontId="4" fillId="2" borderId="70" xfId="1" applyNumberFormat="1" applyFont="1" applyFill="1" applyBorder="1" applyAlignment="1">
      <alignment horizontal="right" vertical="center"/>
    </xf>
    <xf numFmtId="0" fontId="3" fillId="3" borderId="69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0" fontId="45" fillId="3" borderId="71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69" xfId="1" applyNumberFormat="1" applyFont="1" applyFill="1" applyBorder="1" applyAlignment="1">
      <alignment horizontal="right" vertical="center"/>
    </xf>
    <xf numFmtId="166" fontId="44" fillId="2" borderId="71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69" xfId="1" applyNumberFormat="1" applyFont="1" applyFill="1" applyBorder="1" applyAlignment="1">
      <alignment horizontal="right" vertical="center"/>
    </xf>
    <xf numFmtId="166" fontId="44" fillId="9" borderId="71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vertical="center" wrapText="1"/>
    </xf>
    <xf numFmtId="166" fontId="4" fillId="2" borderId="73" xfId="0" applyNumberFormat="1" applyFont="1" applyFill="1" applyBorder="1" applyAlignment="1">
      <alignment horizontal="right" vertical="center"/>
    </xf>
    <xf numFmtId="166" fontId="4" fillId="9" borderId="73" xfId="0" applyNumberFormat="1" applyFont="1" applyFill="1" applyBorder="1" applyAlignment="1">
      <alignment horizontal="right" vertical="center"/>
    </xf>
    <xf numFmtId="3" fontId="4" fillId="2" borderId="74" xfId="0" applyNumberFormat="1" applyFont="1" applyFill="1" applyBorder="1" applyAlignment="1">
      <alignment horizontal="right" vertical="center"/>
    </xf>
    <xf numFmtId="0" fontId="3" fillId="3" borderId="73" xfId="0" applyFont="1" applyFill="1" applyBorder="1" applyAlignment="1">
      <alignment vertical="center"/>
    </xf>
    <xf numFmtId="0" fontId="4" fillId="2" borderId="75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vertical="center" wrapText="1"/>
    </xf>
    <xf numFmtId="166" fontId="4" fillId="2" borderId="75" xfId="0" applyNumberFormat="1" applyFont="1" applyFill="1" applyBorder="1" applyAlignment="1">
      <alignment horizontal="right" vertical="center"/>
    </xf>
    <xf numFmtId="166" fontId="4" fillId="9" borderId="75" xfId="0" applyNumberFormat="1" applyFont="1" applyFill="1" applyBorder="1" applyAlignment="1">
      <alignment horizontal="right" vertical="center"/>
    </xf>
    <xf numFmtId="3" fontId="4" fillId="2" borderId="76" xfId="0" applyNumberFormat="1" applyFont="1" applyFill="1" applyBorder="1" applyAlignment="1">
      <alignment horizontal="right" vertical="center"/>
    </xf>
    <xf numFmtId="3" fontId="4" fillId="3" borderId="75" xfId="0" applyNumberFormat="1" applyFont="1" applyFill="1" applyBorder="1" applyAlignment="1">
      <alignment vertical="center"/>
    </xf>
    <xf numFmtId="0" fontId="4" fillId="2" borderId="69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3" xfId="1" applyNumberFormat="1" applyFont="1" applyFill="1" applyBorder="1" applyAlignment="1">
      <alignment horizontal="right" vertical="center"/>
    </xf>
    <xf numFmtId="164" fontId="4" fillId="11" borderId="66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7" xfId="0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vertical="center"/>
    </xf>
    <xf numFmtId="166" fontId="44" fillId="2" borderId="60" xfId="1" applyNumberFormat="1" applyFont="1" applyFill="1" applyBorder="1" applyAlignment="1">
      <alignment horizontal="right" vertical="center"/>
    </xf>
    <xf numFmtId="166" fontId="44" fillId="9" borderId="60" xfId="1" applyNumberFormat="1" applyFont="1" applyFill="1" applyBorder="1" applyAlignment="1">
      <alignment horizontal="right" vertical="center"/>
    </xf>
    <xf numFmtId="166" fontId="4" fillId="2" borderId="66" xfId="0" applyNumberFormat="1" applyFont="1" applyFill="1" applyBorder="1" applyAlignment="1">
      <alignment horizontal="right" vertical="center"/>
    </xf>
    <xf numFmtId="166" fontId="4" fillId="3" borderId="66" xfId="0" applyNumberFormat="1" applyFont="1" applyFill="1" applyBorder="1" applyAlignment="1">
      <alignment horizontal="right" vertical="center"/>
    </xf>
    <xf numFmtId="166" fontId="4" fillId="9" borderId="66" xfId="0" applyNumberFormat="1" applyFont="1" applyFill="1" applyBorder="1" applyAlignment="1">
      <alignment horizontal="right" vertical="center"/>
    </xf>
    <xf numFmtId="166" fontId="4" fillId="3" borderId="75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7" xfId="2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horizontal="right" vertical="center" wrapText="1"/>
    </xf>
    <xf numFmtId="3" fontId="4" fillId="3" borderId="77" xfId="2" applyNumberFormat="1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vertical="center"/>
    </xf>
    <xf numFmtId="3" fontId="4" fillId="3" borderId="77" xfId="2" applyNumberFormat="1" applyFont="1" applyFill="1" applyBorder="1" applyAlignment="1">
      <alignment horizontal="center" vertical="center"/>
    </xf>
    <xf numFmtId="3" fontId="4" fillId="3" borderId="78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8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79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79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79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79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2" xfId="2" applyFont="1" applyFill="1" applyBorder="1"/>
    <xf numFmtId="0" fontId="3" fillId="2" borderId="81" xfId="2" applyFont="1" applyFill="1" applyBorder="1" applyAlignment="1">
      <alignment horizontal="right"/>
    </xf>
    <xf numFmtId="0" fontId="3" fillId="2" borderId="83" xfId="2" applyFont="1" applyFill="1" applyBorder="1"/>
    <xf numFmtId="0" fontId="3" fillId="2" borderId="81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4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0" fillId="3" borderId="86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right" vertical="center"/>
    </xf>
    <xf numFmtId="0" fontId="40" fillId="3" borderId="88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>
      <alignment horizontal="right" vertical="center"/>
    </xf>
    <xf numFmtId="0" fontId="4" fillId="2" borderId="86" xfId="0" applyFont="1" applyFill="1" applyBorder="1" applyAlignment="1">
      <alignment horizontal="right" vertical="center" wrapText="1"/>
    </xf>
    <xf numFmtId="0" fontId="4" fillId="2" borderId="89" xfId="0" applyFont="1" applyFill="1" applyBorder="1" applyAlignment="1">
      <alignment vertical="center"/>
    </xf>
    <xf numFmtId="0" fontId="4" fillId="2" borderId="88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1" xfId="1" applyNumberFormat="1" applyFont="1" applyFill="1" applyBorder="1" applyAlignment="1">
      <alignment horizontal="right" vertical="center"/>
    </xf>
    <xf numFmtId="164" fontId="44" fillId="3" borderId="71" xfId="1" applyNumberFormat="1" applyFont="1" applyFill="1" applyBorder="1" applyAlignment="1">
      <alignment horizontal="right" vertical="center"/>
    </xf>
    <xf numFmtId="164" fontId="44" fillId="11" borderId="71" xfId="1" applyNumberFormat="1" applyFont="1" applyFill="1" applyBorder="1" applyAlignment="1">
      <alignment horizontal="right" vertical="center"/>
    </xf>
    <xf numFmtId="0" fontId="14" fillId="2" borderId="91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2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7" xfId="0" applyFont="1" applyFill="1" applyBorder="1" applyAlignment="1">
      <alignment horizontal="left" vertical="center"/>
    </xf>
    <xf numFmtId="0" fontId="4" fillId="3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 wrapText="1"/>
    </xf>
    <xf numFmtId="164" fontId="15" fillId="3" borderId="97" xfId="1" applyNumberFormat="1" applyFont="1" applyFill="1" applyBorder="1" applyAlignment="1">
      <alignment horizontal="right" vertical="center"/>
    </xf>
    <xf numFmtId="164" fontId="15" fillId="3" borderId="96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6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0" fontId="4" fillId="9" borderId="95" xfId="2" applyFont="1" applyFill="1" applyBorder="1" applyAlignment="1">
      <alignment horizontal="right" vertical="center" wrapText="1"/>
    </xf>
    <xf numFmtId="0" fontId="4" fillId="9" borderId="96" xfId="2" applyFont="1" applyFill="1" applyBorder="1" applyAlignment="1">
      <alignment horizontal="lef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15" fillId="9" borderId="96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6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15" fillId="3" borderId="96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6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0" xfId="2" applyFont="1" applyFill="1" applyBorder="1"/>
    <xf numFmtId="0" fontId="3" fillId="2" borderId="69" xfId="2" applyFont="1" applyFill="1" applyBorder="1"/>
    <xf numFmtId="0" fontId="3" fillId="2" borderId="99" xfId="2" applyFont="1" applyFill="1" applyBorder="1"/>
    <xf numFmtId="0" fontId="37" fillId="2" borderId="86" xfId="2" applyFont="1" applyFill="1" applyBorder="1" applyAlignment="1">
      <alignment horizontal="right"/>
    </xf>
    <xf numFmtId="166" fontId="37" fillId="3" borderId="100" xfId="2" applyNumberFormat="1" applyFont="1" applyFill="1" applyBorder="1" applyAlignment="1">
      <alignment horizontal="right" vertical="center"/>
    </xf>
    <xf numFmtId="0" fontId="37" fillId="2" borderId="88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165" fontId="37" fillId="2" borderId="89" xfId="2" applyNumberFormat="1" applyFont="1" applyFill="1" applyBorder="1"/>
    <xf numFmtId="165" fontId="37" fillId="2" borderId="90" xfId="2" applyNumberFormat="1" applyFont="1" applyFill="1" applyBorder="1"/>
    <xf numFmtId="165" fontId="37" fillId="2" borderId="86" xfId="2" applyNumberFormat="1" applyFont="1" applyFill="1" applyBorder="1"/>
    <xf numFmtId="165" fontId="37" fillId="2" borderId="85" xfId="2" applyNumberFormat="1" applyFont="1" applyFill="1" applyBorder="1"/>
    <xf numFmtId="165" fontId="37" fillId="2" borderId="88" xfId="2" applyNumberFormat="1" applyFont="1" applyFill="1" applyBorder="1"/>
    <xf numFmtId="165" fontId="37" fillId="2" borderId="87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69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0" fontId="4" fillId="2" borderId="0" xfId="0" applyFont="1" applyFill="1" applyBorder="1" applyAlignment="1">
      <alignment horizontal="left" vertical="center" wrapText="1"/>
    </xf>
    <xf numFmtId="0" fontId="37" fillId="3" borderId="90" xfId="0" applyFont="1" applyFill="1" applyBorder="1"/>
    <xf numFmtId="0" fontId="14" fillId="2" borderId="88" xfId="0" applyFont="1" applyFill="1" applyBorder="1"/>
    <xf numFmtId="0" fontId="4" fillId="2" borderId="88" xfId="0" applyFont="1" applyFill="1" applyBorder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7" fillId="2" borderId="86" xfId="2" applyFont="1" applyFill="1" applyBorder="1" applyAlignment="1">
      <alignment horizontal="right"/>
    </xf>
    <xf numFmtId="0" fontId="37" fillId="2" borderId="88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1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3" fontId="18" fillId="16" borderId="93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0" fontId="49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18" fillId="10" borderId="102" xfId="0" applyFont="1" applyFill="1" applyBorder="1" applyAlignment="1">
      <alignment horizontal="right" vertic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2973.0942169758187</c:v>
                </c:pt>
                <c:pt idx="1">
                  <c:v>-2415.9297911246013</c:v>
                </c:pt>
                <c:pt idx="2">
                  <c:v>171.67832999999999</c:v>
                </c:pt>
                <c:pt idx="3">
                  <c:v>-31.605976999999999</c:v>
                </c:pt>
                <c:pt idx="4">
                  <c:v>13.057844999999999</c:v>
                </c:pt>
                <c:pt idx="5">
                  <c:v>-17.9173929511545</c:v>
                </c:pt>
                <c:pt idx="6">
                  <c:v>-692.3772309000633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00527488"/>
        <c:axId val="104858752"/>
        <c:axId val="0"/>
      </c:bar3DChart>
      <c:catAx>
        <c:axId val="1005274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4858752"/>
        <c:crosses val="autoZero"/>
        <c:auto val="1"/>
        <c:lblAlgn val="ctr"/>
        <c:lblOffset val="100"/>
        <c:noMultiLvlLbl val="0"/>
      </c:catAx>
      <c:valAx>
        <c:axId val="10485875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052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11846</c:v>
                </c:pt>
                <c:pt idx="8">
                  <c:v>12336</c:v>
                </c:pt>
                <c:pt idx="9">
                  <c:v>13353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42560"/>
        <c:axId val="115064832"/>
      </c:barChart>
      <c:catAx>
        <c:axId val="11504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64832"/>
        <c:crosses val="autoZero"/>
        <c:auto val="1"/>
        <c:lblAlgn val="ctr"/>
        <c:lblOffset val="100"/>
        <c:noMultiLvlLbl val="0"/>
      </c:catAx>
      <c:valAx>
        <c:axId val="115064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04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7.3274770439122872</c:v>
                </c:pt>
                <c:pt idx="213">
                  <c:v>7.3591133063275187</c:v>
                </c:pt>
                <c:pt idx="214">
                  <c:v>8.4957021969041211</c:v>
                </c:pt>
                <c:pt idx="215">
                  <c:v>8.5215988993338367</c:v>
                </c:pt>
                <c:pt idx="216">
                  <c:v>8.3804475972986712</c:v>
                </c:pt>
                <c:pt idx="217">
                  <c:v>8.7797788551200622</c:v>
                </c:pt>
                <c:pt idx="218">
                  <c:v>7.897185705717761</c:v>
                </c:pt>
                <c:pt idx="219">
                  <c:v>6.9156343597705554</c:v>
                </c:pt>
                <c:pt idx="220">
                  <c:v>7.0797433898515889</c:v>
                </c:pt>
                <c:pt idx="221">
                  <c:v>8.7429757997753992</c:v>
                </c:pt>
                <c:pt idx="222">
                  <c:v>8.8873771330949971</c:v>
                </c:pt>
                <c:pt idx="223">
                  <c:v>9.342068052433266</c:v>
                </c:pt>
                <c:pt idx="224">
                  <c:v>9.0227963088585845</c:v>
                </c:pt>
                <c:pt idx="225">
                  <c:v>8.617923221165789</c:v>
                </c:pt>
                <c:pt idx="226">
                  <c:v>7.6367264902928698</c:v>
                </c:pt>
                <c:pt idx="227">
                  <c:v>7.6500080231819716</c:v>
                </c:pt>
                <c:pt idx="228">
                  <c:v>10.770115115200538</c:v>
                </c:pt>
                <c:pt idx="229">
                  <c:v>12.275837216732805</c:v>
                </c:pt>
                <c:pt idx="230">
                  <c:v>10.30598544170101</c:v>
                </c:pt>
                <c:pt idx="231">
                  <c:v>10.198907925134305</c:v>
                </c:pt>
                <c:pt idx="232">
                  <c:v>9.732554603645001</c:v>
                </c:pt>
                <c:pt idx="233">
                  <c:v>8.1906102744069553</c:v>
                </c:pt>
                <c:pt idx="234">
                  <c:v>8.2763648372854224</c:v>
                </c:pt>
                <c:pt idx="235">
                  <c:v>10.116631278412976</c:v>
                </c:pt>
                <c:pt idx="236">
                  <c:v>10.634514211604086</c:v>
                </c:pt>
                <c:pt idx="237">
                  <c:v>10.43281949410752</c:v>
                </c:pt>
                <c:pt idx="238">
                  <c:v>10.258901112878878</c:v>
                </c:pt>
                <c:pt idx="239">
                  <c:v>9.621705007623234</c:v>
                </c:pt>
                <c:pt idx="240">
                  <c:v>7.90341361582934</c:v>
                </c:pt>
                <c:pt idx="241">
                  <c:v>8.0524275904776808</c:v>
                </c:pt>
                <c:pt idx="242">
                  <c:v>10.083864108825882</c:v>
                </c:pt>
                <c:pt idx="243">
                  <c:v>9.7007445267766368</c:v>
                </c:pt>
                <c:pt idx="244">
                  <c:v>10.351424075733302</c:v>
                </c:pt>
                <c:pt idx="245">
                  <c:v>10.675088543805986</c:v>
                </c:pt>
                <c:pt idx="246">
                  <c:v>11.29469983214782</c:v>
                </c:pt>
                <c:pt idx="247">
                  <c:v>8.1970730704195525</c:v>
                </c:pt>
                <c:pt idx="248">
                  <c:v>9.2336958503371118</c:v>
                </c:pt>
                <c:pt idx="249">
                  <c:v>11.597554488210992</c:v>
                </c:pt>
                <c:pt idx="250">
                  <c:v>11.40204196931642</c:v>
                </c:pt>
                <c:pt idx="251">
                  <c:v>12.222584744863941</c:v>
                </c:pt>
                <c:pt idx="252">
                  <c:v>12.198425235856467</c:v>
                </c:pt>
                <c:pt idx="253">
                  <c:v>14.667928928492055</c:v>
                </c:pt>
                <c:pt idx="254">
                  <c:v>9.4355036584976215</c:v>
                </c:pt>
                <c:pt idx="255">
                  <c:v>9.3491360221922815</c:v>
                </c:pt>
                <c:pt idx="256">
                  <c:v>11.066872022129369</c:v>
                </c:pt>
                <c:pt idx="257">
                  <c:v>11.139047681373635</c:v>
                </c:pt>
                <c:pt idx="258">
                  <c:v>10.696748561847132</c:v>
                </c:pt>
                <c:pt idx="259">
                  <c:v>10.390631158546531</c:v>
                </c:pt>
                <c:pt idx="260">
                  <c:v>10.437855721536367</c:v>
                </c:pt>
                <c:pt idx="261">
                  <c:v>8.9750896284534942</c:v>
                </c:pt>
                <c:pt idx="262">
                  <c:v>10.140231654609236</c:v>
                </c:pt>
                <c:pt idx="263">
                  <c:v>14.685402776933721</c:v>
                </c:pt>
                <c:pt idx="264">
                  <c:v>12.553554758620496</c:v>
                </c:pt>
                <c:pt idx="265">
                  <c:v>14.359633688987152</c:v>
                </c:pt>
                <c:pt idx="266">
                  <c:v>13.187685903645663</c:v>
                </c:pt>
                <c:pt idx="267">
                  <c:v>12.952785702018016</c:v>
                </c:pt>
                <c:pt idx="268">
                  <c:v>11.714102901755435</c:v>
                </c:pt>
                <c:pt idx="269">
                  <c:v>12.05665177038618</c:v>
                </c:pt>
                <c:pt idx="270">
                  <c:v>13.31929253083147</c:v>
                </c:pt>
                <c:pt idx="271">
                  <c:v>16.378723737316371</c:v>
                </c:pt>
                <c:pt idx="272">
                  <c:v>18.580584968434316</c:v>
                </c:pt>
                <c:pt idx="273">
                  <c:v>18.92168176607754</c:v>
                </c:pt>
                <c:pt idx="274">
                  <c:v>17.859079077775508</c:v>
                </c:pt>
                <c:pt idx="275">
                  <c:v>14.158911197204462</c:v>
                </c:pt>
                <c:pt idx="276">
                  <c:v>13.891405785625052</c:v>
                </c:pt>
                <c:pt idx="277">
                  <c:v>15.701599472846643</c:v>
                </c:pt>
                <c:pt idx="278">
                  <c:v>16.066707061324717</c:v>
                </c:pt>
                <c:pt idx="279">
                  <c:v>18.367584583883939</c:v>
                </c:pt>
                <c:pt idx="280">
                  <c:v>19.573674881397462</c:v>
                </c:pt>
                <c:pt idx="281">
                  <c:v>20.108905185047394</c:v>
                </c:pt>
                <c:pt idx="282">
                  <c:v>17.884759805823556</c:v>
                </c:pt>
                <c:pt idx="283">
                  <c:v>20.746931442756491</c:v>
                </c:pt>
                <c:pt idx="284">
                  <c:v>27.530719494693717</c:v>
                </c:pt>
                <c:pt idx="285">
                  <c:v>30.622928281272621</c:v>
                </c:pt>
                <c:pt idx="286">
                  <c:v>29.183774606730523</c:v>
                </c:pt>
                <c:pt idx="287">
                  <c:v>28.202373459662063</c:v>
                </c:pt>
                <c:pt idx="288">
                  <c:v>25.078679715217604</c:v>
                </c:pt>
                <c:pt idx="289">
                  <c:v>21.138062621865899</c:v>
                </c:pt>
                <c:pt idx="290">
                  <c:v>22.284270149972549</c:v>
                </c:pt>
                <c:pt idx="291">
                  <c:v>27.370289306637236</c:v>
                </c:pt>
                <c:pt idx="292">
                  <c:v>28.051681025234185</c:v>
                </c:pt>
                <c:pt idx="293">
                  <c:v>27.064873591736855</c:v>
                </c:pt>
                <c:pt idx="294">
                  <c:v>24.094114205962875</c:v>
                </c:pt>
                <c:pt idx="295">
                  <c:v>22.978637688539639</c:v>
                </c:pt>
                <c:pt idx="296">
                  <c:v>21.87958899760692</c:v>
                </c:pt>
                <c:pt idx="297">
                  <c:v>21.544798719380612</c:v>
                </c:pt>
                <c:pt idx="298">
                  <c:v>23.314474077801947</c:v>
                </c:pt>
                <c:pt idx="299">
                  <c:v>23.946853764479457</c:v>
                </c:pt>
                <c:pt idx="300">
                  <c:v>24.437909136442212</c:v>
                </c:pt>
                <c:pt idx="301">
                  <c:v>25.783659866615498</c:v>
                </c:pt>
                <c:pt idx="302">
                  <c:v>24.610811256989859</c:v>
                </c:pt>
                <c:pt idx="303">
                  <c:v>19.977506028373849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22.034743396226414</c:v>
                </c:pt>
                <c:pt idx="305">
                  <c:v>26.899983301886788</c:v>
                </c:pt>
                <c:pt idx="306">
                  <c:v>28.323663301886789</c:v>
                </c:pt>
                <c:pt idx="307">
                  <c:v>28.432166132075469</c:v>
                </c:pt>
                <c:pt idx="308">
                  <c:v>26.914944716981129</c:v>
                </c:pt>
                <c:pt idx="309">
                  <c:v>24.930976603773583</c:v>
                </c:pt>
                <c:pt idx="310">
                  <c:v>20.263146603773581</c:v>
                </c:pt>
                <c:pt idx="311">
                  <c:v>18.784762641509431</c:v>
                </c:pt>
                <c:pt idx="312">
                  <c:v>22.75833716981132</c:v>
                </c:pt>
                <c:pt idx="313">
                  <c:v>20.041038962264146</c:v>
                </c:pt>
                <c:pt idx="314">
                  <c:v>20.115313396226412</c:v>
                </c:pt>
                <c:pt idx="315">
                  <c:v>21.880781792452826</c:v>
                </c:pt>
                <c:pt idx="316">
                  <c:v>22.265769905660378</c:v>
                </c:pt>
                <c:pt idx="317">
                  <c:v>21.177034999999997</c:v>
                </c:pt>
                <c:pt idx="318">
                  <c:v>21.929112075471696</c:v>
                </c:pt>
                <c:pt idx="319">
                  <c:v>22.077209999999997</c:v>
                </c:pt>
                <c:pt idx="320">
                  <c:v>22.331408396226415</c:v>
                </c:pt>
                <c:pt idx="321">
                  <c:v>22.311003396226415</c:v>
                </c:pt>
                <c:pt idx="322">
                  <c:v>23.218380849056601</c:v>
                </c:pt>
                <c:pt idx="323">
                  <c:v>24.919613867924525</c:v>
                </c:pt>
                <c:pt idx="324">
                  <c:v>25.378650754716979</c:v>
                </c:pt>
                <c:pt idx="325">
                  <c:v>28.784254622641509</c:v>
                </c:pt>
                <c:pt idx="326">
                  <c:v>34.51707009433963</c:v>
                </c:pt>
                <c:pt idx="327">
                  <c:v>35.757742735849057</c:v>
                </c:pt>
                <c:pt idx="328">
                  <c:v>36.309744150943402</c:v>
                </c:pt>
                <c:pt idx="329">
                  <c:v>34.825585377358493</c:v>
                </c:pt>
                <c:pt idx="330">
                  <c:v>33.687207830188676</c:v>
                </c:pt>
                <c:pt idx="331">
                  <c:v>31.108957169811319</c:v>
                </c:pt>
                <c:pt idx="332">
                  <c:v>30.708528207547168</c:v>
                </c:pt>
                <c:pt idx="333">
                  <c:v>31.339612169811321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81440"/>
        <c:axId val="115182976"/>
      </c:lineChart>
      <c:dateAx>
        <c:axId val="11518144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5182976"/>
        <c:crosses val="autoZero"/>
        <c:auto val="1"/>
        <c:lblOffset val="100"/>
        <c:baseTimeUnit val="days"/>
      </c:dateAx>
      <c:valAx>
        <c:axId val="11518297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18144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277.51120821690495</c:v>
                </c:pt>
                <c:pt idx="8">
                  <c:v>352.96079611407475</c:v>
                </c:pt>
                <c:pt idx="9">
                  <c:v>692.3772462549789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299.01838851541652</c:v>
                </c:pt>
                <c:pt idx="8">
                  <c:v>359.74623069021459</c:v>
                </c:pt>
                <c:pt idx="9">
                  <c:v>698.83677162586446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77312"/>
        <c:axId val="114556928"/>
      </c:barChart>
      <c:catAx>
        <c:axId val="11447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556928"/>
        <c:crosses val="autoZero"/>
        <c:auto val="1"/>
        <c:lblAlgn val="ctr"/>
        <c:lblOffset val="100"/>
        <c:noMultiLvlLbl val="0"/>
      </c:catAx>
      <c:valAx>
        <c:axId val="114556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4477312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77007.596999999994</c:v>
                </c:pt>
                <c:pt idx="1">
                  <c:v>554113.7479000634</c:v>
                </c:pt>
                <c:pt idx="2">
                  <c:v>26829.824000000001</c:v>
                </c:pt>
                <c:pt idx="3">
                  <c:v>34426.061999999998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59315.927628507226</c:v>
                </c:pt>
                <c:pt idx="1">
                  <c:v>481508.58624209272</c:v>
                </c:pt>
                <c:pt idx="2">
                  <c:v>22472.451000000001</c:v>
                </c:pt>
                <c:pt idx="3">
                  <c:v>3332.2480000000005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05066496"/>
        <c:axId val="105068032"/>
        <c:axId val="0"/>
      </c:bar3DChart>
      <c:catAx>
        <c:axId val="105066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05068032"/>
        <c:crosses val="autoZero"/>
        <c:auto val="1"/>
        <c:lblAlgn val="ctr"/>
        <c:lblOffset val="100"/>
        <c:noMultiLvlLbl val="0"/>
      </c:catAx>
      <c:valAx>
        <c:axId val="1050680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50664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77007.596999999994</c:v>
                </c:pt>
                <c:pt idx="1">
                  <c:v>554113.7479000634</c:v>
                </c:pt>
                <c:pt idx="2">
                  <c:v>26829.824000000001</c:v>
                </c:pt>
                <c:pt idx="3">
                  <c:v>34426.061999999998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22733.453000000001</c:v>
                </c:pt>
                <c:pt idx="1">
                  <c:v>94146.5</c:v>
                </c:pt>
                <c:pt idx="2">
                  <c:v>17720.699999999997</c:v>
                </c:pt>
                <c:pt idx="3">
                  <c:v>26595.100000000002</c:v>
                </c:pt>
                <c:pt idx="4">
                  <c:v>27474.399999999998</c:v>
                </c:pt>
                <c:pt idx="5">
                  <c:v>76094.574999999997</c:v>
                </c:pt>
                <c:pt idx="6">
                  <c:v>38431</c:v>
                </c:pt>
                <c:pt idx="7">
                  <c:v>31573</c:v>
                </c:pt>
                <c:pt idx="8">
                  <c:v>31547.5</c:v>
                </c:pt>
                <c:pt idx="9">
                  <c:v>74686.7</c:v>
                </c:pt>
                <c:pt idx="10">
                  <c:v>84761.076000000001</c:v>
                </c:pt>
                <c:pt idx="11">
                  <c:v>90234.125</c:v>
                </c:pt>
                <c:pt idx="12">
                  <c:v>28544.457000000002</c:v>
                </c:pt>
                <c:pt idx="13">
                  <c:v>34162.1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19225.633000000002</c:v>
                </c:pt>
                <c:pt idx="1">
                  <c:v>76126.2</c:v>
                </c:pt>
                <c:pt idx="2">
                  <c:v>14866.5</c:v>
                </c:pt>
                <c:pt idx="3">
                  <c:v>23413.300000000003</c:v>
                </c:pt>
                <c:pt idx="4">
                  <c:v>22480.300000000003</c:v>
                </c:pt>
                <c:pt idx="5">
                  <c:v>66221.785999999993</c:v>
                </c:pt>
                <c:pt idx="6">
                  <c:v>32791.800000000003</c:v>
                </c:pt>
                <c:pt idx="7">
                  <c:v>23945.3</c:v>
                </c:pt>
                <c:pt idx="8">
                  <c:v>26336.699999999997</c:v>
                </c:pt>
                <c:pt idx="9">
                  <c:v>57460.604491874954</c:v>
                </c:pt>
                <c:pt idx="10">
                  <c:v>80882.861999999994</c:v>
                </c:pt>
                <c:pt idx="11">
                  <c:v>56350.060999999994</c:v>
                </c:pt>
                <c:pt idx="12">
                  <c:v>24417.656999999999</c:v>
                </c:pt>
                <c:pt idx="13">
                  <c:v>30036.699999999997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09670784"/>
        <c:axId val="109672320"/>
        <c:axId val="0"/>
      </c:bar3DChart>
      <c:catAx>
        <c:axId val="109670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09672320"/>
        <c:crosses val="autoZero"/>
        <c:auto val="1"/>
        <c:lblAlgn val="ctr"/>
        <c:lblOffset val="100"/>
        <c:noMultiLvlLbl val="0"/>
      </c:catAx>
      <c:valAx>
        <c:axId val="1096723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96707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18.92168176607754</c:v>
                </c:pt>
                <c:pt idx="1">
                  <c:v>17.859079077775508</c:v>
                </c:pt>
                <c:pt idx="2">
                  <c:v>14.158911197204462</c:v>
                </c:pt>
                <c:pt idx="3">
                  <c:v>13.891405785625052</c:v>
                </c:pt>
                <c:pt idx="4">
                  <c:v>15.701599472846643</c:v>
                </c:pt>
                <c:pt idx="5">
                  <c:v>16.066707061324717</c:v>
                </c:pt>
                <c:pt idx="6">
                  <c:v>18.367584583883939</c:v>
                </c:pt>
                <c:pt idx="7">
                  <c:v>19.573674881397462</c:v>
                </c:pt>
                <c:pt idx="8">
                  <c:v>20.108905185047394</c:v>
                </c:pt>
                <c:pt idx="9">
                  <c:v>17.884759805823556</c:v>
                </c:pt>
                <c:pt idx="10">
                  <c:v>20.746931442756491</c:v>
                </c:pt>
                <c:pt idx="11">
                  <c:v>27.530719494693717</c:v>
                </c:pt>
                <c:pt idx="12">
                  <c:v>30.622928281272621</c:v>
                </c:pt>
                <c:pt idx="13">
                  <c:v>29.183774606730523</c:v>
                </c:pt>
                <c:pt idx="14">
                  <c:v>28.202373459662063</c:v>
                </c:pt>
                <c:pt idx="15">
                  <c:v>25.078679715217604</c:v>
                </c:pt>
                <c:pt idx="16">
                  <c:v>21.138062621865899</c:v>
                </c:pt>
                <c:pt idx="17">
                  <c:v>22.284270149972549</c:v>
                </c:pt>
                <c:pt idx="18">
                  <c:v>27.370289306637236</c:v>
                </c:pt>
                <c:pt idx="19">
                  <c:v>28.051681025234185</c:v>
                </c:pt>
                <c:pt idx="20">
                  <c:v>27.064873591736855</c:v>
                </c:pt>
                <c:pt idx="21">
                  <c:v>24.094114205962875</c:v>
                </c:pt>
                <c:pt idx="22">
                  <c:v>22.978637688539639</c:v>
                </c:pt>
                <c:pt idx="23">
                  <c:v>21.87958899760692</c:v>
                </c:pt>
                <c:pt idx="24">
                  <c:v>21.544798719380612</c:v>
                </c:pt>
                <c:pt idx="25">
                  <c:v>23.314474077801947</c:v>
                </c:pt>
                <c:pt idx="26">
                  <c:v>23.946853764479457</c:v>
                </c:pt>
                <c:pt idx="27">
                  <c:v>24.437909136442212</c:v>
                </c:pt>
                <c:pt idx="28">
                  <c:v>25.783659866615498</c:v>
                </c:pt>
                <c:pt idx="29">
                  <c:v>24.610811256989859</c:v>
                </c:pt>
                <c:pt idx="30">
                  <c:v>19.977506028373849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89600"/>
        <c:axId val="110891776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7.2</c:v>
                </c:pt>
                <c:pt idx="1">
                  <c:v>9.8000000000000007</c:v>
                </c:pt>
                <c:pt idx="2">
                  <c:v>13.1</c:v>
                </c:pt>
                <c:pt idx="3">
                  <c:v>12.4</c:v>
                </c:pt>
                <c:pt idx="4">
                  <c:v>12.3</c:v>
                </c:pt>
                <c:pt idx="5">
                  <c:v>12.9</c:v>
                </c:pt>
                <c:pt idx="6">
                  <c:v>13.4</c:v>
                </c:pt>
                <c:pt idx="7">
                  <c:v>12.1</c:v>
                </c:pt>
                <c:pt idx="8">
                  <c:v>10.199999999999999</c:v>
                </c:pt>
                <c:pt idx="9">
                  <c:v>7.8</c:v>
                </c:pt>
                <c:pt idx="10">
                  <c:v>4.4000000000000004</c:v>
                </c:pt>
                <c:pt idx="11">
                  <c:v>2.1</c:v>
                </c:pt>
                <c:pt idx="12">
                  <c:v>3</c:v>
                </c:pt>
                <c:pt idx="13">
                  <c:v>6.3</c:v>
                </c:pt>
                <c:pt idx="14">
                  <c:v>9.4</c:v>
                </c:pt>
                <c:pt idx="15">
                  <c:v>8.4</c:v>
                </c:pt>
                <c:pt idx="16">
                  <c:v>5.3</c:v>
                </c:pt>
                <c:pt idx="17">
                  <c:v>5.9</c:v>
                </c:pt>
                <c:pt idx="18">
                  <c:v>6.9</c:v>
                </c:pt>
                <c:pt idx="19">
                  <c:v>5.9</c:v>
                </c:pt>
                <c:pt idx="20">
                  <c:v>7.4</c:v>
                </c:pt>
                <c:pt idx="21">
                  <c:v>7.6</c:v>
                </c:pt>
                <c:pt idx="22">
                  <c:v>7.2</c:v>
                </c:pt>
                <c:pt idx="23">
                  <c:v>5.8</c:v>
                </c:pt>
                <c:pt idx="24">
                  <c:v>7.9</c:v>
                </c:pt>
                <c:pt idx="25">
                  <c:v>8.6</c:v>
                </c:pt>
                <c:pt idx="26">
                  <c:v>8.3000000000000007</c:v>
                </c:pt>
                <c:pt idx="27">
                  <c:v>8.1</c:v>
                </c:pt>
                <c:pt idx="28">
                  <c:v>7.9</c:v>
                </c:pt>
                <c:pt idx="29">
                  <c:v>7.5</c:v>
                </c:pt>
                <c:pt idx="30">
                  <c:v>7.8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08160"/>
        <c:axId val="110893696"/>
      </c:lineChart>
      <c:dateAx>
        <c:axId val="1108896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0891776"/>
        <c:crossesAt val="0"/>
        <c:auto val="1"/>
        <c:lblOffset val="100"/>
        <c:baseTimeUnit val="days"/>
        <c:majorUnit val="1"/>
      </c:dateAx>
      <c:valAx>
        <c:axId val="110891776"/>
        <c:scaling>
          <c:orientation val="minMax"/>
          <c:max val="32.5"/>
          <c:min val="1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0889600"/>
        <c:crosses val="autoZero"/>
        <c:crossBetween val="between"/>
        <c:majorUnit val="1.5"/>
      </c:valAx>
      <c:valAx>
        <c:axId val="110893696"/>
        <c:scaling>
          <c:orientation val="maxMin"/>
          <c:max val="14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0908160"/>
        <c:crosses val="max"/>
        <c:crossBetween val="between"/>
        <c:majorUnit val="1"/>
      </c:valAx>
      <c:dateAx>
        <c:axId val="11090816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0893696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28640"/>
        <c:axId val="110930560"/>
      </c:barChart>
      <c:dateAx>
        <c:axId val="110928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093056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093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092864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33504"/>
        <c:axId val="104853888"/>
      </c:barChart>
      <c:catAx>
        <c:axId val="11093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53888"/>
        <c:crosses val="autoZero"/>
        <c:auto val="1"/>
        <c:lblAlgn val="ctr"/>
        <c:lblOffset val="100"/>
        <c:noMultiLvlLbl val="0"/>
      </c:catAx>
      <c:valAx>
        <c:axId val="10485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933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19</c:v>
                </c:pt>
                <c:pt idx="8">
                  <c:v>28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28960"/>
        <c:axId val="114730496"/>
      </c:barChart>
      <c:catAx>
        <c:axId val="11472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30496"/>
        <c:crosses val="autoZero"/>
        <c:auto val="1"/>
        <c:lblAlgn val="ctr"/>
        <c:lblOffset val="100"/>
        <c:noMultiLvlLbl val="0"/>
      </c:catAx>
      <c:valAx>
        <c:axId val="114730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72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982</c:v>
                </c:pt>
                <c:pt idx="8">
                  <c:v>857</c:v>
                </c:pt>
                <c:pt idx="9">
                  <c:v>829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25024"/>
        <c:axId val="115026560"/>
      </c:barChart>
      <c:catAx>
        <c:axId val="11502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26560"/>
        <c:crosses val="autoZero"/>
        <c:auto val="1"/>
        <c:lblAlgn val="ctr"/>
        <c:lblOffset val="100"/>
        <c:noMultiLvlLbl val="0"/>
      </c:catAx>
      <c:valAx>
        <c:axId val="11502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02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114300</xdr:rowOff>
    </xdr:from>
    <xdr:to>
      <xdr:col>3</xdr:col>
      <xdr:colOff>733425</xdr:colOff>
      <xdr:row>29</xdr:row>
      <xdr:rowOff>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2925"/>
          <a:ext cx="5934075" cy="841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3473460.5549108558</v>
          </cell>
          <cell r="P13">
            <v>37110331.166999996</v>
          </cell>
          <cell r="Q13"/>
          <cell r="R13">
            <v>3085550.7289798502</v>
          </cell>
          <cell r="S13">
            <v>33002302.838</v>
          </cell>
          <cell r="T13"/>
          <cell r="U13">
            <v>2758955.7094630236</v>
          </cell>
          <cell r="V13">
            <v>29461295.302999999</v>
          </cell>
          <cell r="W13"/>
          <cell r="X13">
            <v>2526834.5236839321</v>
          </cell>
          <cell r="Y13">
            <v>27011986.829</v>
          </cell>
          <cell r="Z13"/>
          <cell r="AA13">
            <v>2822572.1879945146</v>
          </cell>
          <cell r="AB13">
            <v>30149228.651000001</v>
          </cell>
          <cell r="AC13"/>
          <cell r="AD13">
            <v>2972948.5652494989</v>
          </cell>
          <cell r="AE13">
            <v>31715579.27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2660489.4069797872</v>
          </cell>
          <cell r="P22">
            <v>28414675.905000001</v>
          </cell>
          <cell r="Q22"/>
          <cell r="R22">
            <v>2207667.6083260933</v>
          </cell>
          <cell r="S22">
            <v>23609373.644262001</v>
          </cell>
          <cell r="T22"/>
          <cell r="U22">
            <v>1962711.9911944673</v>
          </cell>
          <cell r="V22">
            <v>20952293.360000003</v>
          </cell>
          <cell r="W22"/>
          <cell r="X22">
            <v>1586688.1661832945</v>
          </cell>
          <cell r="Y22">
            <v>16959897.035999998</v>
          </cell>
          <cell r="Z22"/>
          <cell r="AA22">
            <v>2117974.5414362946</v>
          </cell>
          <cell r="AB22">
            <v>22617914.491</v>
          </cell>
          <cell r="AC22"/>
          <cell r="AD22">
            <v>2415906.7621648461</v>
          </cell>
          <cell r="AE22">
            <v>25777317.864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>
            <v>0</v>
          </cell>
          <cell r="Y39">
            <v>0</v>
          </cell>
          <cell r="Z39">
            <v>0</v>
          </cell>
          <cell r="AA39">
            <v>2.1379999999999999</v>
          </cell>
          <cell r="AB39">
            <v>22.827000000000002</v>
          </cell>
          <cell r="AC39">
            <v>10.68</v>
          </cell>
          <cell r="AD39">
            <v>169032.753</v>
          </cell>
          <cell r="AE39">
            <v>1806016.3119999999</v>
          </cell>
          <cell r="AF39">
            <v>10.68</v>
          </cell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262.27</v>
          </cell>
          <cell r="AB40">
            <v>2805.69</v>
          </cell>
          <cell r="AC40">
            <v>10.7</v>
          </cell>
          <cell r="AD40">
            <v>2645.5770000000002</v>
          </cell>
          <cell r="AE40">
            <v>28315.278999999999</v>
          </cell>
          <cell r="AF40">
            <v>10.7</v>
          </cell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361.29300000000001</v>
          </cell>
          <cell r="P41">
            <v>3872.93</v>
          </cell>
          <cell r="Q41"/>
          <cell r="R41">
            <v>136.119</v>
          </cell>
          <cell r="S41">
            <v>1461.345</v>
          </cell>
          <cell r="T41"/>
          <cell r="U41">
            <v>275.24</v>
          </cell>
          <cell r="V41">
            <v>2939.5630000000001</v>
          </cell>
          <cell r="W41"/>
          <cell r="X41">
            <v>0</v>
          </cell>
          <cell r="Y41">
            <v>0</v>
          </cell>
          <cell r="Z41"/>
          <cell r="AA41">
            <v>264.40799999999996</v>
          </cell>
          <cell r="AB41">
            <v>2828.5170000000003</v>
          </cell>
          <cell r="AC41"/>
          <cell r="AD41">
            <v>171678.33</v>
          </cell>
          <cell r="AE41">
            <v>1834331.591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>
            <v>607357.61300000001</v>
          </cell>
          <cell r="Y43">
            <v>6498198.2769999998</v>
          </cell>
          <cell r="Z43">
            <v>10.7</v>
          </cell>
          <cell r="AA43">
            <v>322129.36800000002</v>
          </cell>
          <cell r="AB43">
            <v>3442837.571</v>
          </cell>
          <cell r="AC43">
            <v>10.69</v>
          </cell>
          <cell r="AD43">
            <v>0</v>
          </cell>
          <cell r="AE43">
            <v>0</v>
          </cell>
          <cell r="AF43">
            <v>0</v>
          </cell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>
            <v>55822.642</v>
          </cell>
          <cell r="Y44">
            <v>597452.34199999995</v>
          </cell>
          <cell r="Z44">
            <v>10.702688382251774</v>
          </cell>
          <cell r="AA44">
            <v>28534.289000000001</v>
          </cell>
          <cell r="AB44">
            <v>305286.83199999999</v>
          </cell>
          <cell r="AC44">
            <v>10.698946520097277</v>
          </cell>
          <cell r="AD44">
            <v>31605.976999999999</v>
          </cell>
          <cell r="AE44">
            <v>338063.06300000002</v>
          </cell>
          <cell r="AF44">
            <v>10.696175062077659</v>
          </cell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406773.18200000003</v>
          </cell>
          <cell r="P45">
            <v>4350350.6279999996</v>
          </cell>
          <cell r="Q45"/>
          <cell r="R45">
            <v>560696.73699999996</v>
          </cell>
          <cell r="S45">
            <v>6007531.1279999996</v>
          </cell>
          <cell r="T45"/>
          <cell r="U45">
            <v>503123.26199999999</v>
          </cell>
          <cell r="V45">
            <v>5376332.4070000006</v>
          </cell>
          <cell r="W45"/>
          <cell r="X45">
            <v>663180.255</v>
          </cell>
          <cell r="Y45">
            <v>7095650.6189999999</v>
          </cell>
          <cell r="Z45"/>
          <cell r="AA45">
            <v>350663.65700000001</v>
          </cell>
          <cell r="AB45">
            <v>3748124.4029999999</v>
          </cell>
          <cell r="AC45"/>
          <cell r="AD45">
            <v>31605.976999999999</v>
          </cell>
          <cell r="AE45">
            <v>338063.06300000002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>
            <v>16169.176930368703</v>
          </cell>
          <cell r="P49">
            <v>173853.55899999477</v>
          </cell>
          <cell r="Q49"/>
          <cell r="R49">
            <v>15995.512653756887</v>
          </cell>
          <cell r="S49">
            <v>162297.60973799974</v>
          </cell>
          <cell r="T49"/>
          <cell r="U49">
            <v>8145.1462685563019</v>
          </cell>
          <cell r="V49">
            <v>92700.816999996081</v>
          </cell>
          <cell r="W49"/>
          <cell r="X49">
            <v>12446.211500637699</v>
          </cell>
          <cell r="Y49">
            <v>125442.86900000181</v>
          </cell>
          <cell r="Z49"/>
          <cell r="AA49">
            <v>13798.279558220063</v>
          </cell>
          <cell r="AB49">
            <v>146856.14100000029</v>
          </cell>
          <cell r="AC49"/>
          <cell r="AD49">
            <v>17919.10708465286</v>
          </cell>
          <cell r="AE49">
            <v>182462.83699999942</v>
          </cell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2407.0049078421694</v>
          </cell>
          <cell r="K3">
            <v>2757.4041568421703</v>
          </cell>
          <cell r="L3">
            <v>2617.3318038421703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25864.427856715996</v>
          </cell>
          <cell r="K4">
            <v>29609.723742405993</v>
          </cell>
          <cell r="L4">
            <v>28113.455214405993</v>
          </cell>
          <cell r="M4">
            <v>0</v>
          </cell>
          <cell r="N4">
            <v>0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List3"/>
      <sheetName val="Lis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2</v>
          </cell>
          <cell r="J3">
            <v>2</v>
          </cell>
          <cell r="K3">
            <v>6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19</v>
          </cell>
          <cell r="J4">
            <v>28</v>
          </cell>
          <cell r="K4">
            <v>18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982</v>
          </cell>
          <cell r="J5">
            <v>857</v>
          </cell>
          <cell r="K5">
            <v>829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11846</v>
          </cell>
          <cell r="J6">
            <v>12336</v>
          </cell>
          <cell r="K6">
            <v>13353</v>
          </cell>
          <cell r="L6">
            <v>0</v>
          </cell>
          <cell r="M6">
            <v>0</v>
          </cell>
        </row>
      </sheetData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ZDS"/>
      <sheetName val="Z 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32.183876415279308</v>
          </cell>
          <cell r="AF31">
            <v>337.945561</v>
          </cell>
          <cell r="AI31">
            <v>85.353673481835486</v>
          </cell>
          <cell r="AJ31">
            <v>896.20718300000021</v>
          </cell>
          <cell r="AM31">
            <v>145.65172632005385</v>
          </cell>
          <cell r="AN31">
            <v>1529.4135209999997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1286.1617671989247</v>
          </cell>
          <cell r="AZ31">
            <v>13504.464218000001</v>
          </cell>
        </row>
      </sheetData>
      <sheetData sheetId="2"/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12.540706060250383</v>
          </cell>
          <cell r="Y32">
            <v>134.37035520000001</v>
          </cell>
          <cell r="AA32">
            <v>14.98652120086658</v>
          </cell>
          <cell r="AB32">
            <v>160.32547339999999</v>
          </cell>
          <cell r="AD32">
            <v>23.028959755137851</v>
          </cell>
          <cell r="AE32">
            <v>246.01559449999999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191.45286706743218</v>
          </cell>
          <cell r="AN32">
            <v>2041.9348370999999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117</v>
          </cell>
          <cell r="X3">
            <v>6889.8140000000003</v>
          </cell>
          <cell r="Y3">
            <v>73700.353000000003</v>
          </cell>
          <cell r="Z3">
            <v>117</v>
          </cell>
          <cell r="AA3">
            <v>8314.9360000000015</v>
          </cell>
          <cell r="AB3">
            <v>88878.425999999992</v>
          </cell>
          <cell r="AC3">
            <v>117</v>
          </cell>
          <cell r="AD3">
            <v>10039.65</v>
          </cell>
          <cell r="AE3">
            <v>107198.40300000001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312</v>
          </cell>
          <cell r="X4">
            <v>339.685</v>
          </cell>
          <cell r="Y4">
            <v>3633.8657600000001</v>
          </cell>
          <cell r="Z4">
            <v>312</v>
          </cell>
          <cell r="AA4">
            <v>532.21799999999996</v>
          </cell>
          <cell r="AB4">
            <v>5689.4993400000003</v>
          </cell>
          <cell r="AC4">
            <v>312</v>
          </cell>
          <cell r="AD4">
            <v>1203.347</v>
          </cell>
          <cell r="AE4">
            <v>12848.51606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8375</v>
          </cell>
          <cell r="X5">
            <v>427.629774</v>
          </cell>
          <cell r="Y5">
            <v>4576.7187520000007</v>
          </cell>
          <cell r="Z5">
            <v>8553</v>
          </cell>
          <cell r="AA5">
            <v>1122.461114</v>
          </cell>
          <cell r="AB5">
            <v>11995.979798</v>
          </cell>
          <cell r="AC5">
            <v>8865</v>
          </cell>
          <cell r="AD5">
            <v>3707.7440320000001</v>
          </cell>
          <cell r="AE5">
            <v>39591.039189999996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98124</v>
          </cell>
          <cell r="X6">
            <v>896.83722599999999</v>
          </cell>
          <cell r="Y6">
            <v>9597.1972480000004</v>
          </cell>
          <cell r="Z6">
            <v>97941</v>
          </cell>
          <cell r="AA6">
            <v>2356.5758860000001</v>
          </cell>
          <cell r="AB6">
            <v>25185.179201999999</v>
          </cell>
          <cell r="AC6">
            <v>97632</v>
          </cell>
          <cell r="AD6">
            <v>7782.7119679999996</v>
          </cell>
          <cell r="AE6">
            <v>83102.855809999994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190</v>
          </cell>
          <cell r="X9">
            <v>16495.7</v>
          </cell>
          <cell r="Y9">
            <v>176747.29083000001</v>
          </cell>
          <cell r="Z9">
            <v>189</v>
          </cell>
          <cell r="AA9">
            <v>21034.2</v>
          </cell>
          <cell r="AB9">
            <v>225023.89578999983</v>
          </cell>
          <cell r="AC9">
            <v>190</v>
          </cell>
          <cell r="AD9">
            <v>39092</v>
          </cell>
          <cell r="AE9">
            <v>417615.5748099999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934</v>
          </cell>
          <cell r="X10">
            <v>3551.9</v>
          </cell>
          <cell r="Y10">
            <v>38057.146369999995</v>
          </cell>
          <cell r="Z10">
            <v>941</v>
          </cell>
          <cell r="AA10">
            <v>4862.3999999999996</v>
          </cell>
          <cell r="AB10">
            <v>52017.348690000057</v>
          </cell>
          <cell r="AC10">
            <v>942</v>
          </cell>
          <cell r="AD10">
            <v>11800.3</v>
          </cell>
          <cell r="AE10">
            <v>126060.93961000003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23764</v>
          </cell>
          <cell r="X11">
            <v>1763.1</v>
          </cell>
          <cell r="Y11">
            <v>18891.599999999999</v>
          </cell>
          <cell r="Z11">
            <v>23769</v>
          </cell>
          <cell r="AA11">
            <v>3273.7</v>
          </cell>
          <cell r="AB11">
            <v>35021.599999999999</v>
          </cell>
          <cell r="AC11">
            <v>23822</v>
          </cell>
          <cell r="AD11">
            <v>11586.9</v>
          </cell>
          <cell r="AE11">
            <v>123781.1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361060</v>
          </cell>
          <cell r="X12">
            <v>4818.7</v>
          </cell>
          <cell r="Y12">
            <v>51631.4</v>
          </cell>
          <cell r="Z12">
            <v>361100</v>
          </cell>
          <cell r="AA12">
            <v>8947</v>
          </cell>
          <cell r="AB12">
            <v>95715.199999999997</v>
          </cell>
          <cell r="AC12">
            <v>361286</v>
          </cell>
          <cell r="AD12">
            <v>31667.3</v>
          </cell>
          <cell r="AE12">
            <v>338297.8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51</v>
          </cell>
          <cell r="X15">
            <v>7275.8</v>
          </cell>
          <cell r="Y15">
            <v>77958.799729999999</v>
          </cell>
          <cell r="Z15">
            <v>51</v>
          </cell>
          <cell r="AA15">
            <v>7623.3</v>
          </cell>
          <cell r="AB15">
            <v>81554.39694999998</v>
          </cell>
          <cell r="AC15">
            <v>51</v>
          </cell>
          <cell r="AD15">
            <v>8991.7999999999993</v>
          </cell>
          <cell r="AE15">
            <v>96058.326860000001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192</v>
          </cell>
          <cell r="X16">
            <v>675.1</v>
          </cell>
          <cell r="Y16">
            <v>7233.2567300000001</v>
          </cell>
          <cell r="Z16">
            <v>193</v>
          </cell>
          <cell r="AA16">
            <v>1193.5</v>
          </cell>
          <cell r="AB16">
            <v>12768.458299999989</v>
          </cell>
          <cell r="AC16">
            <v>193</v>
          </cell>
          <cell r="AD16">
            <v>2050</v>
          </cell>
          <cell r="AE16">
            <v>21900.412970000012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5961</v>
          </cell>
          <cell r="X17">
            <v>423.3</v>
          </cell>
          <cell r="Y17">
            <v>4535.6000000000004</v>
          </cell>
          <cell r="Z17">
            <v>5963</v>
          </cell>
          <cell r="AA17">
            <v>786</v>
          </cell>
          <cell r="AB17">
            <v>8408.2000000000007</v>
          </cell>
          <cell r="AC17">
            <v>5976</v>
          </cell>
          <cell r="AD17">
            <v>2781.8</v>
          </cell>
          <cell r="AE17">
            <v>29718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79803</v>
          </cell>
          <cell r="X18">
            <v>593</v>
          </cell>
          <cell r="Y18">
            <v>6354</v>
          </cell>
          <cell r="Z18">
            <v>79812</v>
          </cell>
          <cell r="AA18">
            <v>1101.0999999999999</v>
          </cell>
          <cell r="AB18">
            <v>11779.1</v>
          </cell>
          <cell r="AC18">
            <v>79853</v>
          </cell>
          <cell r="AD18">
            <v>3897.1</v>
          </cell>
          <cell r="AE18">
            <v>41632.300000000003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81</v>
          </cell>
          <cell r="X21">
            <v>6941.6</v>
          </cell>
          <cell r="Y21">
            <v>74377.091700000004</v>
          </cell>
          <cell r="Z21">
            <v>81</v>
          </cell>
          <cell r="AA21">
            <v>8541.1</v>
          </cell>
          <cell r="AB21">
            <v>91372.807049999989</v>
          </cell>
          <cell r="AC21">
            <v>81</v>
          </cell>
          <cell r="AD21">
            <v>11277</v>
          </cell>
          <cell r="AE21">
            <v>120470.84220000003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257</v>
          </cell>
          <cell r="X22">
            <v>934.8</v>
          </cell>
          <cell r="Y22">
            <v>10015.611549999998</v>
          </cell>
          <cell r="Z22">
            <v>259</v>
          </cell>
          <cell r="AA22">
            <v>1216.2</v>
          </cell>
          <cell r="AB22">
            <v>13011.152239999999</v>
          </cell>
          <cell r="AC22">
            <v>257</v>
          </cell>
          <cell r="AD22">
            <v>2571.6999999999998</v>
          </cell>
          <cell r="AE22">
            <v>27473.462839999986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9387</v>
          </cell>
          <cell r="X23">
            <v>664.2</v>
          </cell>
          <cell r="Y23">
            <v>7117</v>
          </cell>
          <cell r="Z23">
            <v>9389</v>
          </cell>
          <cell r="AA23">
            <v>1233.3</v>
          </cell>
          <cell r="AB23">
            <v>13193.7</v>
          </cell>
          <cell r="AC23">
            <v>9410</v>
          </cell>
          <cell r="AD23">
            <v>4365.1000000000004</v>
          </cell>
          <cell r="AE23">
            <v>46632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108610</v>
          </cell>
          <cell r="X24">
            <v>1275.4000000000001</v>
          </cell>
          <cell r="Y24">
            <v>13665.2</v>
          </cell>
          <cell r="Z24">
            <v>108622</v>
          </cell>
          <cell r="AA24">
            <v>2368</v>
          </cell>
          <cell r="AB24">
            <v>25332.799999999999</v>
          </cell>
          <cell r="AC24">
            <v>108678</v>
          </cell>
          <cell r="AD24">
            <v>8381.2999999999993</v>
          </cell>
          <cell r="AE24">
            <v>89536.7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93</v>
          </cell>
          <cell r="X27">
            <v>7759.7</v>
          </cell>
          <cell r="Y27">
            <v>83143.412399999987</v>
          </cell>
          <cell r="Z27">
            <v>93</v>
          </cell>
          <cell r="AA27">
            <v>9571.7999999999993</v>
          </cell>
          <cell r="AB27">
            <v>102399.38298000001</v>
          </cell>
          <cell r="AC27">
            <v>95</v>
          </cell>
          <cell r="AD27">
            <v>13330.9</v>
          </cell>
          <cell r="AE27">
            <v>142412.89218000002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303</v>
          </cell>
          <cell r="X28">
            <v>1181.7</v>
          </cell>
          <cell r="Y28">
            <v>12661.932339999999</v>
          </cell>
          <cell r="Z28">
            <v>302</v>
          </cell>
          <cell r="AA28">
            <v>1876.7</v>
          </cell>
          <cell r="AB28">
            <v>20076.424780000012</v>
          </cell>
          <cell r="AC28">
            <v>302</v>
          </cell>
          <cell r="AD28">
            <v>3450.3</v>
          </cell>
          <cell r="AE28">
            <v>36858.752999999975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8511</v>
          </cell>
          <cell r="X29">
            <v>659.8</v>
          </cell>
          <cell r="Y29">
            <v>7069.3</v>
          </cell>
          <cell r="Z29">
            <v>8513</v>
          </cell>
          <cell r="AA29">
            <v>1225</v>
          </cell>
          <cell r="AB29">
            <v>13105.2</v>
          </cell>
          <cell r="AC29">
            <v>8532</v>
          </cell>
          <cell r="AD29">
            <v>4335.8999999999996</v>
          </cell>
          <cell r="AE29">
            <v>46319.4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83578</v>
          </cell>
          <cell r="X30">
            <v>967.4</v>
          </cell>
          <cell r="Y30">
            <v>10365.200000000001</v>
          </cell>
          <cell r="Z30">
            <v>83587</v>
          </cell>
          <cell r="AA30">
            <v>1796.2</v>
          </cell>
          <cell r="AB30">
            <v>19215.2</v>
          </cell>
          <cell r="AC30">
            <v>83630</v>
          </cell>
          <cell r="AD30">
            <v>6357.3</v>
          </cell>
          <cell r="AE30">
            <v>67914.5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133</v>
          </cell>
          <cell r="X33">
            <v>30304.5</v>
          </cell>
          <cell r="Y33">
            <v>324570.14308999991</v>
          </cell>
          <cell r="Z33">
            <v>134</v>
          </cell>
          <cell r="AA33">
            <v>39097</v>
          </cell>
          <cell r="AB33">
            <v>418074.47353999992</v>
          </cell>
          <cell r="AC33">
            <v>135</v>
          </cell>
          <cell r="AD33">
            <v>44311.1</v>
          </cell>
          <cell r="AE33">
            <v>473193.80458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478</v>
          </cell>
          <cell r="X34">
            <v>2064.3000000000002</v>
          </cell>
          <cell r="Y34">
            <v>22100.030419999996</v>
          </cell>
          <cell r="Z34">
            <v>481</v>
          </cell>
          <cell r="AA34">
            <v>2693.4</v>
          </cell>
          <cell r="AB34">
            <v>28796.464299999989</v>
          </cell>
          <cell r="AC34">
            <v>480</v>
          </cell>
          <cell r="AD34">
            <v>5101.6000000000004</v>
          </cell>
          <cell r="AE34">
            <v>54481.696959999994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17955</v>
          </cell>
          <cell r="X35">
            <v>1220.7730000000001</v>
          </cell>
          <cell r="Y35">
            <v>13080.065000000001</v>
          </cell>
          <cell r="Z35">
            <v>17960</v>
          </cell>
          <cell r="AA35">
            <v>2265.6979999999999</v>
          </cell>
          <cell r="AB35">
            <v>24244.719999999998</v>
          </cell>
          <cell r="AC35">
            <v>17998</v>
          </cell>
          <cell r="AD35">
            <v>8042.7749999999996</v>
          </cell>
          <cell r="AE35">
            <v>85907.088999999993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366303</v>
          </cell>
          <cell r="X36">
            <v>2836.3</v>
          </cell>
          <cell r="Y36">
            <v>30389.8</v>
          </cell>
          <cell r="Z36">
            <v>366345</v>
          </cell>
          <cell r="AA36">
            <v>5266.1</v>
          </cell>
          <cell r="AB36">
            <v>56337.1</v>
          </cell>
          <cell r="AC36">
            <v>366535</v>
          </cell>
          <cell r="AD36">
            <v>18639.099999999999</v>
          </cell>
          <cell r="AE36">
            <v>199119.1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109</v>
          </cell>
          <cell r="X39">
            <v>10469.200000000001</v>
          </cell>
          <cell r="Y39">
            <v>112174.32515999995</v>
          </cell>
          <cell r="Z39">
            <v>109</v>
          </cell>
          <cell r="AA39">
            <v>11445.6</v>
          </cell>
          <cell r="AB39">
            <v>122445.10243000003</v>
          </cell>
          <cell r="AC39">
            <v>109</v>
          </cell>
          <cell r="AD39">
            <v>16631.2</v>
          </cell>
          <cell r="AE39">
            <v>177669.32398000004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379</v>
          </cell>
          <cell r="X40">
            <v>1527.6</v>
          </cell>
          <cell r="Y40">
            <v>16368.207069999997</v>
          </cell>
          <cell r="Z40">
            <v>379</v>
          </cell>
          <cell r="AA40">
            <v>1941.8</v>
          </cell>
          <cell r="AB40">
            <v>20773.054120000004</v>
          </cell>
          <cell r="AC40">
            <v>380</v>
          </cell>
          <cell r="AD40">
            <v>4057.2</v>
          </cell>
          <cell r="AE40">
            <v>43342.344079999973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12737</v>
          </cell>
          <cell r="X41">
            <v>866.8</v>
          </cell>
          <cell r="Y41">
            <v>9287.7999999999993</v>
          </cell>
          <cell r="Z41">
            <v>12740</v>
          </cell>
          <cell r="AA41">
            <v>1609.5</v>
          </cell>
          <cell r="AB41">
            <v>17218</v>
          </cell>
          <cell r="AC41">
            <v>12768</v>
          </cell>
          <cell r="AD41">
            <v>5696.5</v>
          </cell>
          <cell r="AE41">
            <v>60855.5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174177</v>
          </cell>
          <cell r="X42">
            <v>1833</v>
          </cell>
          <cell r="Y42">
            <v>19640.400000000001</v>
          </cell>
          <cell r="Z42">
            <v>174197</v>
          </cell>
          <cell r="AA42">
            <v>3403.4</v>
          </cell>
          <cell r="AB42">
            <v>36409.699999999997</v>
          </cell>
          <cell r="AC42">
            <v>174286</v>
          </cell>
          <cell r="AD42">
            <v>12046.1</v>
          </cell>
          <cell r="AE42">
            <v>128687.2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75</v>
          </cell>
          <cell r="X45">
            <v>9807.1</v>
          </cell>
          <cell r="Y45">
            <v>105080.25125000003</v>
          </cell>
          <cell r="Z45">
            <v>76</v>
          </cell>
          <cell r="AA45">
            <v>11108.2</v>
          </cell>
          <cell r="AB45">
            <v>118834.99263000004</v>
          </cell>
          <cell r="AC45">
            <v>76</v>
          </cell>
          <cell r="AD45">
            <v>13876.2</v>
          </cell>
          <cell r="AE45">
            <v>148237.65017000001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288</v>
          </cell>
          <cell r="X46">
            <v>1227.0999999999999</v>
          </cell>
          <cell r="Y46">
            <v>13147.554080000009</v>
          </cell>
          <cell r="Z46">
            <v>288</v>
          </cell>
          <cell r="AA46">
            <v>1605</v>
          </cell>
          <cell r="AB46">
            <v>17170.118899999983</v>
          </cell>
          <cell r="AC46">
            <v>290</v>
          </cell>
          <cell r="AD46">
            <v>3299.5</v>
          </cell>
          <cell r="AE46">
            <v>35248.438000000002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10788</v>
          </cell>
          <cell r="X47">
            <v>724.2</v>
          </cell>
          <cell r="Y47">
            <v>7759.2</v>
          </cell>
          <cell r="Z47">
            <v>10790</v>
          </cell>
          <cell r="AA47">
            <v>1344.6</v>
          </cell>
          <cell r="AB47">
            <v>14384.2</v>
          </cell>
          <cell r="AC47">
            <v>10814</v>
          </cell>
          <cell r="AD47">
            <v>4759</v>
          </cell>
          <cell r="AE47">
            <v>50839.8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124981</v>
          </cell>
          <cell r="X48">
            <v>1466.6</v>
          </cell>
          <cell r="Y48">
            <v>15714.5</v>
          </cell>
          <cell r="Z48">
            <v>124996</v>
          </cell>
          <cell r="AA48">
            <v>2723.1</v>
          </cell>
          <cell r="AB48">
            <v>29131.9</v>
          </cell>
          <cell r="AC48">
            <v>125060</v>
          </cell>
          <cell r="AD48">
            <v>9638.2999999999993</v>
          </cell>
          <cell r="AE48">
            <v>102964.3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82</v>
          </cell>
          <cell r="X51">
            <v>9901.1</v>
          </cell>
          <cell r="Y51">
            <v>106087.79679000005</v>
          </cell>
          <cell r="Z51">
            <v>82</v>
          </cell>
          <cell r="AA51">
            <v>11624.5</v>
          </cell>
          <cell r="AB51">
            <v>124358.18142999998</v>
          </cell>
          <cell r="AC51">
            <v>83</v>
          </cell>
          <cell r="AD51">
            <v>13675.7</v>
          </cell>
          <cell r="AE51">
            <v>146096.33692000006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344</v>
          </cell>
          <cell r="X52">
            <v>1296.7</v>
          </cell>
          <cell r="Y52">
            <v>13894.027070000007</v>
          </cell>
          <cell r="Z52">
            <v>344</v>
          </cell>
          <cell r="AA52">
            <v>1901.7</v>
          </cell>
          <cell r="AB52">
            <v>20344.475090000004</v>
          </cell>
          <cell r="AC52">
            <v>345</v>
          </cell>
          <cell r="AD52">
            <v>3637.6</v>
          </cell>
          <cell r="AE52">
            <v>38860.051570000047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11336</v>
          </cell>
          <cell r="X53">
            <v>799.5</v>
          </cell>
          <cell r="Y53">
            <v>8566</v>
          </cell>
          <cell r="Z53">
            <v>11339</v>
          </cell>
          <cell r="AA53">
            <v>1484.4</v>
          </cell>
          <cell r="AB53">
            <v>15879.7</v>
          </cell>
          <cell r="AC53">
            <v>11364</v>
          </cell>
          <cell r="AD53">
            <v>5253.8</v>
          </cell>
          <cell r="AE53">
            <v>56125.7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147220</v>
          </cell>
          <cell r="X54">
            <v>1366.5</v>
          </cell>
          <cell r="Y54">
            <v>14642</v>
          </cell>
          <cell r="Z54">
            <v>147236</v>
          </cell>
          <cell r="AA54">
            <v>2537.3000000000002</v>
          </cell>
          <cell r="AB54">
            <v>27143.599999999999</v>
          </cell>
          <cell r="AC54">
            <v>147312</v>
          </cell>
          <cell r="AD54">
            <v>8980.4</v>
          </cell>
          <cell r="AE54">
            <v>95936.9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185</v>
          </cell>
          <cell r="X57">
            <v>7707.2446334299757</v>
          </cell>
          <cell r="Y57">
            <v>82492.856</v>
          </cell>
          <cell r="Z57">
            <v>185</v>
          </cell>
          <cell r="AA57">
            <v>10011.381801364159</v>
          </cell>
          <cell r="AB57">
            <v>107040.15700000001</v>
          </cell>
          <cell r="AC57">
            <v>185</v>
          </cell>
          <cell r="AD57">
            <v>19785.400000000001</v>
          </cell>
          <cell r="AE57">
            <v>211171.139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1618</v>
          </cell>
          <cell r="X58">
            <v>3291.0322590852484</v>
          </cell>
          <cell r="Y58">
            <v>35224.853000000003</v>
          </cell>
          <cell r="Z58">
            <v>1621</v>
          </cell>
          <cell r="AA58">
            <v>5270.5184245247365</v>
          </cell>
          <cell r="AB58">
            <v>56351.546999999999</v>
          </cell>
          <cell r="AC58">
            <v>1627</v>
          </cell>
          <cell r="AD58">
            <v>14265.4</v>
          </cell>
          <cell r="AE58">
            <v>152248.27900000001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38637</v>
          </cell>
          <cell r="X59">
            <v>2141.2613426995154</v>
          </cell>
          <cell r="Y59">
            <v>22918.528319785542</v>
          </cell>
          <cell r="Z59">
            <v>38581</v>
          </cell>
          <cell r="AA59">
            <v>4799.1070721224905</v>
          </cell>
          <cell r="AB59">
            <v>51311.291594076793</v>
          </cell>
          <cell r="AC59">
            <v>38532</v>
          </cell>
          <cell r="AD59">
            <v>16020.6</v>
          </cell>
          <cell r="AE59">
            <v>170994.1985428952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388292</v>
          </cell>
          <cell r="X60">
            <v>4314.2137625396481</v>
          </cell>
          <cell r="Y60">
            <v>46176.255239222686</v>
          </cell>
          <cell r="Z60">
            <v>388109</v>
          </cell>
          <cell r="AA60">
            <v>7506.9758830532292</v>
          </cell>
          <cell r="AB60">
            <v>80263.395405905772</v>
          </cell>
          <cell r="AC60">
            <v>388146</v>
          </cell>
          <cell r="AD60">
            <v>24615.3</v>
          </cell>
          <cell r="AE60">
            <v>262729.12945706648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180</v>
          </cell>
          <cell r="X63">
            <v>35746.233</v>
          </cell>
          <cell r="Y63">
            <v>382981.44475999998</v>
          </cell>
          <cell r="Z63">
            <v>180</v>
          </cell>
          <cell r="AA63">
            <v>32019.523999999998</v>
          </cell>
          <cell r="AB63">
            <v>342526.30622999987</v>
          </cell>
          <cell r="AC63">
            <v>180</v>
          </cell>
          <cell r="AD63">
            <v>47412.775999999998</v>
          </cell>
          <cell r="AE63">
            <v>506484.01860000013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648</v>
          </cell>
          <cell r="X64">
            <v>2683.2</v>
          </cell>
          <cell r="Y64">
            <v>28749.621359999983</v>
          </cell>
          <cell r="Z64">
            <v>648</v>
          </cell>
          <cell r="AA64">
            <v>3851</v>
          </cell>
          <cell r="AB64">
            <v>41197.529460000042</v>
          </cell>
          <cell r="AC64">
            <v>649</v>
          </cell>
          <cell r="AD64">
            <v>7501.9</v>
          </cell>
          <cell r="AE64">
            <v>80142.400090000039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17899</v>
          </cell>
          <cell r="X65">
            <v>1304.9000000000001</v>
          </cell>
          <cell r="Y65">
            <v>13981.2</v>
          </cell>
          <cell r="Z65">
            <v>17903</v>
          </cell>
          <cell r="AA65">
            <v>2422.8000000000002</v>
          </cell>
          <cell r="AB65">
            <v>25918.6</v>
          </cell>
          <cell r="AC65">
            <v>17943</v>
          </cell>
          <cell r="AD65">
            <v>8575.1</v>
          </cell>
          <cell r="AE65">
            <v>91607.1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234145</v>
          </cell>
          <cell r="X66">
            <v>3236.8</v>
          </cell>
          <cell r="Y66">
            <v>34681.4</v>
          </cell>
          <cell r="Z66">
            <v>234171</v>
          </cell>
          <cell r="AA66">
            <v>6009.8</v>
          </cell>
          <cell r="AB66">
            <v>64293</v>
          </cell>
          <cell r="AC66">
            <v>234292</v>
          </cell>
          <cell r="AD66">
            <v>21271.3</v>
          </cell>
          <cell r="AE66">
            <v>227238.39999999999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131</v>
          </cell>
          <cell r="X69">
            <v>40676.855000000003</v>
          </cell>
          <cell r="Y69">
            <v>435832.13344999996</v>
          </cell>
          <cell r="Z69">
            <v>131</v>
          </cell>
          <cell r="AA69">
            <v>44073.555999999997</v>
          </cell>
          <cell r="AB69">
            <v>471405.0689999999</v>
          </cell>
          <cell r="AC69">
            <v>131</v>
          </cell>
          <cell r="AD69">
            <v>70295.625</v>
          </cell>
          <cell r="AE69">
            <v>750370.8874799998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343</v>
          </cell>
          <cell r="X70">
            <v>1645</v>
          </cell>
          <cell r="Y70">
            <v>17625.584329999991</v>
          </cell>
          <cell r="Z70">
            <v>343</v>
          </cell>
          <cell r="AA70">
            <v>2153.6999999999998</v>
          </cell>
          <cell r="AB70">
            <v>23040.588740000014</v>
          </cell>
          <cell r="AC70">
            <v>343</v>
          </cell>
          <cell r="AD70">
            <v>3619.6</v>
          </cell>
          <cell r="AE70">
            <v>38667.51017999999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12314</v>
          </cell>
          <cell r="X71">
            <v>765.8</v>
          </cell>
          <cell r="Y71">
            <v>8204.9</v>
          </cell>
          <cell r="Z71">
            <v>12317</v>
          </cell>
          <cell r="AA71">
            <v>1421.8</v>
          </cell>
          <cell r="AB71">
            <v>15210.4</v>
          </cell>
          <cell r="AC71">
            <v>12344</v>
          </cell>
          <cell r="AD71">
            <v>5032.3999999999996</v>
          </cell>
          <cell r="AE71">
            <v>53760.1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213616</v>
          </cell>
          <cell r="X72">
            <v>1717.4</v>
          </cell>
          <cell r="Y72">
            <v>18401.900000000001</v>
          </cell>
          <cell r="Z72">
            <v>213640</v>
          </cell>
          <cell r="AA72">
            <v>3188.8</v>
          </cell>
          <cell r="AB72">
            <v>34113.800000000003</v>
          </cell>
          <cell r="AC72">
            <v>213750</v>
          </cell>
          <cell r="AD72">
            <v>11286.5</v>
          </cell>
          <cell r="AE72">
            <v>120572.5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98</v>
          </cell>
          <cell r="X75">
            <v>7626.2489999999998</v>
          </cell>
          <cell r="Y75">
            <v>81698.165430000008</v>
          </cell>
          <cell r="Z75">
            <v>98</v>
          </cell>
          <cell r="AA75">
            <v>8822.6229999999996</v>
          </cell>
          <cell r="AB75">
            <v>94375.606030000024</v>
          </cell>
          <cell r="AC75">
            <v>98</v>
          </cell>
          <cell r="AD75">
            <v>11303.011999999999</v>
          </cell>
          <cell r="AE75">
            <v>120739.46674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337</v>
          </cell>
          <cell r="X76">
            <v>1449.9449999999999</v>
          </cell>
          <cell r="Y76">
            <v>15532.276789999994</v>
          </cell>
          <cell r="Z76">
            <v>334</v>
          </cell>
          <cell r="AA76">
            <v>1828.087</v>
          </cell>
          <cell r="AB76">
            <v>19554.531610000002</v>
          </cell>
          <cell r="AC76">
            <v>333</v>
          </cell>
          <cell r="AD76">
            <v>3429.0970000000002</v>
          </cell>
          <cell r="AE76">
            <v>36629.291850000009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10068</v>
          </cell>
          <cell r="X77">
            <v>916.96850400000005</v>
          </cell>
          <cell r="Y77">
            <v>9819.8681859999997</v>
          </cell>
          <cell r="Z77">
            <v>10094</v>
          </cell>
          <cell r="AA77">
            <v>1461.8637940000001</v>
          </cell>
          <cell r="AB77">
            <v>15636.430638</v>
          </cell>
          <cell r="AC77">
            <v>10120</v>
          </cell>
          <cell r="AD77">
            <v>4771.9940560000005</v>
          </cell>
          <cell r="AE77">
            <v>50975.919446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104744</v>
          </cell>
          <cell r="X78">
            <v>1777.3634959999999</v>
          </cell>
          <cell r="Y78">
            <v>19033.844814</v>
          </cell>
          <cell r="Z78">
            <v>104736</v>
          </cell>
          <cell r="AA78">
            <v>2793.4132060000002</v>
          </cell>
          <cell r="AB78">
            <v>29878.548362000001</v>
          </cell>
          <cell r="AC78">
            <v>104778</v>
          </cell>
          <cell r="AD78">
            <v>9040.3539440000004</v>
          </cell>
          <cell r="AE78">
            <v>96570.723553999997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69</v>
          </cell>
          <cell r="X81">
            <v>8092.5</v>
          </cell>
          <cell r="Y81">
            <v>86708.950630000007</v>
          </cell>
          <cell r="Z81">
            <v>69</v>
          </cell>
          <cell r="AA81">
            <v>10684.1</v>
          </cell>
          <cell r="AB81">
            <v>114298.78032999999</v>
          </cell>
          <cell r="AC81">
            <v>69</v>
          </cell>
          <cell r="AD81">
            <v>13338.3</v>
          </cell>
          <cell r="AE81">
            <v>142491.54215999998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345</v>
          </cell>
          <cell r="X82">
            <v>1073.9000000000001</v>
          </cell>
          <cell r="Y82">
            <v>11506.788140000001</v>
          </cell>
          <cell r="Z82">
            <v>347</v>
          </cell>
          <cell r="AA82">
            <v>1465.9</v>
          </cell>
          <cell r="AB82">
            <v>15681.819709999992</v>
          </cell>
          <cell r="AC82">
            <v>346</v>
          </cell>
          <cell r="AD82">
            <v>3615.1</v>
          </cell>
          <cell r="AE82">
            <v>38619.298569999977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10367</v>
          </cell>
          <cell r="X83">
            <v>804.1</v>
          </cell>
          <cell r="Y83">
            <v>8616.1</v>
          </cell>
          <cell r="Z83">
            <v>10369</v>
          </cell>
          <cell r="AA83">
            <v>1493.1</v>
          </cell>
          <cell r="AB83">
            <v>15972.7</v>
          </cell>
          <cell r="AC83">
            <v>10392</v>
          </cell>
          <cell r="AD83">
            <v>5284.5</v>
          </cell>
          <cell r="AE83">
            <v>56454.2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147863</v>
          </cell>
          <cell r="X84">
            <v>1814.5</v>
          </cell>
          <cell r="Y84">
            <v>19441.7</v>
          </cell>
          <cell r="Z84">
            <v>147879</v>
          </cell>
          <cell r="AA84">
            <v>3369</v>
          </cell>
          <cell r="AB84">
            <v>36041.300000000003</v>
          </cell>
          <cell r="AC84">
            <v>147956</v>
          </cell>
          <cell r="AD84">
            <v>11924.2</v>
          </cell>
          <cell r="AE84">
            <v>127385.2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185</v>
          </cell>
          <cell r="X3">
            <v>7707.2446334299757</v>
          </cell>
          <cell r="Y3">
            <v>82492.856</v>
          </cell>
          <cell r="Z3">
            <v>185</v>
          </cell>
          <cell r="AA3">
            <v>10011.381801364159</v>
          </cell>
          <cell r="AB3">
            <v>107040.15700000001</v>
          </cell>
          <cell r="AC3">
            <v>185</v>
          </cell>
          <cell r="AD3">
            <v>19785.400000000001</v>
          </cell>
          <cell r="AE3">
            <v>211171.139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1618</v>
          </cell>
          <cell r="X4">
            <v>3291.0322590852484</v>
          </cell>
          <cell r="Y4">
            <v>35224.853000000003</v>
          </cell>
          <cell r="Z4">
            <v>1621</v>
          </cell>
          <cell r="AA4">
            <v>5270.5184245247365</v>
          </cell>
          <cell r="AB4">
            <v>56351.546999999999</v>
          </cell>
          <cell r="AC4">
            <v>1627</v>
          </cell>
          <cell r="AD4">
            <v>14265.4</v>
          </cell>
          <cell r="AE4">
            <v>152248.27900000001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38637</v>
          </cell>
          <cell r="X5">
            <v>2141.2613426995154</v>
          </cell>
          <cell r="Y5">
            <v>22918.528319785542</v>
          </cell>
          <cell r="Z5">
            <v>38581</v>
          </cell>
          <cell r="AA5">
            <v>4799.1070721224905</v>
          </cell>
          <cell r="AB5">
            <v>51311.291594076793</v>
          </cell>
          <cell r="AC5">
            <v>38532</v>
          </cell>
          <cell r="AD5">
            <v>16020.6</v>
          </cell>
          <cell r="AE5">
            <v>170994.1985428952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388292</v>
          </cell>
          <cell r="X6">
            <v>4314.2137625396481</v>
          </cell>
          <cell r="Y6">
            <v>46176.255239222686</v>
          </cell>
          <cell r="Z6">
            <v>388109</v>
          </cell>
          <cell r="AA6">
            <v>7506.9758830532292</v>
          </cell>
          <cell r="AB6">
            <v>80263.395405905772</v>
          </cell>
          <cell r="AC6">
            <v>388146</v>
          </cell>
          <cell r="AD6">
            <v>24615.3</v>
          </cell>
          <cell r="AE6">
            <v>262729.12945706648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1454.428002246382</v>
          </cell>
          <cell r="Y7">
            <v>15567.155999999999</v>
          </cell>
          <cell r="AA7">
            <v>1671.2877941485024</v>
          </cell>
          <cell r="AB7">
            <v>17869.144</v>
          </cell>
          <cell r="AD7">
            <v>2320.8969999999999</v>
          </cell>
          <cell r="AE7">
            <v>24772.764999999999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1258</v>
          </cell>
          <cell r="X10">
            <v>183113.70000000004</v>
          </cell>
          <cell r="Y10">
            <v>1962014.9512200002</v>
          </cell>
          <cell r="Z10">
            <v>1259</v>
          </cell>
          <cell r="AA10">
            <v>204193.60000000003</v>
          </cell>
          <cell r="AB10">
            <v>2184459.6263899994</v>
          </cell>
          <cell r="AC10">
            <v>1264</v>
          </cell>
          <cell r="AD10">
            <v>268195.7</v>
          </cell>
          <cell r="AE10">
            <v>2865103.1446799999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4802</v>
          </cell>
          <cell r="X11">
            <v>19092.799999999996</v>
          </cell>
          <cell r="Y11">
            <v>204573.04100999996</v>
          </cell>
          <cell r="Z11">
            <v>4813</v>
          </cell>
          <cell r="AA11">
            <v>26264.000000000004</v>
          </cell>
          <cell r="AB11">
            <v>280971.42028000008</v>
          </cell>
          <cell r="AC11">
            <v>4814</v>
          </cell>
          <cell r="AD11">
            <v>53547.799999999996</v>
          </cell>
          <cell r="AE11">
            <v>572044.10978000006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150268</v>
          </cell>
          <cell r="X12">
            <v>10650.573</v>
          </cell>
          <cell r="Y12">
            <v>114119.065</v>
          </cell>
          <cell r="Z12">
            <v>150304</v>
          </cell>
          <cell r="AA12">
            <v>19775.297999999999</v>
          </cell>
          <cell r="AB12">
            <v>211555.62</v>
          </cell>
          <cell r="AC12">
            <v>150635</v>
          </cell>
          <cell r="AD12">
            <v>69992.975000000006</v>
          </cell>
          <cell r="AE12">
            <v>747726.08900000004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2140036</v>
          </cell>
          <cell r="X13">
            <v>23147.999999999996</v>
          </cell>
          <cell r="Y13">
            <v>248025</v>
          </cell>
          <cell r="Z13">
            <v>2140276</v>
          </cell>
          <cell r="AA13">
            <v>42979.499999999993</v>
          </cell>
          <cell r="AB13">
            <v>459793.10000000003</v>
          </cell>
          <cell r="AC13">
            <v>2141378</v>
          </cell>
          <cell r="AD13">
            <v>152122.1</v>
          </cell>
          <cell r="AE13">
            <v>1625102.1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4303.170593724396</v>
          </cell>
          <cell r="Y14">
            <v>46107.337049999995</v>
          </cell>
          <cell r="AA14">
            <v>4810.9253754124938</v>
          </cell>
          <cell r="AB14">
            <v>51467.173599999995</v>
          </cell>
          <cell r="AD14">
            <v>10255.172900063431</v>
          </cell>
          <cell r="AE14">
            <v>109554.77297000001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135</v>
          </cell>
          <cell r="X17">
            <v>7709.8630000000003</v>
          </cell>
          <cell r="Y17">
            <v>82472.417000000001</v>
          </cell>
          <cell r="Z17">
            <v>135</v>
          </cell>
          <cell r="AA17">
            <v>9277.3590000000022</v>
          </cell>
          <cell r="AB17">
            <v>99165.764999999985</v>
          </cell>
          <cell r="AC17">
            <v>135</v>
          </cell>
          <cell r="AD17">
            <v>11663.361999999999</v>
          </cell>
          <cell r="AE17">
            <v>124535.588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352</v>
          </cell>
          <cell r="X18">
            <v>510.13</v>
          </cell>
          <cell r="Y18">
            <v>5456.8609999999999</v>
          </cell>
          <cell r="Z18">
            <v>352</v>
          </cell>
          <cell r="AA18">
            <v>802.60500000000002</v>
          </cell>
          <cell r="AB18">
            <v>8579.0450000000001</v>
          </cell>
          <cell r="AC18">
            <v>352</v>
          </cell>
          <cell r="AD18">
            <v>1686.444</v>
          </cell>
          <cell r="AE18">
            <v>18007.006000000001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9186</v>
          </cell>
          <cell r="X19">
            <v>689.49827800000003</v>
          </cell>
          <cell r="Y19">
            <v>7377.2869380000002</v>
          </cell>
          <cell r="Z19">
            <v>9388</v>
          </cell>
          <cell r="AA19">
            <v>1367.924908</v>
          </cell>
          <cell r="AB19">
            <v>14619.810436</v>
          </cell>
          <cell r="AC19">
            <v>9706</v>
          </cell>
          <cell r="AD19">
            <v>4174.5380880000002</v>
          </cell>
          <cell r="AE19">
            <v>44574.858635999997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104048</v>
          </cell>
          <cell r="X20">
            <v>1451.800722</v>
          </cell>
          <cell r="Y20">
            <v>15533.542062</v>
          </cell>
          <cell r="Z20">
            <v>103846</v>
          </cell>
          <cell r="AA20">
            <v>2880.289092</v>
          </cell>
          <cell r="AB20">
            <v>30783.327563999999</v>
          </cell>
          <cell r="AC20">
            <v>103528</v>
          </cell>
          <cell r="AD20">
            <v>8789.8659119999993</v>
          </cell>
          <cell r="AE20">
            <v>93856.379363999993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194.804</v>
          </cell>
          <cell r="Y21">
            <v>2083.9189999999999</v>
          </cell>
          <cell r="AA21">
            <v>271.03899999999999</v>
          </cell>
          <cell r="AB21">
            <v>2897.0250000000001</v>
          </cell>
          <cell r="AD21">
            <v>515.61400000000003</v>
          </cell>
          <cell r="AE21">
            <v>5505.5529999999999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6515.7879999999996</v>
          </cell>
          <cell r="Y26">
            <v>69774.789999999994</v>
          </cell>
          <cell r="Z26">
            <v>11</v>
          </cell>
          <cell r="AA26">
            <v>9688.48</v>
          </cell>
          <cell r="AB26">
            <v>103537.02899999999</v>
          </cell>
          <cell r="AC26">
            <v>11</v>
          </cell>
          <cell r="AD26">
            <v>32754.201000000001</v>
          </cell>
          <cell r="AE26">
            <v>349299.337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159</v>
          </cell>
          <cell r="X32">
            <v>696</v>
          </cell>
          <cell r="Y32">
            <v>7303</v>
          </cell>
          <cell r="Z32">
            <v>158</v>
          </cell>
          <cell r="AA32">
            <v>857</v>
          </cell>
          <cell r="AB32">
            <v>8970</v>
          </cell>
          <cell r="AC32">
            <v>160</v>
          </cell>
          <cell r="AD32">
            <v>1091</v>
          </cell>
          <cell r="AE32">
            <v>11449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590.87099999999919</v>
          </cell>
          <cell r="V34">
            <v>6444.9556000000157</v>
          </cell>
          <cell r="X34">
            <v>526.67399999999907</v>
          </cell>
          <cell r="Y34">
            <v>5800.516799999983</v>
          </cell>
          <cell r="AA34">
            <v>533.54999999999745</v>
          </cell>
          <cell r="AB34">
            <v>5923.1469999999681</v>
          </cell>
          <cell r="AD34">
            <v>580.86099999999897</v>
          </cell>
          <cell r="AE34">
            <v>6459.1083999999973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1594</v>
          </cell>
          <cell r="X36">
            <v>205693.59563343003</v>
          </cell>
          <cell r="Y36">
            <v>2203553.0142200002</v>
          </cell>
          <cell r="Z36">
            <v>1595</v>
          </cell>
          <cell r="AA36">
            <v>233971.8208013642</v>
          </cell>
          <cell r="AB36">
            <v>2502587.5773899998</v>
          </cell>
          <cell r="AC36">
            <v>1600</v>
          </cell>
          <cell r="AD36">
            <v>333360.66300000006</v>
          </cell>
          <cell r="AE36">
            <v>3560210.2086799997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6778</v>
          </cell>
          <cell r="X37">
            <v>22941.962259085245</v>
          </cell>
          <cell r="Y37">
            <v>245750.75500999996</v>
          </cell>
          <cell r="Z37">
            <v>6792</v>
          </cell>
          <cell r="AA37">
            <v>32392.12342452474</v>
          </cell>
          <cell r="AB37">
            <v>346473.01228000008</v>
          </cell>
          <cell r="AC37">
            <v>6799</v>
          </cell>
          <cell r="AD37">
            <v>69602.644</v>
          </cell>
          <cell r="AE37">
            <v>743381.39478000009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198099</v>
          </cell>
          <cell r="X38">
            <v>13482.332620699515</v>
          </cell>
          <cell r="Y38">
            <v>144423.88025778555</v>
          </cell>
          <cell r="Z38">
            <v>198280</v>
          </cell>
          <cell r="AA38">
            <v>25943.329980122489</v>
          </cell>
          <cell r="AB38">
            <v>277500.72203007678</v>
          </cell>
          <cell r="AC38">
            <v>198880</v>
          </cell>
          <cell r="AD38">
            <v>90214.113088000013</v>
          </cell>
          <cell r="AE38">
            <v>963561.14617889514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2632516</v>
          </cell>
          <cell r="X39">
            <v>28914.014484539643</v>
          </cell>
          <cell r="Y39">
            <v>309734.79730122269</v>
          </cell>
          <cell r="Z39">
            <v>2632371</v>
          </cell>
          <cell r="AA39">
            <v>53366.764975053222</v>
          </cell>
          <cell r="AB39">
            <v>570839.8229699058</v>
          </cell>
          <cell r="AC39">
            <v>2633194</v>
          </cell>
          <cell r="AD39">
            <v>185527.265912</v>
          </cell>
          <cell r="AE39">
            <v>1981687.6088210666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6907.2565002587889</v>
          </cell>
          <cell r="V40">
            <v>73796.232690000019</v>
          </cell>
          <cell r="X40">
            <v>6479.0765959707769</v>
          </cell>
          <cell r="Y40">
            <v>69558.928849999967</v>
          </cell>
          <cell r="AA40">
            <v>7286.8021695609932</v>
          </cell>
          <cell r="AB40">
            <v>78156.489599999957</v>
          </cell>
          <cell r="AD40">
            <v>13672.544900063429</v>
          </cell>
          <cell r="AE40">
            <v>146292.19937000002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6515.7879999999996</v>
          </cell>
          <cell r="Y56">
            <v>69774.789999999994</v>
          </cell>
          <cell r="Z56">
            <v>11</v>
          </cell>
          <cell r="AA56">
            <v>9688.48</v>
          </cell>
          <cell r="AB56">
            <v>103537.02899999999</v>
          </cell>
          <cell r="AC56">
            <v>11</v>
          </cell>
          <cell r="AD56">
            <v>32754.201000000001</v>
          </cell>
          <cell r="AE56">
            <v>349299.337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2838817</v>
          </cell>
          <cell r="X57">
            <v>263820.11699775443</v>
          </cell>
          <cell r="Y57">
            <v>2826384.6567890081</v>
          </cell>
          <cell r="Z57">
            <v>2838869</v>
          </cell>
          <cell r="AA57">
            <v>335128.55918106466</v>
          </cell>
          <cell r="AB57">
            <v>3584894.1056699823</v>
          </cell>
          <cell r="AC57">
            <v>2840302</v>
          </cell>
          <cell r="AD57">
            <v>644859.48499999987</v>
          </cell>
          <cell r="AE57">
            <v>6888092.0214599632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159</v>
          </cell>
          <cell r="X58">
            <v>696</v>
          </cell>
          <cell r="Y58">
            <v>7303</v>
          </cell>
          <cell r="Z58">
            <v>158</v>
          </cell>
          <cell r="AA58">
            <v>857</v>
          </cell>
          <cell r="AB58">
            <v>8970</v>
          </cell>
          <cell r="AC58">
            <v>160</v>
          </cell>
          <cell r="AD58">
            <v>1091</v>
          </cell>
          <cell r="AE58">
            <v>11449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5952.4025959707778</v>
          </cell>
          <cell r="Y60">
            <v>63758.412049999992</v>
          </cell>
          <cell r="AA60">
            <v>6753.2521695609958</v>
          </cell>
          <cell r="AB60">
            <v>72233.342599999989</v>
          </cell>
          <cell r="AD60">
            <v>13091.68390006343</v>
          </cell>
          <cell r="AE60">
            <v>139833.09097000002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11732.060000000001</v>
          </cell>
          <cell r="R9">
            <v>128204.65484999999</v>
          </cell>
          <cell r="S9">
            <v>11080.218000000001</v>
          </cell>
          <cell r="T9">
            <v>120551.7721038</v>
          </cell>
          <cell r="U9">
            <v>11385.984</v>
          </cell>
          <cell r="V9">
            <v>123873.95695200001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713</v>
          </cell>
          <cell r="R10">
            <v>7487</v>
          </cell>
          <cell r="S10">
            <v>877</v>
          </cell>
          <cell r="T10">
            <v>9185</v>
          </cell>
          <cell r="U10">
            <v>1091</v>
          </cell>
          <cell r="V10">
            <v>11449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13117.135999999999</v>
          </cell>
          <cell r="P17">
            <v>143093.25754400002</v>
          </cell>
          <cell r="Q17">
            <v>12971.734</v>
          </cell>
          <cell r="R17">
            <v>141492.17164999997</v>
          </cell>
          <cell r="S17">
            <v>12490.767999999998</v>
          </cell>
          <cell r="T17">
            <v>135659.91910379997</v>
          </cell>
          <cell r="U17">
            <v>13057.844999999999</v>
          </cell>
          <cell r="V17">
            <v>141782.06535200001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590.87099999999919</v>
          </cell>
          <cell r="P22">
            <v>6444.9556000000157</v>
          </cell>
          <cell r="Q22">
            <v>526.67399999999907</v>
          </cell>
          <cell r="R22">
            <v>5800.516799999983</v>
          </cell>
          <cell r="S22">
            <v>533.54999999999745</v>
          </cell>
          <cell r="T22">
            <v>5923.1469999999681</v>
          </cell>
          <cell r="U22">
            <v>580.86099999999897</v>
          </cell>
          <cell r="V22">
            <v>6459.1083999999973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>
            <v>19.899999999999999</v>
          </cell>
        </row>
        <row r="230">
          <cell r="AF230">
            <v>18.7</v>
          </cell>
        </row>
        <row r="231">
          <cell r="AF231">
            <v>21.8</v>
          </cell>
        </row>
        <row r="232">
          <cell r="AF232">
            <v>24.3</v>
          </cell>
        </row>
        <row r="233">
          <cell r="AF233">
            <v>24</v>
          </cell>
        </row>
        <row r="234">
          <cell r="AF234">
            <v>25.8</v>
          </cell>
        </row>
        <row r="235">
          <cell r="AF235">
            <v>27.2</v>
          </cell>
        </row>
        <row r="236">
          <cell r="AF236">
            <v>27.4</v>
          </cell>
        </row>
        <row r="237">
          <cell r="AF237">
            <v>26</v>
          </cell>
        </row>
        <row r="238">
          <cell r="AF238">
            <v>25.8</v>
          </cell>
        </row>
        <row r="239">
          <cell r="AF239">
            <v>25.5</v>
          </cell>
        </row>
        <row r="240">
          <cell r="AF240">
            <v>25.1</v>
          </cell>
        </row>
        <row r="241">
          <cell r="AF241">
            <v>26.6</v>
          </cell>
        </row>
        <row r="242">
          <cell r="AF242">
            <v>27</v>
          </cell>
        </row>
        <row r="243">
          <cell r="AF243">
            <v>26.7</v>
          </cell>
        </row>
        <row r="244">
          <cell r="AF244">
            <v>20.6</v>
          </cell>
        </row>
        <row r="245">
          <cell r="AF245">
            <v>17.2</v>
          </cell>
        </row>
        <row r="246">
          <cell r="AF246">
            <v>14.8</v>
          </cell>
        </row>
        <row r="247">
          <cell r="AF247">
            <v>15.6</v>
          </cell>
        </row>
        <row r="248">
          <cell r="AF248">
            <v>16.100000000000001</v>
          </cell>
        </row>
        <row r="249">
          <cell r="AF249">
            <v>16.600000000000001</v>
          </cell>
        </row>
        <row r="250">
          <cell r="AF250">
            <v>16</v>
          </cell>
        </row>
        <row r="251">
          <cell r="AF251">
            <v>17.3</v>
          </cell>
        </row>
        <row r="252">
          <cell r="AF252">
            <v>20.399999999999999</v>
          </cell>
        </row>
        <row r="253">
          <cell r="AF253">
            <v>15.6</v>
          </cell>
        </row>
        <row r="254">
          <cell r="AF254">
            <v>17.3</v>
          </cell>
        </row>
        <row r="255">
          <cell r="AF255">
            <v>20.9</v>
          </cell>
        </row>
        <row r="256">
          <cell r="AF256">
            <v>22.9</v>
          </cell>
        </row>
        <row r="257">
          <cell r="AF257">
            <v>23.4</v>
          </cell>
        </row>
        <row r="258">
          <cell r="AF258">
            <v>24.3</v>
          </cell>
        </row>
        <row r="259">
          <cell r="AF259">
            <v>24.4</v>
          </cell>
        </row>
        <row r="260">
          <cell r="AF260">
            <v>23.5</v>
          </cell>
        </row>
        <row r="261">
          <cell r="AF261">
            <v>15.6</v>
          </cell>
        </row>
        <row r="262">
          <cell r="AF262">
            <v>16</v>
          </cell>
        </row>
        <row r="263">
          <cell r="AF263">
            <v>15</v>
          </cell>
        </row>
        <row r="264">
          <cell r="AF264">
            <v>13.8</v>
          </cell>
        </row>
        <row r="265">
          <cell r="AF265">
            <v>11.8</v>
          </cell>
        </row>
        <row r="266">
          <cell r="AF266">
            <v>10.6</v>
          </cell>
        </row>
        <row r="267">
          <cell r="AF267">
            <v>11.1</v>
          </cell>
        </row>
        <row r="268">
          <cell r="AF268">
            <v>9.9</v>
          </cell>
        </row>
        <row r="269">
          <cell r="AF269">
            <v>11.5</v>
          </cell>
        </row>
        <row r="270">
          <cell r="AF270">
            <v>13</v>
          </cell>
        </row>
        <row r="271">
          <cell r="AF271">
            <v>14.9</v>
          </cell>
        </row>
        <row r="272">
          <cell r="AF272">
            <v>17.399999999999999</v>
          </cell>
        </row>
        <row r="273">
          <cell r="AF273">
            <v>15.5</v>
          </cell>
        </row>
        <row r="274">
          <cell r="AF274">
            <v>15.6</v>
          </cell>
        </row>
        <row r="275">
          <cell r="AF275">
            <v>18.7</v>
          </cell>
        </row>
        <row r="276">
          <cell r="AF276">
            <v>20.6</v>
          </cell>
        </row>
        <row r="277">
          <cell r="AF277">
            <v>14.1</v>
          </cell>
        </row>
        <row r="278">
          <cell r="AF278">
            <v>14.7</v>
          </cell>
        </row>
        <row r="279">
          <cell r="AF279">
            <v>11.4</v>
          </cell>
        </row>
        <row r="280">
          <cell r="AF280">
            <v>10.3</v>
          </cell>
        </row>
        <row r="281">
          <cell r="AF281">
            <v>13.1</v>
          </cell>
        </row>
        <row r="282">
          <cell r="AF282">
            <v>11.5</v>
          </cell>
        </row>
        <row r="283">
          <cell r="AF283">
            <v>12.6</v>
          </cell>
        </row>
        <row r="284">
          <cell r="AF284">
            <v>13.7</v>
          </cell>
        </row>
        <row r="285">
          <cell r="AF285">
            <v>12.1</v>
          </cell>
        </row>
        <row r="286">
          <cell r="AF286">
            <v>11</v>
          </cell>
        </row>
        <row r="287">
          <cell r="AF287">
            <v>10</v>
          </cell>
        </row>
        <row r="288">
          <cell r="AF288">
            <v>9.1999999999999993</v>
          </cell>
        </row>
        <row r="289">
          <cell r="AF289">
            <v>7.6</v>
          </cell>
        </row>
        <row r="290">
          <cell r="AF290">
            <v>7.2</v>
          </cell>
        </row>
        <row r="291">
          <cell r="AF291">
            <v>9.8000000000000007</v>
          </cell>
        </row>
        <row r="292">
          <cell r="AF292">
            <v>13.1</v>
          </cell>
        </row>
        <row r="293">
          <cell r="AF293">
            <v>12.4</v>
          </cell>
        </row>
        <row r="294">
          <cell r="AF294">
            <v>12.3</v>
          </cell>
        </row>
        <row r="295">
          <cell r="AF295">
            <v>12.9</v>
          </cell>
        </row>
        <row r="296">
          <cell r="AF296">
            <v>13.4</v>
          </cell>
        </row>
        <row r="297">
          <cell r="AF297">
            <v>12.1</v>
          </cell>
        </row>
        <row r="298">
          <cell r="AF298">
            <v>10.199999999999999</v>
          </cell>
        </row>
        <row r="299">
          <cell r="AF299">
            <v>7.8</v>
          </cell>
        </row>
        <row r="300">
          <cell r="AF300">
            <v>4.4000000000000004</v>
          </cell>
        </row>
        <row r="301">
          <cell r="AF301">
            <v>2.1</v>
          </cell>
        </row>
        <row r="302">
          <cell r="AF302">
            <v>3</v>
          </cell>
        </row>
        <row r="303">
          <cell r="AF303">
            <v>6.3</v>
          </cell>
        </row>
        <row r="304">
          <cell r="AF304">
            <v>9.4</v>
          </cell>
        </row>
        <row r="305">
          <cell r="AF305">
            <v>8.4</v>
          </cell>
        </row>
        <row r="306">
          <cell r="AF306">
            <v>5.3</v>
          </cell>
        </row>
        <row r="307">
          <cell r="AF307">
            <v>5.9</v>
          </cell>
        </row>
        <row r="308">
          <cell r="AF308">
            <v>6.9</v>
          </cell>
        </row>
        <row r="309">
          <cell r="AF309">
            <v>5.9</v>
          </cell>
        </row>
        <row r="310">
          <cell r="AF310">
            <v>7.4</v>
          </cell>
        </row>
        <row r="311">
          <cell r="AF311">
            <v>7.6</v>
          </cell>
        </row>
        <row r="312">
          <cell r="AF312">
            <v>7.2</v>
          </cell>
        </row>
        <row r="313">
          <cell r="AF313">
            <v>5.8</v>
          </cell>
        </row>
        <row r="314">
          <cell r="AF314">
            <v>7.9</v>
          </cell>
        </row>
        <row r="315">
          <cell r="AF315">
            <v>8.6</v>
          </cell>
        </row>
        <row r="316">
          <cell r="AF316">
            <v>8.3000000000000007</v>
          </cell>
        </row>
        <row r="317">
          <cell r="AF317">
            <v>8.1</v>
          </cell>
        </row>
        <row r="318">
          <cell r="AF318">
            <v>7.9</v>
          </cell>
        </row>
        <row r="319">
          <cell r="AF319">
            <v>7.5</v>
          </cell>
        </row>
        <row r="320">
          <cell r="AF320">
            <v>7.8</v>
          </cell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>
            <v>20.890322580645162</v>
          </cell>
          <cell r="AN3">
            <v>26.5</v>
          </cell>
          <cell r="AO3">
            <v>14.1</v>
          </cell>
          <cell r="AP3">
            <v>16.899999999999991</v>
          </cell>
          <cell r="AQ3">
            <v>3.9903225806451701</v>
          </cell>
          <cell r="AR3">
            <v>12.48</v>
          </cell>
          <cell r="AS3">
            <v>23.9</v>
          </cell>
          <cell r="AT3">
            <v>7.1</v>
          </cell>
          <cell r="AU3">
            <v>12.600000000000003</v>
          </cell>
          <cell r="AV3">
            <v>-0.12000000000000277</v>
          </cell>
          <cell r="AW3">
            <v>7.6741935483870991</v>
          </cell>
          <cell r="AX3">
            <v>12.7</v>
          </cell>
          <cell r="AY3">
            <v>2</v>
          </cell>
          <cell r="AZ3">
            <v>7.5</v>
          </cell>
          <cell r="BA3">
            <v>0.17419354838709911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10.270723684210532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>
            <v>22.945161290322584</v>
          </cell>
          <cell r="AN4">
            <v>28.7</v>
          </cell>
          <cell r="AO4">
            <v>15.7</v>
          </cell>
          <cell r="AP4">
            <v>18.7</v>
          </cell>
          <cell r="AQ4">
            <v>4.245161290322585</v>
          </cell>
          <cell r="AR4">
            <v>15.356666666666666</v>
          </cell>
          <cell r="AS4">
            <v>24.1</v>
          </cell>
          <cell r="AT4">
            <v>9.4</v>
          </cell>
          <cell r="AU4">
            <v>14.199999999999992</v>
          </cell>
          <cell r="AV4">
            <v>1.1566666666666734</v>
          </cell>
          <cell r="AW4">
            <v>9.1516129032258071</v>
          </cell>
          <cell r="AX4">
            <v>15.2</v>
          </cell>
          <cell r="AY4">
            <v>2.6</v>
          </cell>
          <cell r="AZ4">
            <v>8.9</v>
          </cell>
          <cell r="BA4">
            <v>0.25161290322580676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12.165131578947367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>
            <v>19.422580645161286</v>
          </cell>
          <cell r="AN5">
            <v>25.5</v>
          </cell>
          <cell r="AO5">
            <v>12.2</v>
          </cell>
          <cell r="AP5">
            <v>16.100000000000009</v>
          </cell>
          <cell r="AQ5">
            <v>3.3225806451612776</v>
          </cell>
          <cell r="AR5">
            <v>10.866666666666667</v>
          </cell>
          <cell r="AS5">
            <v>18.8</v>
          </cell>
          <cell r="AT5">
            <v>7.2</v>
          </cell>
          <cell r="AU5">
            <v>11.800000000000006</v>
          </cell>
          <cell r="AV5">
            <v>-0.9333333333333389</v>
          </cell>
          <cell r="AW5">
            <v>6.5612903225806463</v>
          </cell>
          <cell r="AX5">
            <v>12.6</v>
          </cell>
          <cell r="AY5">
            <v>0.6</v>
          </cell>
          <cell r="AZ5">
            <v>7</v>
          </cell>
          <cell r="BA5">
            <v>-0.43870967741935374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9.008223684210531</v>
          </cell>
          <cell r="BM5">
            <v>25.5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>
            <v>21.56451612903226</v>
          </cell>
          <cell r="AN6">
            <v>27.7</v>
          </cell>
          <cell r="AO6">
            <v>14.8</v>
          </cell>
          <cell r="AP6">
            <v>16.899999999999991</v>
          </cell>
          <cell r="AQ6">
            <v>4.6645161290322683</v>
          </cell>
          <cell r="AR6">
            <v>13.473333333333334</v>
          </cell>
          <cell r="AS6">
            <v>24.1</v>
          </cell>
          <cell r="AT6">
            <v>7.5</v>
          </cell>
          <cell r="AU6">
            <v>12.600000000000003</v>
          </cell>
          <cell r="AV6">
            <v>0.8733333333333313</v>
          </cell>
          <cell r="AW6">
            <v>8.1258064516129025</v>
          </cell>
          <cell r="AX6">
            <v>13.9</v>
          </cell>
          <cell r="AY6">
            <v>1.7</v>
          </cell>
          <cell r="AZ6">
            <v>7.8000000000000043</v>
          </cell>
          <cell r="BA6">
            <v>0.32580645161289823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10.485197368421055</v>
          </cell>
          <cell r="BM6">
            <v>27.7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>
            <v>21.07096774193549</v>
          </cell>
          <cell r="AN7">
            <v>28.1</v>
          </cell>
          <cell r="AO7">
            <v>14.3</v>
          </cell>
          <cell r="AP7">
            <v>16.300000000000008</v>
          </cell>
          <cell r="AQ7">
            <v>4.7709677419354826</v>
          </cell>
          <cell r="AR7">
            <v>12.686666666666666</v>
          </cell>
          <cell r="AS7">
            <v>22.7</v>
          </cell>
          <cell r="AT7">
            <v>5.7</v>
          </cell>
          <cell r="AU7">
            <v>12.300000000000006</v>
          </cell>
          <cell r="AV7">
            <v>0.38666666666665961</v>
          </cell>
          <cell r="AW7">
            <v>7.91290322580645</v>
          </cell>
          <cell r="AX7">
            <v>14.1</v>
          </cell>
          <cell r="AY7">
            <v>1.2</v>
          </cell>
          <cell r="AZ7">
            <v>7.8000000000000043</v>
          </cell>
          <cell r="BA7">
            <v>0.11290322580644574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10.188486842105252</v>
          </cell>
          <cell r="BM7">
            <v>28.1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>
            <v>21.551612903225806</v>
          </cell>
          <cell r="AN8">
            <v>28</v>
          </cell>
          <cell r="AO8">
            <v>15.4</v>
          </cell>
          <cell r="AP8">
            <v>16.899999999999991</v>
          </cell>
          <cell r="AQ8">
            <v>4.6516129032258142</v>
          </cell>
          <cell r="AR8">
            <v>14.50333333333333</v>
          </cell>
          <cell r="AS8">
            <v>25.3</v>
          </cell>
          <cell r="AT8">
            <v>7.5</v>
          </cell>
          <cell r="AU8">
            <v>12.699999999999994</v>
          </cell>
          <cell r="AV8">
            <v>1.8033333333333363</v>
          </cell>
          <cell r="AW8">
            <v>8.0193548387096794</v>
          </cell>
          <cell r="AX8">
            <v>15.1</v>
          </cell>
          <cell r="AY8">
            <v>1.3</v>
          </cell>
          <cell r="AZ8">
            <v>8.1999999999999957</v>
          </cell>
          <cell r="BA8">
            <v>-0.18064516129031638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10.952960526315794</v>
          </cell>
          <cell r="BM8">
            <v>28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>
            <v>21.680645161290318</v>
          </cell>
          <cell r="AN9">
            <v>27.4</v>
          </cell>
          <cell r="AO9">
            <v>15.9</v>
          </cell>
          <cell r="AP9">
            <v>16.600000000000009</v>
          </cell>
          <cell r="AQ9">
            <v>5.0806451612903096</v>
          </cell>
          <cell r="AR9">
            <v>14.01</v>
          </cell>
          <cell r="AS9">
            <v>23.8</v>
          </cell>
          <cell r="AT9">
            <v>7.6</v>
          </cell>
          <cell r="AU9">
            <v>12.5</v>
          </cell>
          <cell r="AV9">
            <v>1.5099999999999998</v>
          </cell>
          <cell r="AW9">
            <v>8.0129032258064523</v>
          </cell>
          <cell r="AX9">
            <v>14</v>
          </cell>
          <cell r="AY9">
            <v>1.4</v>
          </cell>
          <cell r="AZ9">
            <v>7.6999999999999957</v>
          </cell>
          <cell r="BA9">
            <v>0.31290322580645658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10.653947368421044</v>
          </cell>
          <cell r="BM9">
            <v>27.4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>
            <v>21.490322580645163</v>
          </cell>
          <cell r="AN10">
            <v>27.6</v>
          </cell>
          <cell r="AO10">
            <v>14.3</v>
          </cell>
          <cell r="AP10">
            <v>17.5</v>
          </cell>
          <cell r="AQ10">
            <v>3.990322580645163</v>
          </cell>
          <cell r="AR10">
            <v>13.446666666666667</v>
          </cell>
          <cell r="AS10">
            <v>23.8</v>
          </cell>
          <cell r="AT10">
            <v>6.6</v>
          </cell>
          <cell r="AU10">
            <v>13.300000000000008</v>
          </cell>
          <cell r="AV10">
            <v>0.1466666666666594</v>
          </cell>
          <cell r="AW10">
            <v>8.1000000000000014</v>
          </cell>
          <cell r="AX10">
            <v>13.9</v>
          </cell>
          <cell r="AY10">
            <v>1.4</v>
          </cell>
          <cell r="AZ10">
            <v>8.4000000000000021</v>
          </cell>
          <cell r="BA10">
            <v>-0.30000000000000071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10.616447368421055</v>
          </cell>
          <cell r="BM10">
            <v>27.6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>
            <v>21.590322580645168</v>
          </cell>
          <cell r="AN11">
            <v>27.8</v>
          </cell>
          <cell r="AO11">
            <v>14.9</v>
          </cell>
          <cell r="AP11">
            <v>17</v>
          </cell>
          <cell r="AQ11">
            <v>4.590322580645168</v>
          </cell>
          <cell r="AR11">
            <v>12.940000000000003</v>
          </cell>
          <cell r="AS11">
            <v>22.6</v>
          </cell>
          <cell r="AT11">
            <v>8.8000000000000007</v>
          </cell>
          <cell r="AU11">
            <v>12.800000000000006</v>
          </cell>
          <cell r="AV11">
            <v>0.13999999999999702</v>
          </cell>
          <cell r="AW11">
            <v>7.9290322580645158</v>
          </cell>
          <cell r="AX11">
            <v>13.5</v>
          </cell>
          <cell r="AY11">
            <v>1.7</v>
          </cell>
          <cell r="AZ11">
            <v>7.6999999999999957</v>
          </cell>
          <cell r="BA11">
            <v>0.2290322580645201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10.708223684210527</v>
          </cell>
          <cell r="BM11">
            <v>27.8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>
            <v>23.674193548387098</v>
          </cell>
          <cell r="AN12">
            <v>30.8</v>
          </cell>
          <cell r="AO12">
            <v>15.6</v>
          </cell>
          <cell r="AP12">
            <v>18.5</v>
          </cell>
          <cell r="AQ12">
            <v>5.1741935483870982</v>
          </cell>
          <cell r="AR12">
            <v>15.140000000000004</v>
          </cell>
          <cell r="AS12">
            <v>25.1</v>
          </cell>
          <cell r="AT12">
            <v>10.199999999999999</v>
          </cell>
          <cell r="AU12">
            <v>14.100000000000005</v>
          </cell>
          <cell r="AV12">
            <v>1.0399999999999991</v>
          </cell>
          <cell r="AW12">
            <v>9.4806451612903224</v>
          </cell>
          <cell r="AX12">
            <v>14.7</v>
          </cell>
          <cell r="AY12">
            <v>3.4</v>
          </cell>
          <cell r="AZ12">
            <v>9</v>
          </cell>
          <cell r="BA12">
            <v>0.48064516129032242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12.448684210526322</v>
          </cell>
          <cell r="BM12">
            <v>30.8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>
            <v>22.151612903225807</v>
          </cell>
          <cell r="AN13">
            <v>29.4</v>
          </cell>
          <cell r="AO13">
            <v>14.7</v>
          </cell>
          <cell r="AP13">
            <v>18.100000000000009</v>
          </cell>
          <cell r="AQ13">
            <v>4.0516129032257986</v>
          </cell>
          <cell r="AR13">
            <v>13.836666666666666</v>
          </cell>
          <cell r="AS13">
            <v>24.4</v>
          </cell>
          <cell r="AT13">
            <v>8</v>
          </cell>
          <cell r="AU13">
            <v>13.699999999999992</v>
          </cell>
          <cell r="AV13">
            <v>0.13666666666667382</v>
          </cell>
          <cell r="AW13">
            <v>8.4677419354838683</v>
          </cell>
          <cell r="AX13">
            <v>13.9</v>
          </cell>
          <cell r="AY13">
            <v>2.5</v>
          </cell>
          <cell r="AZ13">
            <v>8.6999999999999957</v>
          </cell>
          <cell r="BA13">
            <v>-0.2322580645161274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11.259210526315792</v>
          </cell>
          <cell r="BM13">
            <v>29.4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>
            <v>21.635483870967743</v>
          </cell>
          <cell r="AN14">
            <v>28.2</v>
          </cell>
          <cell r="AO14">
            <v>14.9</v>
          </cell>
          <cell r="AP14">
            <v>18</v>
          </cell>
          <cell r="AQ14">
            <v>3.6354838709677431</v>
          </cell>
          <cell r="AR14">
            <v>13.263333333333334</v>
          </cell>
          <cell r="AS14">
            <v>22.6</v>
          </cell>
          <cell r="AT14">
            <v>8.1999999999999993</v>
          </cell>
          <cell r="AU14">
            <v>13.699999999999992</v>
          </cell>
          <cell r="AV14">
            <v>-0.43666666666665854</v>
          </cell>
          <cell r="AW14">
            <v>8.3451612903225829</v>
          </cell>
          <cell r="AX14">
            <v>13.9</v>
          </cell>
          <cell r="AY14">
            <v>2.6</v>
          </cell>
          <cell r="AZ14">
            <v>8.5999999999999979</v>
          </cell>
          <cell r="BA14">
            <v>-0.25483870967741495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10.975986842105266</v>
          </cell>
          <cell r="BM14">
            <v>28.2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>
            <v>21.112903225806448</v>
          </cell>
          <cell r="AN15">
            <v>27.7</v>
          </cell>
          <cell r="AO15">
            <v>13.7</v>
          </cell>
          <cell r="AP15">
            <v>16.699999999999996</v>
          </cell>
          <cell r="AQ15">
            <v>4.4129032258064527</v>
          </cell>
          <cell r="AR15">
            <v>12.82666666666667</v>
          </cell>
          <cell r="AS15">
            <v>24.2</v>
          </cell>
          <cell r="AT15">
            <v>6.7</v>
          </cell>
          <cell r="AU15">
            <v>12.399999999999997</v>
          </cell>
          <cell r="AV15">
            <v>0.42666666666667297</v>
          </cell>
          <cell r="AW15">
            <v>7.7258064516129039</v>
          </cell>
          <cell r="AX15">
            <v>13</v>
          </cell>
          <cell r="AY15">
            <v>1.6</v>
          </cell>
          <cell r="AZ15">
            <v>7.4000000000000039</v>
          </cell>
          <cell r="BA15">
            <v>0.32580645161290001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10.270065789473682</v>
          </cell>
          <cell r="BM15">
            <v>27.7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>
            <v>21.422580645161286</v>
          </cell>
          <cell r="AN16">
            <v>26.8</v>
          </cell>
          <cell r="AO16">
            <v>15.4</v>
          </cell>
          <cell r="AP16">
            <v>17.899999999999991</v>
          </cell>
          <cell r="AQ16">
            <v>3.5225806451612947</v>
          </cell>
          <cell r="AR16">
            <v>14.053333333333333</v>
          </cell>
          <cell r="AS16">
            <v>24.6</v>
          </cell>
          <cell r="AT16">
            <v>6.6</v>
          </cell>
          <cell r="AU16">
            <v>13.699999999999992</v>
          </cell>
          <cell r="AV16">
            <v>0.3533333333333406</v>
          </cell>
          <cell r="AW16">
            <v>8.2935483870967737</v>
          </cell>
          <cell r="AX16">
            <v>14.6</v>
          </cell>
          <cell r="AY16">
            <v>1.8</v>
          </cell>
          <cell r="AZ16">
            <v>8.8000000000000043</v>
          </cell>
          <cell r="BA16">
            <v>-0.5064516129032306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10.752302631578951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>
            <v>21.78064516129032</v>
          </cell>
          <cell r="AN17">
            <v>27.4</v>
          </cell>
          <cell r="AO17">
            <v>14.8</v>
          </cell>
          <cell r="AP17">
            <v>17.219354838709684</v>
          </cell>
          <cell r="AQ17">
            <v>4.5612903225806356</v>
          </cell>
          <cell r="AR17">
            <v>13.526666666666667</v>
          </cell>
          <cell r="AS17">
            <v>23.5</v>
          </cell>
          <cell r="AT17">
            <v>7.6</v>
          </cell>
          <cell r="AU17">
            <v>13.010000000000002</v>
          </cell>
          <cell r="AV17">
            <v>0.51666666666666572</v>
          </cell>
          <cell r="AW17">
            <v>8.1580645161290342</v>
          </cell>
          <cell r="AX17">
            <v>13.4</v>
          </cell>
          <cell r="AY17">
            <v>2.1</v>
          </cell>
          <cell r="AZ17">
            <v>7.9935483870967738</v>
          </cell>
          <cell r="BA17">
            <v>0.16451612903226032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10.879276315789479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23.054838709677423</v>
          </cell>
          <cell r="AN21">
            <v>30.5</v>
          </cell>
          <cell r="AO21">
            <v>14.9</v>
          </cell>
          <cell r="AP21">
            <v>18.5</v>
          </cell>
          <cell r="AQ21">
            <v>4.5548387096774228</v>
          </cell>
          <cell r="AR21">
            <v>14.2</v>
          </cell>
          <cell r="AS21">
            <v>24.5</v>
          </cell>
          <cell r="AT21">
            <v>8.4</v>
          </cell>
          <cell r="AU21">
            <v>14.100000000000005</v>
          </cell>
          <cell r="AV21">
            <v>9.9999999999994316E-2</v>
          </cell>
          <cell r="AW21">
            <v>8.9161290322580644</v>
          </cell>
          <cell r="AX21">
            <v>14.8</v>
          </cell>
          <cell r="AY21">
            <v>2.7</v>
          </cell>
          <cell r="AZ21">
            <v>9</v>
          </cell>
          <cell r="BA21">
            <v>-8.3870967741935587E-2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9.8371584699453472</v>
          </cell>
          <cell r="BM21">
            <v>30.5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>
            <v>21.795698924731187</v>
          </cell>
          <cell r="AN22">
            <v>27.433333333333326</v>
          </cell>
          <cell r="AO22">
            <v>14.899999999999999</v>
          </cell>
          <cell r="AP22">
            <v>17.31666666666667</v>
          </cell>
          <cell r="AQ22">
            <v>4.4790322580645174</v>
          </cell>
          <cell r="AR22">
            <v>13.571111111111115</v>
          </cell>
          <cell r="AS22">
            <v>23.333333333333332</v>
          </cell>
          <cell r="AT22">
            <v>7.6166666666666663</v>
          </cell>
          <cell r="AU22">
            <v>13.033333333333342</v>
          </cell>
          <cell r="AV22">
            <v>0.53777777777777303</v>
          </cell>
          <cell r="AW22">
            <v>8.1956989247311842</v>
          </cell>
          <cell r="AX22">
            <v>13.5</v>
          </cell>
          <cell r="AY22">
            <v>2.15</v>
          </cell>
          <cell r="AZ22">
            <v>8.1500000000000039</v>
          </cell>
          <cell r="BA22">
            <v>4.5698924731180313E-2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21.183870967741935</v>
          </cell>
          <cell r="AN23">
            <v>27.4</v>
          </cell>
          <cell r="AO23">
            <v>14</v>
          </cell>
          <cell r="AP23">
            <v>16.800000000000004</v>
          </cell>
          <cell r="AQ23">
            <v>4.383870967741931</v>
          </cell>
          <cell r="AR23">
            <v>12.703333333333331</v>
          </cell>
          <cell r="AS23">
            <v>24.3</v>
          </cell>
          <cell r="AT23">
            <v>6.9</v>
          </cell>
          <cell r="AU23">
            <v>12.5</v>
          </cell>
          <cell r="AV23">
            <v>0.20333333333333137</v>
          </cell>
          <cell r="AW23">
            <v>7.7161290322580642</v>
          </cell>
          <cell r="AX23">
            <v>13</v>
          </cell>
          <cell r="AY23">
            <v>1.7</v>
          </cell>
          <cell r="AZ23">
            <v>7.5</v>
          </cell>
          <cell r="BA23">
            <v>0.21612903225806424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8.575956284153003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>
            <v>21.78064516129032</v>
          </cell>
          <cell r="AN24">
            <v>27.4</v>
          </cell>
          <cell r="AO24">
            <v>14.8</v>
          </cell>
          <cell r="AP24">
            <v>17.219354838709684</v>
          </cell>
          <cell r="AQ24">
            <v>4.5612903225806356</v>
          </cell>
          <cell r="AR24">
            <v>13.526666666666667</v>
          </cell>
          <cell r="AS24">
            <v>23.5</v>
          </cell>
          <cell r="AT24">
            <v>7.6</v>
          </cell>
          <cell r="AU24">
            <v>13.010000000000002</v>
          </cell>
          <cell r="AV24">
            <v>0.51666666666666572</v>
          </cell>
          <cell r="AW24">
            <v>8.1580645161290342</v>
          </cell>
          <cell r="AX24">
            <v>13.4</v>
          </cell>
          <cell r="AY24">
            <v>2.1</v>
          </cell>
          <cell r="AZ24">
            <v>7.9935483870967738</v>
          </cell>
          <cell r="BA24">
            <v>0.16451612903226032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10.879276315789479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>
            <v>21.78064516129032</v>
          </cell>
          <cell r="AN25">
            <v>27.4</v>
          </cell>
          <cell r="AO25">
            <v>14.8</v>
          </cell>
          <cell r="AP25">
            <v>17.219354838709684</v>
          </cell>
          <cell r="AQ25">
            <v>4.5612903225806356</v>
          </cell>
          <cell r="AR25">
            <v>13.526666666666667</v>
          </cell>
          <cell r="AS25">
            <v>23.5</v>
          </cell>
          <cell r="AT25">
            <v>7.6</v>
          </cell>
          <cell r="AU25">
            <v>13.010000000000002</v>
          </cell>
          <cell r="AV25">
            <v>0.51666666666666572</v>
          </cell>
          <cell r="AW25">
            <v>8.1580645161290342</v>
          </cell>
          <cell r="AX25">
            <v>13.4</v>
          </cell>
          <cell r="AY25">
            <v>2.1</v>
          </cell>
          <cell r="AZ25">
            <v>7.9935483870967738</v>
          </cell>
          <cell r="BA25">
            <v>0.16451612903226032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10.879276315789479</v>
          </cell>
          <cell r="BM25">
            <v>27.4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10568222.416653482</v>
          </cell>
          <cell r="E200">
            <v>112816873.79354839</v>
          </cell>
        </row>
        <row r="201">
          <cell r="A201">
            <v>42187</v>
          </cell>
          <cell r="B201" t="str">
            <v>čtvrtek</v>
          </cell>
          <cell r="D201">
            <v>10252008.199334703</v>
          </cell>
          <cell r="E201">
            <v>109444594.79354839</v>
          </cell>
        </row>
        <row r="202">
          <cell r="A202">
            <v>42188</v>
          </cell>
          <cell r="B202" t="str">
            <v>pátek</v>
          </cell>
          <cell r="D202">
            <v>9458165.9337544721</v>
          </cell>
          <cell r="E202">
            <v>100978112.79354839</v>
          </cell>
        </row>
        <row r="203">
          <cell r="A203">
            <v>42189</v>
          </cell>
          <cell r="B203" t="str">
            <v>sobota</v>
          </cell>
          <cell r="D203">
            <v>7768583.9626013003</v>
          </cell>
          <cell r="E203">
            <v>82964978.79354839</v>
          </cell>
        </row>
        <row r="204">
          <cell r="A204">
            <v>42190</v>
          </cell>
          <cell r="B204" t="str">
            <v>neděle</v>
          </cell>
          <cell r="D204">
            <v>7481519.8200827707</v>
          </cell>
          <cell r="E204">
            <v>79912194.79354839</v>
          </cell>
        </row>
        <row r="205">
          <cell r="A205">
            <v>42191</v>
          </cell>
          <cell r="B205" t="str">
            <v>pondělí</v>
          </cell>
          <cell r="D205">
            <v>8395667.4696080964</v>
          </cell>
          <cell r="E205">
            <v>89666092.79354839</v>
          </cell>
        </row>
        <row r="206">
          <cell r="A206">
            <v>42192</v>
          </cell>
          <cell r="B206" t="str">
            <v>úterý</v>
          </cell>
          <cell r="D206">
            <v>9741007.0359215289</v>
          </cell>
          <cell r="E206">
            <v>104012601.79354839</v>
          </cell>
        </row>
        <row r="207">
          <cell r="A207">
            <v>42193</v>
          </cell>
          <cell r="B207" t="str">
            <v>středa</v>
          </cell>
          <cell r="D207">
            <v>10124209.009856297</v>
          </cell>
          <cell r="E207">
            <v>108099062.79354839</v>
          </cell>
        </row>
        <row r="208">
          <cell r="A208">
            <v>42194</v>
          </cell>
          <cell r="B208" t="str">
            <v>čtvrtek</v>
          </cell>
          <cell r="D208">
            <v>10304019.398838162</v>
          </cell>
          <cell r="E208">
            <v>110009197.79354839</v>
          </cell>
        </row>
        <row r="209">
          <cell r="A209">
            <v>42195</v>
          </cell>
          <cell r="B209" t="str">
            <v>pátek</v>
          </cell>
          <cell r="D209">
            <v>10221858.257142756</v>
          </cell>
          <cell r="E209">
            <v>109139313.79354839</v>
          </cell>
        </row>
        <row r="210">
          <cell r="A210">
            <v>42196</v>
          </cell>
          <cell r="B210" t="str">
            <v>sobota</v>
          </cell>
          <cell r="D210">
            <v>8389403.313241886</v>
          </cell>
          <cell r="E210">
            <v>89597763.79354839</v>
          </cell>
        </row>
        <row r="211">
          <cell r="A211">
            <v>42197</v>
          </cell>
          <cell r="B211" t="str">
            <v>neděle</v>
          </cell>
          <cell r="D211">
            <v>8384355.3337064274</v>
          </cell>
          <cell r="E211">
            <v>89544905.79354839</v>
          </cell>
        </row>
        <row r="212">
          <cell r="A212">
            <v>42198</v>
          </cell>
          <cell r="B212" t="str">
            <v>pondělí</v>
          </cell>
          <cell r="D212">
            <v>10601010.610209597</v>
          </cell>
          <cell r="E212">
            <v>113196256.79354839</v>
          </cell>
        </row>
        <row r="213">
          <cell r="A213">
            <v>42199</v>
          </cell>
          <cell r="B213" t="str">
            <v>úterý</v>
          </cell>
          <cell r="D213">
            <v>10208741.115734896</v>
          </cell>
          <cell r="E213">
            <v>109005003.79354839</v>
          </cell>
        </row>
        <row r="214">
          <cell r="A214">
            <v>42200</v>
          </cell>
          <cell r="B214" t="str">
            <v>středa</v>
          </cell>
          <cell r="D214">
            <v>12924143.254571844</v>
          </cell>
          <cell r="E214">
            <v>138004395.79354838</v>
          </cell>
        </row>
        <row r="215">
          <cell r="A215">
            <v>42201</v>
          </cell>
          <cell r="B215" t="str">
            <v>čtvrtek</v>
          </cell>
          <cell r="D215">
            <v>12551668.019700054</v>
          </cell>
          <cell r="E215">
            <v>134026294.79354839</v>
          </cell>
        </row>
        <row r="216">
          <cell r="A216">
            <v>42202</v>
          </cell>
          <cell r="B216" t="str">
            <v>pátek</v>
          </cell>
          <cell r="D216">
            <v>9299033.943050839</v>
          </cell>
          <cell r="E216">
            <v>99301095.79354839</v>
          </cell>
        </row>
        <row r="217">
          <cell r="A217">
            <v>42203</v>
          </cell>
          <cell r="B217" t="str">
            <v>sobota</v>
          </cell>
          <cell r="D217">
            <v>7695941.6619133828</v>
          </cell>
          <cell r="E217">
            <v>82197463.79354839</v>
          </cell>
        </row>
        <row r="218">
          <cell r="A218">
            <v>42204</v>
          </cell>
          <cell r="B218" t="str">
            <v>neděle</v>
          </cell>
          <cell r="D218">
            <v>8149881.152671868</v>
          </cell>
          <cell r="E218">
            <v>87037400.79354839</v>
          </cell>
        </row>
        <row r="219">
          <cell r="A219">
            <v>42205</v>
          </cell>
          <cell r="B219" t="str">
            <v>pondělí</v>
          </cell>
          <cell r="D219">
            <v>9675335.1346492097</v>
          </cell>
          <cell r="E219">
            <v>103312289.79354839</v>
          </cell>
        </row>
        <row r="220">
          <cell r="A220">
            <v>42206</v>
          </cell>
          <cell r="B220" t="str">
            <v>úterý</v>
          </cell>
          <cell r="D220">
            <v>9662856.9192964919</v>
          </cell>
          <cell r="E220">
            <v>103172150.79354839</v>
          </cell>
        </row>
        <row r="221">
          <cell r="A221">
            <v>42207</v>
          </cell>
          <cell r="B221" t="str">
            <v>středa</v>
          </cell>
          <cell r="D221">
            <v>11966225.353661841</v>
          </cell>
          <cell r="E221">
            <v>127782141.79354839</v>
          </cell>
        </row>
        <row r="222">
          <cell r="A222">
            <v>42208</v>
          </cell>
          <cell r="B222" t="str">
            <v>čtvrtek</v>
          </cell>
          <cell r="D222">
            <v>11939966.236043932</v>
          </cell>
          <cell r="E222">
            <v>127500842.79354839</v>
          </cell>
        </row>
        <row r="223">
          <cell r="A223">
            <v>42209</v>
          </cell>
          <cell r="B223" t="str">
            <v>pátek</v>
          </cell>
          <cell r="D223">
            <v>9572017.1627676971</v>
          </cell>
          <cell r="E223">
            <v>102196500.79354839</v>
          </cell>
        </row>
        <row r="224">
          <cell r="A224">
            <v>42210</v>
          </cell>
          <cell r="B224" t="str">
            <v>sobota</v>
          </cell>
          <cell r="D224">
            <v>8019764.6721725333</v>
          </cell>
          <cell r="E224">
            <v>85640886.79354839</v>
          </cell>
        </row>
        <row r="225">
          <cell r="A225">
            <v>42211</v>
          </cell>
          <cell r="B225" t="str">
            <v>neděle</v>
          </cell>
          <cell r="D225">
            <v>8041607.3970113415</v>
          </cell>
          <cell r="E225">
            <v>85883471.79354839</v>
          </cell>
        </row>
        <row r="226">
          <cell r="A226">
            <v>42212</v>
          </cell>
          <cell r="B226" t="str">
            <v>pondělí</v>
          </cell>
          <cell r="D226">
            <v>9236834.5783925187</v>
          </cell>
          <cell r="E226">
            <v>98634251.79354839</v>
          </cell>
        </row>
        <row r="227">
          <cell r="A227">
            <v>42213</v>
          </cell>
          <cell r="B227" t="str">
            <v>úterý</v>
          </cell>
          <cell r="D227">
            <v>9260484.4650181327</v>
          </cell>
          <cell r="E227">
            <v>98881107.79354839</v>
          </cell>
        </row>
        <row r="228">
          <cell r="A228">
            <v>42214</v>
          </cell>
          <cell r="B228" t="str">
            <v>středa</v>
          </cell>
          <cell r="D228">
            <v>9510997.5120233838</v>
          </cell>
          <cell r="E228">
            <v>101554731.79354839</v>
          </cell>
        </row>
        <row r="229">
          <cell r="A229">
            <v>42215</v>
          </cell>
          <cell r="B229" t="str">
            <v>čtvrtek</v>
          </cell>
          <cell r="D229">
            <v>9960050.0161386244</v>
          </cell>
          <cell r="E229">
            <v>106356164.79354839</v>
          </cell>
        </row>
        <row r="230">
          <cell r="A230">
            <v>42216</v>
          </cell>
          <cell r="B230" t="str">
            <v>pátek</v>
          </cell>
          <cell r="D230">
            <v>9020925.4868354257</v>
          </cell>
          <cell r="E230">
            <v>96336297.79354839</v>
          </cell>
        </row>
        <row r="231">
          <cell r="A231">
            <v>42217</v>
          </cell>
          <cell r="B231" t="str">
            <v>sobota</v>
          </cell>
          <cell r="D231">
            <v>7327477.0439122869</v>
          </cell>
          <cell r="E231">
            <v>78520791.445161283</v>
          </cell>
        </row>
        <row r="232">
          <cell r="A232">
            <v>42218</v>
          </cell>
          <cell r="B232" t="str">
            <v>neděle</v>
          </cell>
          <cell r="D232">
            <v>7359113.3063275181</v>
          </cell>
          <cell r="E232">
            <v>78857878.445161283</v>
          </cell>
        </row>
        <row r="233">
          <cell r="A233">
            <v>42219</v>
          </cell>
          <cell r="B233" t="str">
            <v>pondělí</v>
          </cell>
          <cell r="D233">
            <v>8495702.196904121</v>
          </cell>
          <cell r="E233">
            <v>91017661.445161283</v>
          </cell>
        </row>
        <row r="234">
          <cell r="A234">
            <v>42220</v>
          </cell>
          <cell r="B234" t="str">
            <v>úterý</v>
          </cell>
          <cell r="D234">
            <v>8521598.8993338365</v>
          </cell>
          <cell r="E234">
            <v>91294991.445161283</v>
          </cell>
        </row>
        <row r="235">
          <cell r="A235">
            <v>42221</v>
          </cell>
          <cell r="B235" t="str">
            <v>středa</v>
          </cell>
          <cell r="D235">
            <v>8380447.5972986706</v>
          </cell>
          <cell r="E235">
            <v>89783548.445161283</v>
          </cell>
        </row>
        <row r="236">
          <cell r="A236">
            <v>42222</v>
          </cell>
          <cell r="B236" t="str">
            <v>čtvrtek</v>
          </cell>
          <cell r="D236">
            <v>8779778.8551200628</v>
          </cell>
          <cell r="E236">
            <v>94062871.445161283</v>
          </cell>
        </row>
        <row r="237">
          <cell r="A237">
            <v>42223</v>
          </cell>
          <cell r="B237" t="str">
            <v>pátek</v>
          </cell>
          <cell r="D237">
            <v>7897185.7057177611</v>
          </cell>
          <cell r="E237">
            <v>84614117.445161283</v>
          </cell>
        </row>
        <row r="238">
          <cell r="A238">
            <v>42224</v>
          </cell>
          <cell r="B238" t="str">
            <v>sobota</v>
          </cell>
          <cell r="D238">
            <v>6915634.359770555</v>
          </cell>
          <cell r="E238">
            <v>74112511.445161283</v>
          </cell>
        </row>
        <row r="239">
          <cell r="A239">
            <v>42225</v>
          </cell>
          <cell r="B239" t="str">
            <v>neděle</v>
          </cell>
          <cell r="D239">
            <v>7079743.3898515888</v>
          </cell>
          <cell r="E239">
            <v>75868401.445161283</v>
          </cell>
        </row>
        <row r="240">
          <cell r="A240">
            <v>42226</v>
          </cell>
          <cell r="B240" t="str">
            <v>pondělí</v>
          </cell>
          <cell r="D240">
            <v>8742975.7997753993</v>
          </cell>
          <cell r="E240">
            <v>93663671.445161283</v>
          </cell>
        </row>
        <row r="241">
          <cell r="A241">
            <v>42227</v>
          </cell>
          <cell r="B241" t="str">
            <v>úterý</v>
          </cell>
          <cell r="D241">
            <v>8887377.1330949962</v>
          </cell>
          <cell r="E241">
            <v>95205104.445161283</v>
          </cell>
        </row>
        <row r="242">
          <cell r="A242">
            <v>42228</v>
          </cell>
          <cell r="B242" t="str">
            <v>středa</v>
          </cell>
          <cell r="D242">
            <v>9342068.0524332654</v>
          </cell>
          <cell r="E242">
            <v>100075699.44516128</v>
          </cell>
        </row>
        <row r="243">
          <cell r="A243">
            <v>42229</v>
          </cell>
          <cell r="B243" t="str">
            <v>čtvrtek</v>
          </cell>
          <cell r="D243">
            <v>9022796.3088585846</v>
          </cell>
          <cell r="E243">
            <v>96661179.445161283</v>
          </cell>
        </row>
        <row r="244">
          <cell r="A244">
            <v>42230</v>
          </cell>
          <cell r="B244" t="str">
            <v>pátek</v>
          </cell>
          <cell r="D244">
            <v>8617923.2211657893</v>
          </cell>
          <cell r="E244">
            <v>92324461.445161283</v>
          </cell>
        </row>
        <row r="245">
          <cell r="A245">
            <v>42231</v>
          </cell>
          <cell r="B245" t="str">
            <v>sobota</v>
          </cell>
          <cell r="D245">
            <v>7636726.4902928704</v>
          </cell>
          <cell r="E245">
            <v>81820485.445161283</v>
          </cell>
        </row>
        <row r="246">
          <cell r="A246">
            <v>42232</v>
          </cell>
          <cell r="B246" t="str">
            <v>neděle</v>
          </cell>
          <cell r="D246">
            <v>7650008.0231819721</v>
          </cell>
          <cell r="E246">
            <v>81962248.445161283</v>
          </cell>
        </row>
        <row r="247">
          <cell r="A247">
            <v>42233</v>
          </cell>
          <cell r="B247" t="str">
            <v>pondělí</v>
          </cell>
          <cell r="D247">
            <v>10770115.115200536</v>
          </cell>
          <cell r="E247">
            <v>115376016.44516128</v>
          </cell>
        </row>
        <row r="248">
          <cell r="A248">
            <v>42234</v>
          </cell>
          <cell r="B248" t="str">
            <v>úterý</v>
          </cell>
          <cell r="D248">
            <v>12275837.216732806</v>
          </cell>
          <cell r="E248">
            <v>131514688.44516128</v>
          </cell>
        </row>
        <row r="249">
          <cell r="A249">
            <v>42235</v>
          </cell>
          <cell r="B249" t="str">
            <v>středa</v>
          </cell>
          <cell r="D249">
            <v>10305985.44170101</v>
          </cell>
          <cell r="E249">
            <v>110397618.44516128</v>
          </cell>
        </row>
        <row r="250">
          <cell r="A250">
            <v>42236</v>
          </cell>
          <cell r="B250" t="str">
            <v>čtvrtek</v>
          </cell>
          <cell r="D250">
            <v>10198907.925134305</v>
          </cell>
          <cell r="E250">
            <v>109246945.44516128</v>
          </cell>
        </row>
        <row r="251">
          <cell r="A251">
            <v>42237</v>
          </cell>
          <cell r="B251" t="str">
            <v>pátek</v>
          </cell>
          <cell r="D251">
            <v>9732554.6036450006</v>
          </cell>
          <cell r="E251">
            <v>104260296.44516128</v>
          </cell>
        </row>
        <row r="252">
          <cell r="A252">
            <v>42238</v>
          </cell>
          <cell r="B252" t="str">
            <v>sobota</v>
          </cell>
          <cell r="D252">
            <v>8190610.2744069546</v>
          </cell>
          <cell r="E252">
            <v>87756323.445161283</v>
          </cell>
        </row>
        <row r="253">
          <cell r="A253">
            <v>42239</v>
          </cell>
          <cell r="B253" t="str">
            <v>neděle</v>
          </cell>
          <cell r="D253">
            <v>8276364.8372854218</v>
          </cell>
          <cell r="E253">
            <v>88674462.445161283</v>
          </cell>
        </row>
        <row r="254">
          <cell r="A254">
            <v>42240</v>
          </cell>
          <cell r="B254" t="str">
            <v>pondělí</v>
          </cell>
          <cell r="D254">
            <v>10116631.278412977</v>
          </cell>
          <cell r="E254">
            <v>108369649.44516128</v>
          </cell>
        </row>
        <row r="255">
          <cell r="A255">
            <v>42241</v>
          </cell>
          <cell r="B255" t="str">
            <v>úterý</v>
          </cell>
          <cell r="D255">
            <v>10634514.211604087</v>
          </cell>
          <cell r="E255">
            <v>113904236.44516128</v>
          </cell>
        </row>
        <row r="256">
          <cell r="A256">
            <v>42242</v>
          </cell>
          <cell r="B256" t="str">
            <v>středa</v>
          </cell>
          <cell r="D256">
            <v>10432819.49410752</v>
          </cell>
          <cell r="E256">
            <v>111750551.44516128</v>
          </cell>
        </row>
        <row r="257">
          <cell r="A257">
            <v>42243</v>
          </cell>
          <cell r="B257" t="str">
            <v>čtvrtek</v>
          </cell>
          <cell r="D257">
            <v>10258901.112878878</v>
          </cell>
          <cell r="E257">
            <v>109890086.44516128</v>
          </cell>
        </row>
        <row r="258">
          <cell r="A258">
            <v>42244</v>
          </cell>
          <cell r="B258" t="str">
            <v>pátek</v>
          </cell>
          <cell r="D258">
            <v>9621705.0076232329</v>
          </cell>
          <cell r="E258">
            <v>103070908.44516128</v>
          </cell>
        </row>
        <row r="259">
          <cell r="A259">
            <v>42245</v>
          </cell>
          <cell r="B259" t="str">
            <v>sobota</v>
          </cell>
          <cell r="D259">
            <v>7903413.6158293402</v>
          </cell>
          <cell r="E259">
            <v>84676385.445161283</v>
          </cell>
        </row>
        <row r="260">
          <cell r="A260">
            <v>42246</v>
          </cell>
          <cell r="B260" t="str">
            <v>neděle</v>
          </cell>
          <cell r="D260">
            <v>8052427.5904776817</v>
          </cell>
          <cell r="E260">
            <v>86274856.445161283</v>
          </cell>
        </row>
        <row r="261">
          <cell r="A261">
            <v>42247</v>
          </cell>
          <cell r="B261" t="str">
            <v>pondělí</v>
          </cell>
          <cell r="D261">
            <v>10083864.108825881</v>
          </cell>
          <cell r="E261">
            <v>108011872.44516128</v>
          </cell>
        </row>
        <row r="262">
          <cell r="A262">
            <v>42248</v>
          </cell>
          <cell r="B262" t="str">
            <v>úterý</v>
          </cell>
          <cell r="D262">
            <v>9700744.526776636</v>
          </cell>
          <cell r="E262">
            <v>103779624.23333333</v>
          </cell>
        </row>
        <row r="263">
          <cell r="A263">
            <v>42249</v>
          </cell>
          <cell r="B263" t="str">
            <v>středa</v>
          </cell>
          <cell r="D263">
            <v>10351424.075733302</v>
          </cell>
          <cell r="E263">
            <v>110737717.23333333</v>
          </cell>
        </row>
        <row r="264">
          <cell r="A264">
            <v>42250</v>
          </cell>
          <cell r="B264" t="str">
            <v>čtvrtek</v>
          </cell>
          <cell r="D264">
            <v>10675088.543805985</v>
          </cell>
          <cell r="E264">
            <v>114203010.23333333</v>
          </cell>
        </row>
        <row r="265">
          <cell r="A265">
            <v>42251</v>
          </cell>
          <cell r="B265" t="str">
            <v>pátek</v>
          </cell>
          <cell r="D265">
            <v>11294699.83214782</v>
          </cell>
          <cell r="E265">
            <v>120836142.23333333</v>
          </cell>
        </row>
        <row r="266">
          <cell r="A266">
            <v>42252</v>
          </cell>
          <cell r="B266" t="str">
            <v>sobota</v>
          </cell>
          <cell r="D266">
            <v>8197073.0704195527</v>
          </cell>
          <cell r="E266">
            <v>87702114.233333334</v>
          </cell>
        </row>
        <row r="267">
          <cell r="A267">
            <v>42253</v>
          </cell>
          <cell r="B267" t="str">
            <v>neděle</v>
          </cell>
          <cell r="D267">
            <v>9233695.8503371123</v>
          </cell>
          <cell r="E267">
            <v>98784873.233333334</v>
          </cell>
        </row>
        <row r="268">
          <cell r="A268">
            <v>42254</v>
          </cell>
          <cell r="B268" t="str">
            <v>pondělí</v>
          </cell>
          <cell r="D268">
            <v>11597554.488210991</v>
          </cell>
          <cell r="E268">
            <v>124056583.23333333</v>
          </cell>
        </row>
        <row r="269">
          <cell r="A269">
            <v>42255</v>
          </cell>
          <cell r="B269" t="str">
            <v>úterý</v>
          </cell>
          <cell r="D269">
            <v>11402041.969316421</v>
          </cell>
          <cell r="E269">
            <v>121968882.23333333</v>
          </cell>
        </row>
        <row r="270">
          <cell r="A270">
            <v>42256</v>
          </cell>
          <cell r="B270" t="str">
            <v>středa</v>
          </cell>
          <cell r="D270">
            <v>12222584.744863942</v>
          </cell>
          <cell r="E270">
            <v>130742767.23333333</v>
          </cell>
        </row>
        <row r="271">
          <cell r="A271">
            <v>42257</v>
          </cell>
          <cell r="B271" t="str">
            <v>čtvrtek</v>
          </cell>
          <cell r="D271">
            <v>12198425.235856466</v>
          </cell>
          <cell r="E271">
            <v>130479901.23333333</v>
          </cell>
        </row>
        <row r="272">
          <cell r="A272">
            <v>42258</v>
          </cell>
          <cell r="B272" t="str">
            <v>pátek</v>
          </cell>
          <cell r="D272">
            <v>14667928.928492054</v>
          </cell>
          <cell r="E272">
            <v>156843518.23333332</v>
          </cell>
        </row>
        <row r="273">
          <cell r="A273">
            <v>42259</v>
          </cell>
          <cell r="B273" t="str">
            <v>sobota</v>
          </cell>
          <cell r="D273">
            <v>9435503.6584976222</v>
          </cell>
          <cell r="E273">
            <v>100944445.23333333</v>
          </cell>
        </row>
        <row r="274">
          <cell r="A274">
            <v>42260</v>
          </cell>
          <cell r="B274" t="str">
            <v>neděle</v>
          </cell>
          <cell r="D274">
            <v>9349136.0221922826</v>
          </cell>
          <cell r="E274">
            <v>100021997.23333333</v>
          </cell>
        </row>
        <row r="275">
          <cell r="A275">
            <v>42261</v>
          </cell>
          <cell r="B275" t="str">
            <v>pondělí</v>
          </cell>
          <cell r="D275">
            <v>11066872.022129368</v>
          </cell>
          <cell r="E275">
            <v>118384232.23333333</v>
          </cell>
        </row>
        <row r="276">
          <cell r="A276">
            <v>42262</v>
          </cell>
          <cell r="B276" t="str">
            <v>úterý</v>
          </cell>
          <cell r="D276">
            <v>11139047.681373635</v>
          </cell>
          <cell r="E276">
            <v>119154624.23333333</v>
          </cell>
        </row>
        <row r="277">
          <cell r="A277">
            <v>42263</v>
          </cell>
          <cell r="B277" t="str">
            <v>středa</v>
          </cell>
          <cell r="D277">
            <v>10696748.561847132</v>
          </cell>
          <cell r="E277">
            <v>114425285.23333333</v>
          </cell>
        </row>
        <row r="278">
          <cell r="A278">
            <v>42264</v>
          </cell>
          <cell r="B278" t="str">
            <v>čtvrtek</v>
          </cell>
          <cell r="D278">
            <v>10390631.158546532</v>
          </cell>
          <cell r="E278">
            <v>111159526.23333333</v>
          </cell>
        </row>
        <row r="279">
          <cell r="A279">
            <v>42265</v>
          </cell>
          <cell r="B279" t="str">
            <v>pátek</v>
          </cell>
          <cell r="D279">
            <v>10437855.721536366</v>
          </cell>
          <cell r="E279">
            <v>111665402.23333333</v>
          </cell>
        </row>
        <row r="280">
          <cell r="A280">
            <v>42266</v>
          </cell>
          <cell r="B280" t="str">
            <v>sobota</v>
          </cell>
          <cell r="D280">
            <v>8975089.6284534931</v>
          </cell>
          <cell r="E280">
            <v>96026481.233333334</v>
          </cell>
        </row>
        <row r="281">
          <cell r="A281">
            <v>42267</v>
          </cell>
          <cell r="B281" t="str">
            <v>neděle</v>
          </cell>
          <cell r="D281">
            <v>10140231.654609237</v>
          </cell>
          <cell r="E281">
            <v>108481749.23333333</v>
          </cell>
        </row>
        <row r="282">
          <cell r="A282">
            <v>42268</v>
          </cell>
          <cell r="B282" t="str">
            <v>pondělí</v>
          </cell>
          <cell r="D282">
            <v>14685402.77693372</v>
          </cell>
          <cell r="E282">
            <v>157060128.23333332</v>
          </cell>
        </row>
        <row r="283">
          <cell r="A283">
            <v>42269</v>
          </cell>
          <cell r="B283" t="str">
            <v>úterý</v>
          </cell>
          <cell r="D283">
            <v>12553554.758620495</v>
          </cell>
          <cell r="E283">
            <v>134279187.23333332</v>
          </cell>
        </row>
        <row r="284">
          <cell r="A284">
            <v>42270</v>
          </cell>
          <cell r="B284" t="str">
            <v>středa</v>
          </cell>
          <cell r="D284">
            <v>14359633.688987153</v>
          </cell>
          <cell r="E284">
            <v>153585306.23333332</v>
          </cell>
        </row>
        <row r="285">
          <cell r="A285">
            <v>42271</v>
          </cell>
          <cell r="B285" t="str">
            <v>čtvrtek</v>
          </cell>
          <cell r="D285">
            <v>13187685.903645663</v>
          </cell>
          <cell r="E285">
            <v>141059687.23333332</v>
          </cell>
        </row>
        <row r="286">
          <cell r="A286">
            <v>42272</v>
          </cell>
          <cell r="B286" t="str">
            <v>pátek</v>
          </cell>
          <cell r="D286">
            <v>12952785.702018017</v>
          </cell>
          <cell r="E286">
            <v>138549405.23333332</v>
          </cell>
        </row>
        <row r="287">
          <cell r="A287">
            <v>42273</v>
          </cell>
          <cell r="B287" t="str">
            <v>sobota</v>
          </cell>
          <cell r="D287">
            <v>11714102.901755435</v>
          </cell>
          <cell r="E287">
            <v>125305589.23333333</v>
          </cell>
        </row>
        <row r="288">
          <cell r="A288">
            <v>42274</v>
          </cell>
          <cell r="B288" t="str">
            <v>neděle</v>
          </cell>
          <cell r="D288">
            <v>12056651.770386182</v>
          </cell>
          <cell r="E288">
            <v>128968604.23333333</v>
          </cell>
        </row>
        <row r="289">
          <cell r="A289">
            <v>42275</v>
          </cell>
          <cell r="B289" t="str">
            <v>pondělí</v>
          </cell>
          <cell r="D289">
            <v>13319292.530831469</v>
          </cell>
          <cell r="E289">
            <v>142466340.23333332</v>
          </cell>
        </row>
        <row r="290">
          <cell r="A290">
            <v>42276</v>
          </cell>
          <cell r="B290" t="str">
            <v>úterý</v>
          </cell>
          <cell r="D290">
            <v>16378723.73731637</v>
          </cell>
          <cell r="E290">
            <v>175174635.23333332</v>
          </cell>
        </row>
        <row r="291">
          <cell r="A291">
            <v>42277</v>
          </cell>
          <cell r="B291" t="str">
            <v>středa</v>
          </cell>
          <cell r="D291">
            <v>18580584.968434315</v>
          </cell>
          <cell r="E291">
            <v>198710522.23333332</v>
          </cell>
        </row>
        <row r="292">
          <cell r="A292">
            <v>42278</v>
          </cell>
          <cell r="B292" t="str">
            <v>čtvrtek</v>
          </cell>
          <cell r="D292">
            <v>18921681.766077541</v>
          </cell>
          <cell r="E292">
            <v>202125978.33548388</v>
          </cell>
        </row>
        <row r="293">
          <cell r="A293">
            <v>42279</v>
          </cell>
          <cell r="B293" t="str">
            <v>pátek</v>
          </cell>
          <cell r="D293">
            <v>17859079.077775508</v>
          </cell>
          <cell r="E293">
            <v>190780395.33548388</v>
          </cell>
        </row>
        <row r="294">
          <cell r="A294">
            <v>42280</v>
          </cell>
          <cell r="B294" t="str">
            <v>sobota</v>
          </cell>
          <cell r="D294">
            <v>14158911.197204463</v>
          </cell>
          <cell r="E294">
            <v>151268665.33548388</v>
          </cell>
        </row>
        <row r="295">
          <cell r="A295">
            <v>42281</v>
          </cell>
          <cell r="B295" t="str">
            <v>neděle</v>
          </cell>
          <cell r="D295">
            <v>13891405.785625052</v>
          </cell>
          <cell r="E295">
            <v>148412713.33548388</v>
          </cell>
        </row>
        <row r="296">
          <cell r="A296">
            <v>42282</v>
          </cell>
          <cell r="B296" t="str">
            <v>pondělí</v>
          </cell>
          <cell r="D296">
            <v>15701599.472846642</v>
          </cell>
          <cell r="E296">
            <v>167743118.33548388</v>
          </cell>
        </row>
        <row r="297">
          <cell r="A297">
            <v>42283</v>
          </cell>
          <cell r="B297" t="str">
            <v>úterý</v>
          </cell>
          <cell r="D297">
            <v>16066707.061324716</v>
          </cell>
          <cell r="E297">
            <v>171644287.33548388</v>
          </cell>
        </row>
        <row r="298">
          <cell r="A298">
            <v>42284</v>
          </cell>
          <cell r="B298" t="str">
            <v>středa</v>
          </cell>
          <cell r="D298">
            <v>18367584.583883937</v>
          </cell>
          <cell r="E298">
            <v>196256560.33548388</v>
          </cell>
        </row>
        <row r="299">
          <cell r="A299">
            <v>42285</v>
          </cell>
          <cell r="B299" t="str">
            <v>čtvrtek</v>
          </cell>
          <cell r="D299">
            <v>19573674.881397463</v>
          </cell>
          <cell r="E299">
            <v>209142715.33548388</v>
          </cell>
        </row>
        <row r="300">
          <cell r="A300">
            <v>42286</v>
          </cell>
          <cell r="B300" t="str">
            <v>pátek</v>
          </cell>
          <cell r="D300">
            <v>20108905.185047396</v>
          </cell>
          <cell r="E300">
            <v>214848290.33548388</v>
          </cell>
        </row>
        <row r="301">
          <cell r="A301">
            <v>42287</v>
          </cell>
          <cell r="B301" t="str">
            <v>sobota</v>
          </cell>
          <cell r="D301">
            <v>17884759.805823557</v>
          </cell>
          <cell r="E301">
            <v>191052668.33548388</v>
          </cell>
        </row>
        <row r="302">
          <cell r="A302">
            <v>42288</v>
          </cell>
          <cell r="B302" t="str">
            <v>neděle</v>
          </cell>
          <cell r="D302">
            <v>20746931.442756489</v>
          </cell>
          <cell r="E302">
            <v>221611126.33548388</v>
          </cell>
        </row>
        <row r="303">
          <cell r="A303">
            <v>42289</v>
          </cell>
          <cell r="B303" t="str">
            <v>pondělí</v>
          </cell>
          <cell r="D303">
            <v>27530719.494693715</v>
          </cell>
          <cell r="E303">
            <v>294078250.33548385</v>
          </cell>
        </row>
        <row r="304">
          <cell r="A304">
            <v>42290</v>
          </cell>
          <cell r="B304" t="str">
            <v>úterý</v>
          </cell>
          <cell r="D304">
            <v>30622928.28127262</v>
          </cell>
          <cell r="E304">
            <v>327127878.33548385</v>
          </cell>
        </row>
        <row r="305">
          <cell r="A305">
            <v>42291</v>
          </cell>
          <cell r="B305" t="str">
            <v>středa</v>
          </cell>
          <cell r="D305">
            <v>29183774.606730524</v>
          </cell>
          <cell r="E305">
            <v>311758369.33548385</v>
          </cell>
        </row>
        <row r="306">
          <cell r="A306">
            <v>42292</v>
          </cell>
          <cell r="B306" t="str">
            <v>čtvrtek</v>
          </cell>
          <cell r="D306">
            <v>28202373.459662065</v>
          </cell>
          <cell r="E306">
            <v>301202246.33548385</v>
          </cell>
        </row>
        <row r="307">
          <cell r="A307">
            <v>42293</v>
          </cell>
          <cell r="B307" t="str">
            <v>pátek</v>
          </cell>
          <cell r="D307">
            <v>25078679.715217605</v>
          </cell>
          <cell r="E307">
            <v>267796404.33548388</v>
          </cell>
        </row>
        <row r="308">
          <cell r="A308">
            <v>42294</v>
          </cell>
          <cell r="B308" t="str">
            <v>sobota</v>
          </cell>
          <cell r="D308">
            <v>21138062.621865898</v>
          </cell>
          <cell r="E308">
            <v>225786222.33548388</v>
          </cell>
        </row>
        <row r="309">
          <cell r="A309">
            <v>42295</v>
          </cell>
          <cell r="B309" t="str">
            <v>neděle</v>
          </cell>
          <cell r="D309">
            <v>22284270.149972547</v>
          </cell>
          <cell r="E309">
            <v>238020278.33548388</v>
          </cell>
        </row>
        <row r="310">
          <cell r="A310">
            <v>42296</v>
          </cell>
          <cell r="B310" t="str">
            <v>pondělí</v>
          </cell>
          <cell r="D310">
            <v>27370289.306637235</v>
          </cell>
          <cell r="E310">
            <v>292266157.33548385</v>
          </cell>
        </row>
        <row r="311">
          <cell r="A311">
            <v>42297</v>
          </cell>
          <cell r="B311" t="str">
            <v>úterý</v>
          </cell>
          <cell r="D311">
            <v>28051681.025234185</v>
          </cell>
          <cell r="E311">
            <v>299545570.33548385</v>
          </cell>
        </row>
        <row r="312">
          <cell r="A312">
            <v>42298</v>
          </cell>
          <cell r="B312" t="str">
            <v>středa</v>
          </cell>
          <cell r="D312">
            <v>27064873.591736853</v>
          </cell>
          <cell r="E312">
            <v>288950339.33548385</v>
          </cell>
        </row>
        <row r="313">
          <cell r="A313">
            <v>42299</v>
          </cell>
          <cell r="B313" t="str">
            <v>čtvrtek</v>
          </cell>
          <cell r="D313">
            <v>24094114.205962874</v>
          </cell>
          <cell r="E313">
            <v>257350906.33548388</v>
          </cell>
        </row>
        <row r="314">
          <cell r="A314">
            <v>42300</v>
          </cell>
          <cell r="B314" t="str">
            <v>pátek</v>
          </cell>
          <cell r="D314">
            <v>22978637.688539639</v>
          </cell>
          <cell r="E314">
            <v>245441078.33548388</v>
          </cell>
        </row>
        <row r="315">
          <cell r="A315">
            <v>42301</v>
          </cell>
          <cell r="B315" t="str">
            <v>sobota</v>
          </cell>
          <cell r="D315">
            <v>21879588.997606918</v>
          </cell>
          <cell r="E315">
            <v>233705130.33548388</v>
          </cell>
        </row>
        <row r="316">
          <cell r="A316">
            <v>42302</v>
          </cell>
          <cell r="B316" t="str">
            <v>neděle</v>
          </cell>
          <cell r="D316">
            <v>21544798.71938061</v>
          </cell>
          <cell r="E316">
            <v>230128497.33548388</v>
          </cell>
        </row>
        <row r="317">
          <cell r="A317">
            <v>42303</v>
          </cell>
          <cell r="B317" t="str">
            <v>pondělí</v>
          </cell>
          <cell r="D317">
            <v>23314474.077801947</v>
          </cell>
          <cell r="E317">
            <v>249026187.33548388</v>
          </cell>
        </row>
        <row r="318">
          <cell r="A318">
            <v>42304</v>
          </cell>
          <cell r="B318" t="str">
            <v>úterý</v>
          </cell>
          <cell r="D318">
            <v>23946853.764479455</v>
          </cell>
          <cell r="E318">
            <v>255765717.33548388</v>
          </cell>
        </row>
        <row r="319">
          <cell r="A319">
            <v>42305</v>
          </cell>
          <cell r="B319" t="str">
            <v>středa</v>
          </cell>
          <cell r="D319">
            <v>24437909.136442214</v>
          </cell>
          <cell r="E319">
            <v>260893705.33548388</v>
          </cell>
        </row>
        <row r="320">
          <cell r="A320">
            <v>42306</v>
          </cell>
          <cell r="B320" t="str">
            <v>čtvrtek</v>
          </cell>
          <cell r="D320">
            <v>25783659.866615497</v>
          </cell>
          <cell r="E320">
            <v>275233953.33548385</v>
          </cell>
        </row>
        <row r="321">
          <cell r="A321">
            <v>42307</v>
          </cell>
          <cell r="B321" t="str">
            <v>pátek</v>
          </cell>
          <cell r="D321">
            <v>24610811.256989859</v>
          </cell>
          <cell r="E321">
            <v>262771812.33548388</v>
          </cell>
        </row>
        <row r="322">
          <cell r="A322">
            <v>42308</v>
          </cell>
          <cell r="B322" t="str">
            <v>sobota</v>
          </cell>
          <cell r="D322">
            <v>19977506.028373849</v>
          </cell>
          <cell r="E322">
            <v>213397526.33548388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8.9519744586098362</v>
          </cell>
          <cell r="L4">
            <v>11.765359870469158</v>
          </cell>
          <cell r="M4">
            <v>22.334749879192866</v>
          </cell>
          <cell r="N4">
            <v>26.13422482075471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95.903887767741921</v>
          </cell>
          <cell r="L5">
            <v>125.85194273333333</v>
          </cell>
          <cell r="M5">
            <v>238.55266933548384</v>
          </cell>
          <cell r="N5">
            <v>277.02278310000003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0.19659042148390893</v>
          </cell>
          <cell r="L6">
            <v>0.42902119788235332</v>
          </cell>
          <cell r="M6">
            <v>1.231784387523041</v>
          </cell>
          <cell r="N6">
            <v>1.0870303669606713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2.106103609363259</v>
          </cell>
          <cell r="L7">
            <v>4.5891627473969443</v>
          </cell>
          <cell r="M7">
            <v>13.156424642263085</v>
          </cell>
          <cell r="N7">
            <v>11.522521889783119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277.51120821690495</v>
          </cell>
          <cell r="L12">
            <v>352.96079611407475</v>
          </cell>
          <cell r="M12">
            <v>692.3772462549789</v>
          </cell>
          <cell r="N12">
            <v>784.02674462264133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2973.0205207999998</v>
          </cell>
          <cell r="L13">
            <v>3775.558282</v>
          </cell>
          <cell r="M13">
            <v>7395.1327493999997</v>
          </cell>
          <cell r="N13">
            <v>8310.6834930000005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-7.5332464693124324E-2</v>
          </cell>
          <cell r="L14">
            <v>-3.235274755507124E-2</v>
          </cell>
          <cell r="M14">
            <v>0.2219229621913186</v>
          </cell>
          <cell r="N14">
            <v>2.2237401577581584E-2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299.01838851541652</v>
          </cell>
          <cell r="L19">
            <v>359.74623069021459</v>
          </cell>
          <cell r="M19">
            <v>698.83677162586446</v>
          </cell>
          <cell r="N19">
            <v>886.1108416656341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3203.4302717533501</v>
          </cell>
          <cell r="L20">
            <v>3848.1408577221891</v>
          </cell>
          <cell r="M20">
            <v>7464.1255533579515</v>
          </cell>
          <cell r="N20">
            <v>9392.774921655724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3.23091783270293E-2</v>
          </cell>
          <cell r="L21">
            <v>-7.3844848253246817E-2</v>
          </cell>
          <cell r="M21">
            <v>7.0591374727436595E-2</v>
          </cell>
          <cell r="N21">
            <v>-2.3302353442811782E-2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12.275837216732805</v>
          </cell>
          <cell r="L26">
            <v>18.580584968434316</v>
          </cell>
          <cell r="M26">
            <v>30.622928281272621</v>
          </cell>
          <cell r="N26">
            <v>36.309744150943402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131.51468844516128</v>
          </cell>
          <cell r="L27">
            <v>198.71052223333334</v>
          </cell>
          <cell r="M27">
            <v>327.12787833548384</v>
          </cell>
          <cell r="N27">
            <v>384.88328799999999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14.8</v>
          </cell>
          <cell r="L28">
            <v>7.6</v>
          </cell>
          <cell r="M28">
            <v>3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6.9156343597705554</v>
          </cell>
          <cell r="L29">
            <v>8.1970730704195525</v>
          </cell>
          <cell r="M29">
            <v>13.891405785625052</v>
          </cell>
          <cell r="N29">
            <v>18.784762641509431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74.112511445161289</v>
          </cell>
          <cell r="L30">
            <v>87.702114233333347</v>
          </cell>
          <cell r="M30">
            <v>148.41271333548389</v>
          </cell>
          <cell r="N30">
            <v>199.118484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27.4</v>
          </cell>
          <cell r="L31">
            <v>13.8</v>
          </cell>
          <cell r="M31">
            <v>12.4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0.19659042148390893</v>
          </cell>
          <cell r="L34">
            <v>0.42902119788235332</v>
          </cell>
          <cell r="M34">
            <v>1.231784387523041</v>
          </cell>
          <cell r="N34">
            <v>1.0870303669606713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2.106103609363259</v>
          </cell>
          <cell r="L35">
            <v>4.5891627473969443</v>
          </cell>
          <cell r="M35">
            <v>13.156424642263085</v>
          </cell>
          <cell r="N35">
            <v>11.522521889783119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33.774109502568841</v>
          </cell>
          <cell r="N36">
            <v>33.560443426656242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360.73401402952663</v>
          </cell>
          <cell r="N37">
            <v>355.74070032255628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48.555522152845334</v>
          </cell>
          <cell r="N38">
            <v>46.604807830184299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518.61110973668372</v>
          </cell>
          <cell r="N39">
            <v>494.01096299995373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277.51120821690495</v>
          </cell>
          <cell r="L52">
            <v>352.96079611407475</v>
          </cell>
          <cell r="M52">
            <v>692.3772462549789</v>
          </cell>
          <cell r="N52">
            <v>784.02674462264133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2973.0205207999998</v>
          </cell>
          <cell r="L53">
            <v>3775.558282</v>
          </cell>
          <cell r="M53">
            <v>7395.1327493999997</v>
          </cell>
          <cell r="N53">
            <v>8310.6834930000005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13.526666666666667</v>
          </cell>
          <cell r="M54">
            <v>8.1580645161290342</v>
          </cell>
          <cell r="N54">
            <v>5.9433333333333325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299.01838851541652</v>
          </cell>
          <cell r="L57">
            <v>359.74623069021459</v>
          </cell>
          <cell r="M57">
            <v>698.83677162586446</v>
          </cell>
          <cell r="N57">
            <v>886.1108416656341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3203.4302717533501</v>
          </cell>
          <cell r="L58">
            <v>3848.1408577221891</v>
          </cell>
          <cell r="M58">
            <v>7464.1255533579515</v>
          </cell>
          <cell r="N58">
            <v>9392.774921655724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7.3274770439122872</v>
          </cell>
        </row>
        <row r="215">
          <cell r="R215">
            <v>42218</v>
          </cell>
          <cell r="S215">
            <v>7.3591133063275187</v>
          </cell>
        </row>
        <row r="216">
          <cell r="R216">
            <v>42219</v>
          </cell>
          <cell r="S216">
            <v>8.4957021969041211</v>
          </cell>
        </row>
        <row r="217">
          <cell r="R217">
            <v>42220</v>
          </cell>
          <cell r="S217">
            <v>8.5215988993338367</v>
          </cell>
        </row>
        <row r="218">
          <cell r="R218">
            <v>42221</v>
          </cell>
          <cell r="S218">
            <v>8.3804475972986712</v>
          </cell>
        </row>
        <row r="219">
          <cell r="R219">
            <v>42222</v>
          </cell>
          <cell r="S219">
            <v>8.7797788551200622</v>
          </cell>
        </row>
        <row r="220">
          <cell r="R220">
            <v>42223</v>
          </cell>
          <cell r="S220">
            <v>7.897185705717761</v>
          </cell>
        </row>
        <row r="221">
          <cell r="R221">
            <v>42224</v>
          </cell>
          <cell r="S221">
            <v>6.9156343597705554</v>
          </cell>
        </row>
        <row r="222">
          <cell r="R222">
            <v>42225</v>
          </cell>
          <cell r="S222">
            <v>7.0797433898515889</v>
          </cell>
        </row>
        <row r="223">
          <cell r="R223">
            <v>42226</v>
          </cell>
          <cell r="S223">
            <v>8.7429757997753992</v>
          </cell>
        </row>
        <row r="224">
          <cell r="R224">
            <v>42227</v>
          </cell>
          <cell r="S224">
            <v>8.8873771330949971</v>
          </cell>
        </row>
        <row r="225">
          <cell r="R225">
            <v>42228</v>
          </cell>
          <cell r="S225">
            <v>9.342068052433266</v>
          </cell>
        </row>
        <row r="226">
          <cell r="R226">
            <v>42229</v>
          </cell>
          <cell r="S226">
            <v>9.0227963088585845</v>
          </cell>
        </row>
        <row r="227">
          <cell r="R227">
            <v>42230</v>
          </cell>
          <cell r="S227">
            <v>8.617923221165789</v>
          </cell>
        </row>
        <row r="228">
          <cell r="R228">
            <v>42231</v>
          </cell>
          <cell r="S228">
            <v>7.6367264902928698</v>
          </cell>
        </row>
        <row r="229">
          <cell r="R229">
            <v>42232</v>
          </cell>
          <cell r="S229">
            <v>7.6500080231819716</v>
          </cell>
        </row>
        <row r="230">
          <cell r="R230">
            <v>42233</v>
          </cell>
          <cell r="S230">
            <v>10.770115115200538</v>
          </cell>
        </row>
        <row r="231">
          <cell r="R231">
            <v>42234</v>
          </cell>
          <cell r="S231">
            <v>12.275837216732805</v>
          </cell>
        </row>
        <row r="232">
          <cell r="R232">
            <v>42235</v>
          </cell>
          <cell r="S232">
            <v>10.30598544170101</v>
          </cell>
        </row>
        <row r="233">
          <cell r="R233">
            <v>42236</v>
          </cell>
          <cell r="S233">
            <v>10.198907925134305</v>
          </cell>
        </row>
        <row r="234">
          <cell r="R234">
            <v>42237</v>
          </cell>
          <cell r="S234">
            <v>9.732554603645001</v>
          </cell>
        </row>
        <row r="235">
          <cell r="R235">
            <v>42238</v>
          </cell>
          <cell r="S235">
            <v>8.1906102744069553</v>
          </cell>
        </row>
        <row r="236">
          <cell r="R236">
            <v>42239</v>
          </cell>
          <cell r="S236">
            <v>8.2763648372854224</v>
          </cell>
        </row>
        <row r="237">
          <cell r="R237">
            <v>42240</v>
          </cell>
          <cell r="S237">
            <v>10.116631278412976</v>
          </cell>
        </row>
        <row r="238">
          <cell r="R238">
            <v>42241</v>
          </cell>
          <cell r="S238">
            <v>10.634514211604086</v>
          </cell>
        </row>
        <row r="239">
          <cell r="R239">
            <v>42242</v>
          </cell>
          <cell r="S239">
            <v>10.43281949410752</v>
          </cell>
        </row>
        <row r="240">
          <cell r="R240">
            <v>42243</v>
          </cell>
          <cell r="S240">
            <v>10.258901112878878</v>
          </cell>
        </row>
        <row r="241">
          <cell r="R241">
            <v>42244</v>
          </cell>
          <cell r="S241">
            <v>9.621705007623234</v>
          </cell>
        </row>
        <row r="242">
          <cell r="R242">
            <v>42245</v>
          </cell>
          <cell r="S242">
            <v>7.90341361582934</v>
          </cell>
        </row>
        <row r="243">
          <cell r="R243">
            <v>42246</v>
          </cell>
          <cell r="S243">
            <v>8.0524275904776808</v>
          </cell>
        </row>
        <row r="244">
          <cell r="R244">
            <v>42247</v>
          </cell>
          <cell r="S244">
            <v>10.083864108825882</v>
          </cell>
        </row>
        <row r="245">
          <cell r="R245">
            <v>42248</v>
          </cell>
          <cell r="S245">
            <v>9.7007445267766368</v>
          </cell>
        </row>
        <row r="246">
          <cell r="R246">
            <v>42249</v>
          </cell>
          <cell r="S246">
            <v>10.351424075733302</v>
          </cell>
        </row>
        <row r="247">
          <cell r="R247">
            <v>42250</v>
          </cell>
          <cell r="S247">
            <v>10.675088543805986</v>
          </cell>
        </row>
        <row r="248">
          <cell r="R248">
            <v>42251</v>
          </cell>
          <cell r="S248">
            <v>11.29469983214782</v>
          </cell>
        </row>
        <row r="249">
          <cell r="R249">
            <v>42252</v>
          </cell>
          <cell r="S249">
            <v>8.1970730704195525</v>
          </cell>
        </row>
        <row r="250">
          <cell r="R250">
            <v>42253</v>
          </cell>
          <cell r="S250">
            <v>9.2336958503371118</v>
          </cell>
        </row>
        <row r="251">
          <cell r="R251">
            <v>42254</v>
          </cell>
          <cell r="S251">
            <v>11.597554488210992</v>
          </cell>
        </row>
        <row r="252">
          <cell r="R252">
            <v>42255</v>
          </cell>
          <cell r="S252">
            <v>11.40204196931642</v>
          </cell>
        </row>
        <row r="253">
          <cell r="R253">
            <v>42256</v>
          </cell>
          <cell r="S253">
            <v>12.222584744863941</v>
          </cell>
        </row>
        <row r="254">
          <cell r="R254">
            <v>42257</v>
          </cell>
          <cell r="S254">
            <v>12.198425235856467</v>
          </cell>
        </row>
        <row r="255">
          <cell r="R255">
            <v>42258</v>
          </cell>
          <cell r="S255">
            <v>14.667928928492055</v>
          </cell>
        </row>
        <row r="256">
          <cell r="R256">
            <v>42259</v>
          </cell>
          <cell r="S256">
            <v>9.4355036584976215</v>
          </cell>
        </row>
        <row r="257">
          <cell r="R257">
            <v>42260</v>
          </cell>
          <cell r="S257">
            <v>9.3491360221922815</v>
          </cell>
        </row>
        <row r="258">
          <cell r="R258">
            <v>42261</v>
          </cell>
          <cell r="S258">
            <v>11.066872022129369</v>
          </cell>
        </row>
        <row r="259">
          <cell r="R259">
            <v>42262</v>
          </cell>
          <cell r="S259">
            <v>11.139047681373635</v>
          </cell>
        </row>
        <row r="260">
          <cell r="R260">
            <v>42263</v>
          </cell>
          <cell r="S260">
            <v>10.696748561847132</v>
          </cell>
        </row>
        <row r="261">
          <cell r="R261">
            <v>42264</v>
          </cell>
          <cell r="S261">
            <v>10.390631158546531</v>
          </cell>
        </row>
        <row r="262">
          <cell r="R262">
            <v>42265</v>
          </cell>
          <cell r="S262">
            <v>10.437855721536367</v>
          </cell>
        </row>
        <row r="263">
          <cell r="R263">
            <v>42266</v>
          </cell>
          <cell r="S263">
            <v>8.9750896284534942</v>
          </cell>
        </row>
        <row r="264">
          <cell r="R264">
            <v>42267</v>
          </cell>
          <cell r="S264">
            <v>10.140231654609236</v>
          </cell>
        </row>
        <row r="265">
          <cell r="R265">
            <v>42268</v>
          </cell>
          <cell r="S265">
            <v>14.685402776933721</v>
          </cell>
        </row>
        <row r="266">
          <cell r="R266">
            <v>42269</v>
          </cell>
          <cell r="S266">
            <v>12.553554758620496</v>
          </cell>
        </row>
        <row r="267">
          <cell r="R267">
            <v>42270</v>
          </cell>
          <cell r="S267">
            <v>14.359633688987152</v>
          </cell>
        </row>
        <row r="268">
          <cell r="R268">
            <v>42271</v>
          </cell>
          <cell r="S268">
            <v>13.187685903645663</v>
          </cell>
        </row>
        <row r="269">
          <cell r="R269">
            <v>42272</v>
          </cell>
          <cell r="S269">
            <v>12.952785702018016</v>
          </cell>
        </row>
        <row r="270">
          <cell r="R270">
            <v>42273</v>
          </cell>
          <cell r="S270">
            <v>11.714102901755435</v>
          </cell>
        </row>
        <row r="271">
          <cell r="R271">
            <v>42274</v>
          </cell>
          <cell r="S271">
            <v>12.05665177038618</v>
          </cell>
        </row>
        <row r="272">
          <cell r="R272">
            <v>42275</v>
          </cell>
          <cell r="S272">
            <v>13.31929253083147</v>
          </cell>
        </row>
        <row r="273">
          <cell r="R273">
            <v>42276</v>
          </cell>
          <cell r="S273">
            <v>16.378723737316371</v>
          </cell>
        </row>
        <row r="274">
          <cell r="R274">
            <v>42277</v>
          </cell>
          <cell r="S274">
            <v>18.580584968434316</v>
          </cell>
        </row>
        <row r="275">
          <cell r="R275">
            <v>42278</v>
          </cell>
          <cell r="S275">
            <v>18.92168176607754</v>
          </cell>
        </row>
        <row r="276">
          <cell r="R276">
            <v>42279</v>
          </cell>
          <cell r="S276">
            <v>17.859079077775508</v>
          </cell>
        </row>
        <row r="277">
          <cell r="R277">
            <v>42280</v>
          </cell>
          <cell r="S277">
            <v>14.158911197204462</v>
          </cell>
        </row>
        <row r="278">
          <cell r="R278">
            <v>42281</v>
          </cell>
          <cell r="S278">
            <v>13.891405785625052</v>
          </cell>
        </row>
        <row r="279">
          <cell r="R279">
            <v>42282</v>
          </cell>
          <cell r="S279">
            <v>15.701599472846643</v>
          </cell>
        </row>
        <row r="280">
          <cell r="R280">
            <v>42283</v>
          </cell>
          <cell r="S280">
            <v>16.066707061324717</v>
          </cell>
        </row>
        <row r="281">
          <cell r="R281">
            <v>42284</v>
          </cell>
          <cell r="S281">
            <v>18.367584583883939</v>
          </cell>
        </row>
        <row r="282">
          <cell r="R282">
            <v>42285</v>
          </cell>
          <cell r="S282">
            <v>19.573674881397462</v>
          </cell>
        </row>
        <row r="283">
          <cell r="R283">
            <v>42286</v>
          </cell>
          <cell r="S283">
            <v>20.108905185047394</v>
          </cell>
        </row>
        <row r="284">
          <cell r="R284">
            <v>42287</v>
          </cell>
          <cell r="S284">
            <v>17.884759805823556</v>
          </cell>
        </row>
        <row r="285">
          <cell r="R285">
            <v>42288</v>
          </cell>
          <cell r="S285">
            <v>20.746931442756491</v>
          </cell>
        </row>
        <row r="286">
          <cell r="R286">
            <v>42289</v>
          </cell>
          <cell r="S286">
            <v>27.530719494693717</v>
          </cell>
        </row>
        <row r="287">
          <cell r="R287">
            <v>42290</v>
          </cell>
          <cell r="S287">
            <v>30.622928281272621</v>
          </cell>
        </row>
        <row r="288">
          <cell r="R288">
            <v>42291</v>
          </cell>
          <cell r="S288">
            <v>29.183774606730523</v>
          </cell>
        </row>
        <row r="289">
          <cell r="R289">
            <v>42292</v>
          </cell>
          <cell r="S289">
            <v>28.202373459662063</v>
          </cell>
        </row>
        <row r="290">
          <cell r="R290">
            <v>42293</v>
          </cell>
          <cell r="S290">
            <v>25.078679715217604</v>
          </cell>
        </row>
        <row r="291">
          <cell r="R291">
            <v>42294</v>
          </cell>
          <cell r="S291">
            <v>21.138062621865899</v>
          </cell>
        </row>
        <row r="292">
          <cell r="R292">
            <v>42295</v>
          </cell>
          <cell r="S292">
            <v>22.284270149972549</v>
          </cell>
        </row>
        <row r="293">
          <cell r="R293">
            <v>42296</v>
          </cell>
          <cell r="S293">
            <v>27.370289306637236</v>
          </cell>
        </row>
        <row r="294">
          <cell r="R294">
            <v>42297</v>
          </cell>
          <cell r="S294">
            <v>28.051681025234185</v>
          </cell>
        </row>
        <row r="295">
          <cell r="R295">
            <v>42298</v>
          </cell>
          <cell r="S295">
            <v>27.064873591736855</v>
          </cell>
        </row>
        <row r="296">
          <cell r="R296">
            <v>42299</v>
          </cell>
          <cell r="S296">
            <v>24.094114205962875</v>
          </cell>
        </row>
        <row r="297">
          <cell r="R297">
            <v>42300</v>
          </cell>
          <cell r="S297">
            <v>22.978637688539639</v>
          </cell>
        </row>
        <row r="298">
          <cell r="R298">
            <v>42301</v>
          </cell>
          <cell r="S298">
            <v>21.87958899760692</v>
          </cell>
        </row>
        <row r="299">
          <cell r="R299">
            <v>42302</v>
          </cell>
          <cell r="S299">
            <v>21.544798719380612</v>
          </cell>
        </row>
        <row r="300">
          <cell r="R300">
            <v>42303</v>
          </cell>
          <cell r="S300">
            <v>23.314474077801947</v>
          </cell>
        </row>
        <row r="301">
          <cell r="R301">
            <v>42304</v>
          </cell>
          <cell r="S301">
            <v>23.946853764479457</v>
          </cell>
        </row>
        <row r="302">
          <cell r="R302">
            <v>42305</v>
          </cell>
          <cell r="S302">
            <v>24.437909136442212</v>
          </cell>
        </row>
        <row r="303">
          <cell r="R303">
            <v>42306</v>
          </cell>
          <cell r="S303">
            <v>25.783659866615498</v>
          </cell>
        </row>
        <row r="304">
          <cell r="R304">
            <v>42307</v>
          </cell>
          <cell r="S304">
            <v>24.610811256989859</v>
          </cell>
        </row>
        <row r="305">
          <cell r="R305">
            <v>42308</v>
          </cell>
          <cell r="S305">
            <v>19.977506028373849</v>
          </cell>
        </row>
        <row r="306">
          <cell r="R306">
            <v>42309</v>
          </cell>
          <cell r="S306">
            <v>22.034743396226414</v>
          </cell>
        </row>
        <row r="307">
          <cell r="R307">
            <v>42310</v>
          </cell>
          <cell r="S307">
            <v>26.899983301886788</v>
          </cell>
        </row>
        <row r="308">
          <cell r="R308">
            <v>42311</v>
          </cell>
          <cell r="S308">
            <v>28.323663301886789</v>
          </cell>
        </row>
        <row r="309">
          <cell r="R309">
            <v>42312</v>
          </cell>
          <cell r="S309">
            <v>28.432166132075469</v>
          </cell>
        </row>
        <row r="310">
          <cell r="R310">
            <v>42313</v>
          </cell>
          <cell r="S310">
            <v>26.914944716981129</v>
          </cell>
        </row>
        <row r="311">
          <cell r="R311">
            <v>42314</v>
          </cell>
          <cell r="S311">
            <v>24.930976603773583</v>
          </cell>
        </row>
        <row r="312">
          <cell r="R312">
            <v>42315</v>
          </cell>
          <cell r="S312">
            <v>20.263146603773581</v>
          </cell>
        </row>
        <row r="313">
          <cell r="R313">
            <v>42316</v>
          </cell>
          <cell r="S313">
            <v>18.784762641509431</v>
          </cell>
        </row>
        <row r="314">
          <cell r="R314">
            <v>42317</v>
          </cell>
          <cell r="S314">
            <v>22.75833716981132</v>
          </cell>
        </row>
        <row r="315">
          <cell r="R315">
            <v>42318</v>
          </cell>
          <cell r="S315">
            <v>20.041038962264146</v>
          </cell>
        </row>
        <row r="316">
          <cell r="R316">
            <v>42319</v>
          </cell>
          <cell r="S316">
            <v>20.115313396226412</v>
          </cell>
        </row>
        <row r="317">
          <cell r="R317">
            <v>42320</v>
          </cell>
          <cell r="S317">
            <v>21.880781792452826</v>
          </cell>
        </row>
        <row r="318">
          <cell r="R318">
            <v>42321</v>
          </cell>
          <cell r="S318">
            <v>22.265769905660378</v>
          </cell>
        </row>
        <row r="319">
          <cell r="R319">
            <v>42322</v>
          </cell>
          <cell r="S319">
            <v>21.177034999999997</v>
          </cell>
        </row>
        <row r="320">
          <cell r="R320">
            <v>42323</v>
          </cell>
          <cell r="S320">
            <v>21.929112075471696</v>
          </cell>
        </row>
        <row r="321">
          <cell r="R321">
            <v>42324</v>
          </cell>
          <cell r="S321">
            <v>22.077209999999997</v>
          </cell>
        </row>
        <row r="322">
          <cell r="R322">
            <v>42325</v>
          </cell>
          <cell r="S322">
            <v>22.331408396226415</v>
          </cell>
        </row>
        <row r="323">
          <cell r="R323">
            <v>42326</v>
          </cell>
          <cell r="S323">
            <v>22.311003396226415</v>
          </cell>
        </row>
        <row r="324">
          <cell r="R324">
            <v>42327</v>
          </cell>
          <cell r="S324">
            <v>23.218380849056601</v>
          </cell>
        </row>
        <row r="325">
          <cell r="R325">
            <v>42328</v>
          </cell>
          <cell r="S325">
            <v>24.919613867924525</v>
          </cell>
        </row>
        <row r="326">
          <cell r="R326">
            <v>42329</v>
          </cell>
          <cell r="S326">
            <v>25.378650754716979</v>
          </cell>
        </row>
        <row r="327">
          <cell r="R327">
            <v>42330</v>
          </cell>
          <cell r="S327">
            <v>28.784254622641509</v>
          </cell>
        </row>
        <row r="328">
          <cell r="R328">
            <v>42331</v>
          </cell>
          <cell r="S328">
            <v>34.51707009433963</v>
          </cell>
        </row>
        <row r="329">
          <cell r="R329">
            <v>42332</v>
          </cell>
          <cell r="S329">
            <v>35.757742735849057</v>
          </cell>
        </row>
        <row r="330">
          <cell r="R330">
            <v>42333</v>
          </cell>
          <cell r="S330">
            <v>36.309744150943402</v>
          </cell>
        </row>
        <row r="331">
          <cell r="R331">
            <v>42334</v>
          </cell>
          <cell r="S331">
            <v>34.825585377358493</v>
          </cell>
        </row>
        <row r="332">
          <cell r="R332">
            <v>42335</v>
          </cell>
          <cell r="S332">
            <v>33.687207830188676</v>
          </cell>
        </row>
        <row r="333">
          <cell r="R333">
            <v>42336</v>
          </cell>
          <cell r="S333">
            <v>31.108957169811319</v>
          </cell>
        </row>
        <row r="334">
          <cell r="R334">
            <v>42337</v>
          </cell>
          <cell r="S334">
            <v>30.708528207547168</v>
          </cell>
        </row>
        <row r="335">
          <cell r="R335">
            <v>42338</v>
          </cell>
          <cell r="S335">
            <v>31.339612169811321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20303.42377111633</v>
          </cell>
          <cell r="AA6">
            <v>216802.52999999968</v>
          </cell>
          <cell r="AB6">
            <v>780489.10799999884</v>
          </cell>
          <cell r="AC6">
            <v>10.678126627511128</v>
          </cell>
          <cell r="AD6">
            <v>15328.584565608491</v>
          </cell>
          <cell r="AE6">
            <v>164217.67999999988</v>
          </cell>
          <cell r="AF6">
            <v>591183.64799999958</v>
          </cell>
          <cell r="AG6">
            <v>10.713166587373099</v>
          </cell>
          <cell r="AH6">
            <v>18940.350651885579</v>
          </cell>
          <cell r="AI6">
            <v>202601.46999999997</v>
          </cell>
          <cell r="AJ6">
            <v>729365.2919999999</v>
          </cell>
          <cell r="AK6">
            <v>10.696817272484354</v>
          </cell>
          <cell r="AL6">
            <v>46779.489094400844</v>
          </cell>
          <cell r="AM6">
            <v>499641.67999999976</v>
          </cell>
          <cell r="AN6">
            <v>1798710.0479999993</v>
          </cell>
          <cell r="AO6">
            <v>10.68078531152242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10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66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0" t="s">
        <v>247</v>
      </c>
      <c r="J1" s="820"/>
    </row>
    <row r="2" spans="1:16" ht="6.75" customHeight="1" x14ac:dyDescent="0.2"/>
    <row r="3" spans="1:16" ht="30" customHeight="1" x14ac:dyDescent="0.2">
      <c r="A3" s="828" t="s">
        <v>283</v>
      </c>
      <c r="B3" s="828"/>
      <c r="C3" s="828"/>
      <c r="D3" s="828"/>
      <c r="E3" s="828"/>
      <c r="F3" s="828"/>
      <c r="G3" s="828"/>
      <c r="H3" s="828"/>
      <c r="I3" s="828"/>
      <c r="J3" s="828"/>
    </row>
    <row r="4" spans="1:16" ht="16.5" customHeight="1" x14ac:dyDescent="0.2">
      <c r="B4" s="241"/>
      <c r="C4" s="827" t="str">
        <f>T!G19</f>
        <v>Říjen</v>
      </c>
      <c r="D4" s="827"/>
      <c r="E4" s="223">
        <f>T!I21</f>
        <v>2015</v>
      </c>
      <c r="F4" s="241"/>
      <c r="G4" s="241"/>
      <c r="H4" s="241"/>
    </row>
    <row r="5" spans="1:16" ht="6.75" customHeight="1" x14ac:dyDescent="0.2">
      <c r="A5" s="270"/>
      <c r="B5" s="271"/>
      <c r="C5" s="271"/>
      <c r="D5" s="269"/>
      <c r="E5" s="241"/>
      <c r="F5" s="241"/>
      <c r="G5" s="241"/>
      <c r="H5" s="272"/>
      <c r="I5" s="91"/>
    </row>
    <row r="6" spans="1:16" ht="14.1" customHeight="1" x14ac:dyDescent="0.25">
      <c r="A6" s="270"/>
      <c r="B6" s="126"/>
      <c r="C6" s="273"/>
      <c r="D6" s="274"/>
      <c r="E6" s="275"/>
      <c r="F6" s="275"/>
      <c r="G6" s="830" t="s">
        <v>207</v>
      </c>
      <c r="H6" s="276"/>
      <c r="I6" s="275"/>
      <c r="J6" s="273"/>
    </row>
    <row r="7" spans="1:16" ht="14.1" customHeight="1" x14ac:dyDescent="0.25">
      <c r="A7" s="277"/>
      <c r="B7" s="278"/>
      <c r="C7" s="262"/>
      <c r="D7" s="263" t="str">
        <f>T!$G$19</f>
        <v>Říjen</v>
      </c>
      <c r="E7" s="264">
        <f>E4</f>
        <v>2015</v>
      </c>
      <c r="F7" s="264"/>
      <c r="G7" s="831"/>
      <c r="H7" s="279" t="str">
        <f>T!$G$19</f>
        <v>Říjen</v>
      </c>
      <c r="I7" s="259">
        <f>E4-1</f>
        <v>2014</v>
      </c>
      <c r="J7" s="273"/>
    </row>
    <row r="8" spans="1:16" ht="14.1" customHeight="1" x14ac:dyDescent="0.2">
      <c r="A8" s="277"/>
      <c r="B8" s="371"/>
      <c r="D8" s="839" t="s">
        <v>71</v>
      </c>
      <c r="E8" s="793"/>
      <c r="F8" s="330" t="s">
        <v>205</v>
      </c>
      <c r="G8" s="831"/>
      <c r="H8" s="840" t="s">
        <v>71</v>
      </c>
      <c r="I8" s="793"/>
      <c r="J8" s="348" t="s">
        <v>205</v>
      </c>
    </row>
    <row r="9" spans="1:16" ht="12" customHeight="1" x14ac:dyDescent="0.2">
      <c r="A9" s="249"/>
      <c r="B9" s="372"/>
      <c r="C9" s="372"/>
      <c r="D9" s="434" t="s">
        <v>15</v>
      </c>
      <c r="E9" s="374" t="s">
        <v>1</v>
      </c>
      <c r="F9" s="331" t="s">
        <v>118</v>
      </c>
      <c r="G9" s="832"/>
      <c r="H9" s="280" t="s">
        <v>15</v>
      </c>
      <c r="I9" s="265" t="s">
        <v>1</v>
      </c>
      <c r="J9" s="349" t="s">
        <v>118</v>
      </c>
    </row>
    <row r="10" spans="1:16" ht="12" customHeight="1" x14ac:dyDescent="0.2">
      <c r="A10" s="833" t="s">
        <v>4</v>
      </c>
      <c r="B10" s="833"/>
      <c r="C10" s="368"/>
      <c r="D10" s="486">
        <f>E7</f>
        <v>2015</v>
      </c>
      <c r="E10" s="367"/>
      <c r="F10" s="332"/>
      <c r="G10" s="314"/>
      <c r="H10" s="484">
        <f>I7</f>
        <v>2014</v>
      </c>
      <c r="I10" s="364"/>
      <c r="J10" s="350"/>
    </row>
    <row r="11" spans="1:16" ht="12" customHeight="1" x14ac:dyDescent="0.2">
      <c r="A11" s="95"/>
      <c r="B11" s="95"/>
      <c r="C11" s="369" t="s">
        <v>17</v>
      </c>
      <c r="D11" s="89">
        <f ca="1">'7'!E15</f>
        <v>22733.453000000001</v>
      </c>
      <c r="E11" s="96">
        <f ca="1">'7'!F15</f>
        <v>242740.81406</v>
      </c>
      <c r="F11" s="333">
        <f ca="1">D11/$D$25</f>
        <v>3.3495352940586594E-2</v>
      </c>
      <c r="G11" s="687">
        <f ca="1">(D11-H11)/H11</f>
        <v>0.18245537091028416</v>
      </c>
      <c r="H11" s="96">
        <f ca="1">'7'!I15</f>
        <v>19225.633000000002</v>
      </c>
      <c r="I11" s="96">
        <f ca="1">'7'!J15</f>
        <v>204004.45779300001</v>
      </c>
      <c r="J11" s="351">
        <f ca="1">H11/$H$25</f>
        <v>3.4668552283399913E-2</v>
      </c>
    </row>
    <row r="12" spans="1:16" ht="12" customHeight="1" x14ac:dyDescent="0.2">
      <c r="A12" s="95"/>
      <c r="B12" s="95"/>
      <c r="C12" s="369" t="s">
        <v>18</v>
      </c>
      <c r="D12" s="89">
        <f ca="1">'7'!E22</f>
        <v>94146.5</v>
      </c>
      <c r="E12" s="96">
        <f ca="1">'7'!F22</f>
        <v>1005755.4144199998</v>
      </c>
      <c r="F12" s="333">
        <f ca="1">D12/$D$25</f>
        <v>0.13871496976816217</v>
      </c>
      <c r="G12" s="687">
        <f t="shared" ref="G12" ca="1" si="0">(D12-H12)/H12</f>
        <v>0.23671613715120424</v>
      </c>
      <c r="H12" s="96">
        <f ca="1">'7'!I22</f>
        <v>76126.2</v>
      </c>
      <c r="I12" s="96">
        <f ca="1">'7'!J22</f>
        <v>809053.8976560001</v>
      </c>
      <c r="J12" s="351">
        <f t="shared" ref="J12:J24" ca="1" si="1">H12/$H$25</f>
        <v>0.13727429129831814</v>
      </c>
      <c r="K12" s="283"/>
      <c r="L12" s="283"/>
      <c r="N12" s="283"/>
      <c r="O12" s="283"/>
      <c r="P12" s="283"/>
    </row>
    <row r="13" spans="1:16" ht="12" customHeight="1" x14ac:dyDescent="0.2">
      <c r="A13" s="291"/>
      <c r="B13" s="267"/>
      <c r="C13" s="369" t="s">
        <v>19</v>
      </c>
      <c r="D13" s="89">
        <f ca="1">'7'!E29</f>
        <v>17720.699999999997</v>
      </c>
      <c r="E13" s="96">
        <f ca="1">'7'!F29</f>
        <v>189309.03983000002</v>
      </c>
      <c r="F13" s="333">
        <f ca="1">D13/$D$25</f>
        <v>2.6109588404992973E-2</v>
      </c>
      <c r="G13" s="687">
        <f ca="1">(D13-H13)/H13</f>
        <v>0.19198869942488125</v>
      </c>
      <c r="H13" s="96">
        <f ca="1">'7'!I29</f>
        <v>14866.5</v>
      </c>
      <c r="I13" s="96">
        <f ca="1">'7'!J29</f>
        <v>157997.55620599998</v>
      </c>
      <c r="J13" s="351">
        <f t="shared" ca="1" si="1"/>
        <v>2.6807961668734902E-2</v>
      </c>
      <c r="K13" s="283"/>
      <c r="L13" s="283"/>
      <c r="N13" s="283"/>
      <c r="O13" s="283"/>
      <c r="P13" s="283"/>
    </row>
    <row r="14" spans="1:16" ht="12" customHeight="1" x14ac:dyDescent="0.2">
      <c r="A14" s="291"/>
      <c r="B14" s="267"/>
      <c r="C14" s="369" t="s">
        <v>20</v>
      </c>
      <c r="D14" s="89">
        <f ca="1">'7'!E36</f>
        <v>26595.100000000002</v>
      </c>
      <c r="E14" s="96">
        <f ca="1">'7'!F36</f>
        <v>284113.00504000002</v>
      </c>
      <c r="F14" s="333">
        <f ca="1">D14/$D$25</f>
        <v>3.9185083805359205E-2</v>
      </c>
      <c r="G14" s="687">
        <f ca="1">(D14-H14)/H14</f>
        <v>0.13589711830455334</v>
      </c>
      <c r="H14" s="96">
        <f ca="1">'7'!I36</f>
        <v>23413.300000000003</v>
      </c>
      <c r="I14" s="96">
        <f ca="1">'7'!J36</f>
        <v>248831.49915400002</v>
      </c>
      <c r="J14" s="351">
        <f t="shared" ca="1" si="1"/>
        <v>4.2219947461648068E-2</v>
      </c>
      <c r="K14" s="283"/>
      <c r="L14" s="283"/>
      <c r="N14" s="283"/>
      <c r="O14" s="283"/>
      <c r="P14" s="283"/>
    </row>
    <row r="15" spans="1:16" ht="12" customHeight="1" x14ac:dyDescent="0.2">
      <c r="A15" s="291"/>
      <c r="B15" s="267"/>
      <c r="C15" s="369" t="s">
        <v>21</v>
      </c>
      <c r="D15" s="89">
        <f ca="1">'7'!E43</f>
        <v>27474.399999999998</v>
      </c>
      <c r="E15" s="96">
        <f ca="1">'7'!F43</f>
        <v>293505.54518000002</v>
      </c>
      <c r="F15" s="333">
        <f t="shared" ref="F15:F23" ca="1" si="2">D15/$D$25</f>
        <v>4.0480639911185168E-2</v>
      </c>
      <c r="G15" s="688">
        <f ca="1">(D15-H15)/H15</f>
        <v>0.22215450861420863</v>
      </c>
      <c r="H15" s="96">
        <f ca="1">'7'!I43</f>
        <v>22480.300000000003</v>
      </c>
      <c r="I15" s="96">
        <f ca="1">'7'!J43</f>
        <v>238916.32913799997</v>
      </c>
      <c r="J15" s="351">
        <f t="shared" ca="1" si="1"/>
        <v>4.053751862924436E-2</v>
      </c>
      <c r="K15" s="283"/>
      <c r="L15" s="283"/>
      <c r="N15" s="283"/>
      <c r="O15" s="283"/>
      <c r="P15" s="283"/>
    </row>
    <row r="16" spans="1:16" ht="12" customHeight="1" x14ac:dyDescent="0.2">
      <c r="A16" s="273"/>
      <c r="B16" s="273"/>
      <c r="C16" s="369" t="s">
        <v>22</v>
      </c>
      <c r="D16" s="89">
        <f ca="1">'7'!E50</f>
        <v>76094.574999999997</v>
      </c>
      <c r="E16" s="96">
        <f ca="1">'7'!F50</f>
        <v>812701.69053999998</v>
      </c>
      <c r="F16" s="333">
        <f t="shared" ca="1" si="2"/>
        <v>0.11211735614862102</v>
      </c>
      <c r="G16" s="688">
        <f t="shared" ref="G16:G27" ca="1" si="3">(D16-H16)/H16</f>
        <v>0.14908672200414536</v>
      </c>
      <c r="H16" s="96">
        <f ca="1">'7'!I50</f>
        <v>66221.785999999993</v>
      </c>
      <c r="I16" s="96">
        <f ca="1">'7'!J50</f>
        <v>703659.22667700006</v>
      </c>
      <c r="J16" s="351">
        <f t="shared" ca="1" si="1"/>
        <v>0.11941419303287024</v>
      </c>
      <c r="K16" s="283"/>
      <c r="L16" s="283"/>
      <c r="N16" s="283"/>
      <c r="O16" s="283"/>
      <c r="P16" s="283"/>
    </row>
    <row r="17" spans="1:15" ht="12" customHeight="1" x14ac:dyDescent="0.2">
      <c r="A17" s="273"/>
      <c r="B17" s="273"/>
      <c r="C17" s="369" t="s">
        <v>23</v>
      </c>
      <c r="D17" s="89">
        <f ca="1">'7'!E57</f>
        <v>38431</v>
      </c>
      <c r="E17" s="96">
        <f ca="1">'7'!F57</f>
        <v>410554.36806000007</v>
      </c>
      <c r="F17" s="333">
        <f t="shared" ca="1" si="2"/>
        <v>5.6624038101896944E-2</v>
      </c>
      <c r="G17" s="688">
        <f t="shared" ca="1" si="3"/>
        <v>0.17196982172372352</v>
      </c>
      <c r="H17" s="96">
        <f ca="1">'7'!I57</f>
        <v>32791.800000000003</v>
      </c>
      <c r="I17" s="96">
        <f ca="1">'7'!J57</f>
        <v>348503.89372200001</v>
      </c>
      <c r="J17" s="351">
        <f t="shared" ca="1" si="1"/>
        <v>5.9131693233028707E-2</v>
      </c>
      <c r="K17" s="283"/>
      <c r="L17" s="283"/>
    </row>
    <row r="18" spans="1:15" ht="12" customHeight="1" x14ac:dyDescent="0.2">
      <c r="A18" s="273"/>
      <c r="B18" s="273"/>
      <c r="C18" s="369" t="s">
        <v>24</v>
      </c>
      <c r="D18" s="89">
        <f ca="1">'8'!E15</f>
        <v>31573</v>
      </c>
      <c r="E18" s="96">
        <f ca="1">'8'!F15</f>
        <v>337290.18816999998</v>
      </c>
      <c r="F18" s="333">
        <f t="shared" ca="1" si="2"/>
        <v>4.6519496109682083E-2</v>
      </c>
      <c r="G18" s="688">
        <f t="shared" ca="1" si="3"/>
        <v>0.31854685470635158</v>
      </c>
      <c r="H18" s="96">
        <f ca="1">'8'!I15</f>
        <v>23945.3</v>
      </c>
      <c r="I18" s="96">
        <f ca="1">'8'!J15</f>
        <v>254485.82974399999</v>
      </c>
      <c r="J18" s="351">
        <f t="shared" ca="1" si="1"/>
        <v>4.3179274512922194E-2</v>
      </c>
      <c r="K18" s="283"/>
      <c r="L18" s="283"/>
      <c r="M18" s="283"/>
    </row>
    <row r="19" spans="1:15" ht="12" customHeight="1" x14ac:dyDescent="0.2">
      <c r="A19" s="273"/>
      <c r="B19" s="273"/>
      <c r="C19" s="369" t="s">
        <v>25</v>
      </c>
      <c r="D19" s="89">
        <f ca="1">'8'!E22</f>
        <v>31547.5</v>
      </c>
      <c r="E19" s="96">
        <f ca="1">'8'!F22</f>
        <v>337018.98849000013</v>
      </c>
      <c r="F19" s="333">
        <f t="shared" ca="1" si="2"/>
        <v>4.6481924540594674E-2</v>
      </c>
      <c r="G19" s="688">
        <f t="shared" ca="1" si="3"/>
        <v>0.19785318585851697</v>
      </c>
      <c r="H19" s="96">
        <f ca="1">'8'!I22</f>
        <v>26336.699999999997</v>
      </c>
      <c r="I19" s="96">
        <f ca="1">'8'!J22</f>
        <v>279901.50859999994</v>
      </c>
      <c r="J19" s="351">
        <f t="shared" ca="1" si="1"/>
        <v>4.7491557803179658E-2</v>
      </c>
      <c r="K19" s="286"/>
      <c r="L19" s="286"/>
      <c r="M19" s="283"/>
    </row>
    <row r="20" spans="1:15" ht="12" customHeight="1" x14ac:dyDescent="0.2">
      <c r="A20" s="273"/>
      <c r="B20" s="273"/>
      <c r="C20" s="369" t="s">
        <v>3</v>
      </c>
      <c r="D20" s="89">
        <f ca="1">'8'!E29</f>
        <v>74686.7</v>
      </c>
      <c r="E20" s="96">
        <f ca="1">'8'!F29</f>
        <v>797142.74599996163</v>
      </c>
      <c r="F20" s="333">
        <f t="shared" ca="1" si="2"/>
        <v>0.11004300035140761</v>
      </c>
      <c r="G20" s="688">
        <f t="shared" ca="1" si="3"/>
        <v>0.29978966738090701</v>
      </c>
      <c r="H20" s="96">
        <f ca="1">'8'!I29</f>
        <v>57460.604491874954</v>
      </c>
      <c r="I20" s="96">
        <f ca="1">'8'!J29</f>
        <v>609877.03515991801</v>
      </c>
      <c r="J20" s="351">
        <f t="shared" ca="1" si="1"/>
        <v>0.10361562457071403</v>
      </c>
      <c r="K20" s="283"/>
      <c r="L20" s="283"/>
      <c r="M20" s="283"/>
      <c r="N20" s="283"/>
      <c r="O20" s="283"/>
    </row>
    <row r="21" spans="1:15" ht="12" customHeight="1" x14ac:dyDescent="0.2">
      <c r="A21" s="273"/>
      <c r="B21" s="273"/>
      <c r="C21" s="369" t="s">
        <v>26</v>
      </c>
      <c r="D21" s="89">
        <f ca="1">'8'!E36</f>
        <v>84761.076000000001</v>
      </c>
      <c r="E21" s="96">
        <f ca="1">'8'!F36</f>
        <v>905471.9186900002</v>
      </c>
      <c r="F21" s="333">
        <f t="shared" ca="1" si="2"/>
        <v>0.12488653422970473</v>
      </c>
      <c r="G21" s="688">
        <f t="shared" ca="1" si="3"/>
        <v>4.7948525857059901E-2</v>
      </c>
      <c r="H21" s="96">
        <f ca="1">'8'!I36</f>
        <v>80882.861999999994</v>
      </c>
      <c r="I21" s="96">
        <f ca="1">'8'!J36</f>
        <v>859581.03054299997</v>
      </c>
      <c r="J21" s="351">
        <f t="shared" ca="1" si="1"/>
        <v>0.14585172462607707</v>
      </c>
      <c r="K21" s="283"/>
      <c r="L21" s="283"/>
      <c r="M21" s="283"/>
      <c r="N21" s="283"/>
      <c r="O21" s="283"/>
    </row>
    <row r="22" spans="1:15" ht="12" customHeight="1" x14ac:dyDescent="0.2">
      <c r="A22" s="273"/>
      <c r="B22" s="273"/>
      <c r="C22" s="369" t="s">
        <v>27</v>
      </c>
      <c r="D22" s="89">
        <f ca="1">'8'!E43</f>
        <v>90234.125</v>
      </c>
      <c r="E22" s="96">
        <f ca="1">'8'!F43</f>
        <v>963370.99765999976</v>
      </c>
      <c r="F22" s="333">
        <f t="shared" ca="1" si="2"/>
        <v>0.13295049652861834</v>
      </c>
      <c r="G22" s="688">
        <f t="shared" ca="1" si="3"/>
        <v>0.60131370576511012</v>
      </c>
      <c r="H22" s="96">
        <f ca="1">'8'!I43</f>
        <v>56350.060999999994</v>
      </c>
      <c r="I22" s="96">
        <f ca="1">'8'!J43</f>
        <v>598877.52139499993</v>
      </c>
      <c r="J22" s="351">
        <f t="shared" ca="1" si="1"/>
        <v>0.10161304108693192</v>
      </c>
      <c r="K22" s="283"/>
      <c r="L22" s="283"/>
      <c r="M22" s="283"/>
      <c r="N22" s="283"/>
      <c r="O22" s="283"/>
    </row>
    <row r="23" spans="1:15" ht="12" customHeight="1" x14ac:dyDescent="0.2">
      <c r="A23" s="273"/>
      <c r="B23" s="273"/>
      <c r="C23" s="369" t="s">
        <v>28</v>
      </c>
      <c r="D23" s="89">
        <f ca="1">'8'!E50</f>
        <v>28544.457000000002</v>
      </c>
      <c r="E23" s="96">
        <f ca="1">'8'!F50</f>
        <v>304915.40159000002</v>
      </c>
      <c r="F23" s="333">
        <f t="shared" ca="1" si="2"/>
        <v>4.2057256401497725E-2</v>
      </c>
      <c r="G23" s="688">
        <f t="shared" ca="1" si="3"/>
        <v>0.16900884470610766</v>
      </c>
      <c r="H23" s="96">
        <f ca="1">'8'!I50</f>
        <v>24417.656999999999</v>
      </c>
      <c r="I23" s="96">
        <f ca="1">'8'!J50</f>
        <v>259456.32500600003</v>
      </c>
      <c r="J23" s="351">
        <f t="shared" ca="1" si="1"/>
        <v>4.4031050542919746E-2</v>
      </c>
      <c r="K23" s="283"/>
      <c r="L23" s="283"/>
      <c r="M23" s="283"/>
      <c r="N23" s="283"/>
      <c r="O23" s="283"/>
    </row>
    <row r="24" spans="1:15" ht="12" customHeight="1" x14ac:dyDescent="0.2">
      <c r="A24" s="273"/>
      <c r="B24" s="273"/>
      <c r="C24" s="369" t="s">
        <v>29</v>
      </c>
      <c r="D24" s="89">
        <f ca="1">'8'!E57</f>
        <v>34162.1</v>
      </c>
      <c r="E24" s="96">
        <f ca="1">'8'!F57</f>
        <v>364950.24072999996</v>
      </c>
      <c r="F24" s="333">
        <f ca="1">D24/$D$25</f>
        <v>5.0334262757690755E-2</v>
      </c>
      <c r="G24" s="688">
        <f t="shared" ca="1" si="3"/>
        <v>0.13734531423225593</v>
      </c>
      <c r="H24" s="96">
        <f ca="1">'8'!I57</f>
        <v>30036.699999999997</v>
      </c>
      <c r="I24" s="96">
        <f ca="1">'8'!J57</f>
        <v>319223.82387299999</v>
      </c>
      <c r="J24" s="351">
        <f t="shared" ca="1" si="1"/>
        <v>5.4163569250011069E-2</v>
      </c>
      <c r="K24" s="283"/>
      <c r="L24" s="283"/>
      <c r="M24" s="283"/>
      <c r="N24" s="283"/>
      <c r="O24" s="283"/>
    </row>
    <row r="25" spans="1:15" ht="12" customHeight="1" x14ac:dyDescent="0.2">
      <c r="A25" s="432"/>
      <c r="B25" s="432"/>
      <c r="C25" s="427" t="s">
        <v>2</v>
      </c>
      <c r="D25" s="428">
        <f ca="1">SUM(D11:D24)</f>
        <v>678704.68599999999</v>
      </c>
      <c r="E25" s="429">
        <f ca="1">SUM(E11:E24)</f>
        <v>7248840.3584599607</v>
      </c>
      <c r="F25" s="430">
        <f ca="1">SUM(F11:F24)</f>
        <v>0.99999999999999989</v>
      </c>
      <c r="G25" s="689">
        <f ca="1">(D25-H25)/H25</f>
        <v>0.22387173892165319</v>
      </c>
      <c r="H25" s="429">
        <f ca="1">SUM(H11:H24)</f>
        <v>554555.40349187492</v>
      </c>
      <c r="I25" s="429">
        <f ca="1">SUM(I11:I24)</f>
        <v>5892369.9346669177</v>
      </c>
      <c r="J25" s="431">
        <f ca="1">SUM(J11:J24)</f>
        <v>1.0000000000000002</v>
      </c>
      <c r="K25" s="286"/>
      <c r="M25" s="283"/>
      <c r="N25" s="283"/>
      <c r="O25" s="283"/>
    </row>
    <row r="26" spans="1:15" ht="12" customHeight="1" x14ac:dyDescent="0.2">
      <c r="A26" s="432"/>
      <c r="B26" s="432"/>
      <c r="C26" s="369" t="s">
        <v>162</v>
      </c>
      <c r="D26" s="247">
        <f ca="1">'5'!E16</f>
        <v>13672.544900063429</v>
      </c>
      <c r="E26" s="173">
        <f ca="1">'5'!F16</f>
        <v>146292.19937000002</v>
      </c>
      <c r="F26" s="346"/>
      <c r="G26" s="688">
        <f t="shared" ca="1" si="3"/>
        <v>0.1324135135142602</v>
      </c>
      <c r="H26" s="173">
        <f ca="1">'5'!I16</f>
        <v>12073.809378725022</v>
      </c>
      <c r="I26" s="173">
        <f ca="1">'5'!J16</f>
        <v>128391.10337000003</v>
      </c>
      <c r="J26" s="361"/>
      <c r="K26" s="286"/>
      <c r="M26" s="283"/>
      <c r="N26" s="283"/>
      <c r="O26" s="283"/>
    </row>
    <row r="27" spans="1:15" ht="12" customHeight="1" x14ac:dyDescent="0.2">
      <c r="A27" s="432"/>
      <c r="B27" s="432"/>
      <c r="C27" s="370" t="s">
        <v>5</v>
      </c>
      <c r="D27" s="250">
        <f ca="1">SUM(D25:D26)</f>
        <v>692377.23090006341</v>
      </c>
      <c r="E27" s="251">
        <f ca="1">SUM(E25:E26)</f>
        <v>7395132.5578299602</v>
      </c>
      <c r="F27" s="335"/>
      <c r="G27" s="317">
        <f t="shared" ca="1" si="3"/>
        <v>0.22192293509261818</v>
      </c>
      <c r="H27" s="285">
        <f ca="1">SUM(H25:H26)</f>
        <v>566629.21287059993</v>
      </c>
      <c r="I27" s="251">
        <f ca="1">SUM(I25:I26)</f>
        <v>6020761.0380369173</v>
      </c>
      <c r="J27" s="353"/>
    </row>
    <row r="28" spans="1:15" ht="12" customHeight="1" x14ac:dyDescent="0.2">
      <c r="A28" s="291"/>
      <c r="B28" s="267"/>
      <c r="C28" s="256"/>
      <c r="D28" s="487"/>
      <c r="E28" s="376"/>
      <c r="F28" s="377"/>
      <c r="G28" s="378"/>
      <c r="H28" s="379"/>
      <c r="I28" s="376"/>
      <c r="J28" s="380"/>
    </row>
    <row r="29" spans="1:15" ht="12" customHeight="1" x14ac:dyDescent="0.2">
      <c r="A29" s="829"/>
      <c r="B29" s="829"/>
      <c r="C29" s="829"/>
      <c r="D29" s="488"/>
      <c r="E29" s="174"/>
      <c r="F29" s="337"/>
      <c r="G29" s="319"/>
      <c r="H29" s="297"/>
      <c r="I29" s="298"/>
      <c r="J29" s="355"/>
    </row>
    <row r="30" spans="1:15" ht="4.5" customHeight="1" x14ac:dyDescent="0.2"/>
    <row r="31" spans="1:15" ht="12" customHeight="1" x14ac:dyDescent="0.2">
      <c r="A31" s="853" t="s">
        <v>227</v>
      </c>
      <c r="B31" s="853"/>
      <c r="C31" s="853"/>
      <c r="D31" s="853"/>
      <c r="E31" s="853"/>
      <c r="F31" s="853"/>
      <c r="G31" s="853"/>
      <c r="H31" s="853"/>
      <c r="I31" s="853"/>
      <c r="J31" s="853"/>
    </row>
    <row r="32" spans="1:15" ht="12" customHeight="1" x14ac:dyDescent="0.2">
      <c r="A32" s="273"/>
      <c r="B32" s="273"/>
      <c r="C32" s="273"/>
      <c r="D32" s="854" t="str">
        <f>D7</f>
        <v>Říjen</v>
      </c>
      <c r="E32" s="854"/>
      <c r="F32" s="273"/>
      <c r="G32" s="273"/>
      <c r="H32" s="273"/>
      <c r="I32" s="273"/>
      <c r="J32" s="273"/>
    </row>
    <row r="33" spans="1:10" ht="12" customHeight="1" x14ac:dyDescent="0.2">
      <c r="A33" s="273"/>
      <c r="B33" s="273"/>
      <c r="C33" s="273"/>
      <c r="D33" s="273"/>
      <c r="E33" s="273"/>
      <c r="F33" s="273"/>
      <c r="G33" s="273"/>
      <c r="H33" s="273"/>
      <c r="I33" s="273"/>
      <c r="J33" s="273"/>
    </row>
    <row r="34" spans="1:10" ht="12" customHeight="1" x14ac:dyDescent="0.2">
      <c r="A34" s="273"/>
      <c r="B34" s="273"/>
      <c r="C34" s="273"/>
      <c r="D34" s="273"/>
      <c r="E34" s="273"/>
      <c r="F34" s="273"/>
      <c r="G34" s="273"/>
      <c r="H34" s="273"/>
      <c r="I34" s="273"/>
      <c r="J34" s="273"/>
    </row>
    <row r="35" spans="1:10" ht="12" customHeight="1" x14ac:dyDescent="0.2">
      <c r="A35" s="273"/>
      <c r="B35" s="273"/>
      <c r="C35" s="273"/>
      <c r="D35" s="273"/>
      <c r="E35" s="273"/>
      <c r="F35" s="273"/>
      <c r="G35" s="273"/>
      <c r="H35" s="273"/>
      <c r="I35" s="273"/>
      <c r="J35" s="273"/>
    </row>
    <row r="36" spans="1:10" ht="12" customHeight="1" x14ac:dyDescent="0.2">
      <c r="A36" s="273"/>
      <c r="B36" s="273"/>
      <c r="C36" s="273"/>
      <c r="D36" s="273"/>
      <c r="E36" s="273"/>
      <c r="F36" s="273"/>
      <c r="G36" s="273"/>
      <c r="H36" s="273"/>
      <c r="I36" s="273"/>
      <c r="J36" s="273"/>
    </row>
    <row r="37" spans="1:10" ht="12" customHeight="1" x14ac:dyDescent="0.2">
      <c r="A37" s="273"/>
      <c r="B37" s="273"/>
      <c r="C37" s="273"/>
      <c r="D37" s="273"/>
      <c r="E37" s="273"/>
      <c r="F37" s="273"/>
      <c r="G37" s="273"/>
      <c r="H37" s="273"/>
      <c r="I37" s="273"/>
      <c r="J37" s="273"/>
    </row>
    <row r="38" spans="1:10" ht="12" customHeight="1" x14ac:dyDescent="0.2">
      <c r="A38" s="273"/>
      <c r="B38" s="273"/>
      <c r="C38" s="273"/>
      <c r="D38" s="273"/>
      <c r="E38" s="273"/>
      <c r="F38" s="273"/>
      <c r="G38" s="273"/>
      <c r="H38" s="273"/>
      <c r="I38" s="273"/>
      <c r="J38" s="273"/>
    </row>
    <row r="39" spans="1:10" ht="12" customHeight="1" x14ac:dyDescent="0.2">
      <c r="A39" s="273"/>
      <c r="B39" s="273"/>
      <c r="C39" s="273"/>
      <c r="D39" s="273"/>
      <c r="E39" s="273"/>
      <c r="F39" s="273"/>
      <c r="G39" s="273"/>
      <c r="H39" s="273"/>
      <c r="I39" s="273"/>
      <c r="J39" s="273"/>
    </row>
    <row r="40" spans="1:10" ht="12" customHeight="1" x14ac:dyDescent="0.2">
      <c r="A40" s="273"/>
      <c r="B40" s="273"/>
      <c r="C40" s="273"/>
      <c r="D40" s="273"/>
      <c r="E40" s="273"/>
      <c r="F40" s="273"/>
      <c r="G40" s="273"/>
      <c r="H40" s="273"/>
      <c r="I40" s="273"/>
      <c r="J40" s="273"/>
    </row>
    <row r="41" spans="1:10" ht="12" customHeight="1" x14ac:dyDescent="0.2">
      <c r="A41" s="273"/>
      <c r="B41" s="273"/>
      <c r="C41" s="273"/>
      <c r="D41" s="273"/>
      <c r="E41" s="273"/>
      <c r="F41" s="273"/>
      <c r="G41" s="273"/>
      <c r="H41" s="273"/>
      <c r="I41" s="273"/>
      <c r="J41" s="273"/>
    </row>
    <row r="42" spans="1:10" ht="12" customHeight="1" x14ac:dyDescent="0.2">
      <c r="A42" s="273"/>
      <c r="B42" s="273"/>
      <c r="C42" s="273"/>
      <c r="D42" s="273"/>
      <c r="E42" s="273"/>
      <c r="F42" s="273"/>
      <c r="G42" s="273"/>
      <c r="H42" s="273"/>
      <c r="I42" s="273"/>
      <c r="J42" s="273"/>
    </row>
    <row r="43" spans="1:10" ht="12" customHeight="1" x14ac:dyDescent="0.2">
      <c r="A43" s="273"/>
      <c r="B43" s="273"/>
      <c r="C43" s="273"/>
      <c r="D43" s="273"/>
      <c r="E43" s="273"/>
      <c r="F43" s="273"/>
      <c r="G43" s="273"/>
      <c r="H43" s="273"/>
      <c r="I43" s="273"/>
      <c r="J43" s="273"/>
    </row>
    <row r="44" spans="1:10" ht="12" customHeight="1" x14ac:dyDescent="0.2">
      <c r="A44" s="273"/>
      <c r="B44" s="273"/>
      <c r="C44" s="273"/>
      <c r="D44" s="273"/>
      <c r="E44" s="273"/>
      <c r="F44" s="273"/>
      <c r="G44" s="273"/>
      <c r="H44" s="273"/>
      <c r="I44" s="273"/>
      <c r="J44" s="273"/>
    </row>
    <row r="45" spans="1:10" ht="12" customHeight="1" x14ac:dyDescent="0.2">
      <c r="A45" s="273"/>
      <c r="B45" s="273"/>
      <c r="C45" s="273"/>
      <c r="D45" s="274"/>
      <c r="E45" s="273"/>
      <c r="F45" s="275"/>
      <c r="G45" s="848" t="s">
        <v>225</v>
      </c>
      <c r="H45" s="275"/>
      <c r="I45" s="275"/>
      <c r="J45" s="275"/>
    </row>
    <row r="46" spans="1:10" ht="12" customHeight="1" x14ac:dyDescent="0.25">
      <c r="A46" s="270"/>
      <c r="B46" s="126"/>
      <c r="C46" s="273"/>
      <c r="D46" s="263" t="str">
        <f>D7</f>
        <v>Říjen</v>
      </c>
      <c r="E46" s="264">
        <f>E7</f>
        <v>2015</v>
      </c>
      <c r="F46" s="264"/>
      <c r="G46" s="849"/>
      <c r="H46" s="397" t="str">
        <f>H7</f>
        <v>Říjen</v>
      </c>
      <c r="I46" s="259">
        <f>I7</f>
        <v>2014</v>
      </c>
      <c r="J46" s="275"/>
    </row>
    <row r="47" spans="1:10" ht="12" customHeight="1" x14ac:dyDescent="0.25">
      <c r="A47" s="277"/>
      <c r="B47" s="278"/>
      <c r="C47" s="262"/>
      <c r="D47" s="839" t="s">
        <v>224</v>
      </c>
      <c r="E47" s="793"/>
      <c r="F47" s="425"/>
      <c r="G47" s="849"/>
      <c r="H47" s="840" t="s">
        <v>224</v>
      </c>
      <c r="I47" s="793"/>
      <c r="J47" s="87"/>
    </row>
    <row r="48" spans="1:10" ht="12" customHeight="1" x14ac:dyDescent="0.2">
      <c r="A48" s="277"/>
      <c r="B48" s="371"/>
      <c r="D48" s="433" t="s">
        <v>69</v>
      </c>
      <c r="E48" s="348" t="s">
        <v>126</v>
      </c>
      <c r="F48" s="393" t="s">
        <v>127</v>
      </c>
      <c r="G48" s="831"/>
      <c r="H48" s="418" t="s">
        <v>69</v>
      </c>
      <c r="I48" s="373" t="s">
        <v>126</v>
      </c>
      <c r="J48" s="373" t="s">
        <v>127</v>
      </c>
    </row>
    <row r="49" spans="1:10" ht="12" customHeight="1" x14ac:dyDescent="0.2">
      <c r="A49" s="249"/>
      <c r="B49" s="372"/>
      <c r="C49" s="372"/>
      <c r="D49" s="434" t="s">
        <v>14</v>
      </c>
      <c r="E49" s="349" t="s">
        <v>14</v>
      </c>
      <c r="F49" s="265" t="s">
        <v>14</v>
      </c>
      <c r="G49" s="434" t="s">
        <v>14</v>
      </c>
      <c r="H49" s="419" t="s">
        <v>14</v>
      </c>
      <c r="I49" s="265" t="s">
        <v>14</v>
      </c>
      <c r="J49" s="265" t="s">
        <v>14</v>
      </c>
    </row>
    <row r="50" spans="1:10" ht="12" customHeight="1" x14ac:dyDescent="0.2">
      <c r="A50" s="833" t="s">
        <v>4</v>
      </c>
      <c r="B50" s="833"/>
      <c r="C50" s="364"/>
      <c r="D50" s="485"/>
      <c r="E50" s="350"/>
      <c r="F50" s="394"/>
      <c r="G50" s="314"/>
      <c r="H50" s="420"/>
      <c r="I50" s="360"/>
      <c r="J50" s="364"/>
    </row>
    <row r="51" spans="1:10" ht="12" customHeight="1" x14ac:dyDescent="0.2">
      <c r="A51" s="95"/>
      <c r="B51" s="95"/>
      <c r="C51" s="369" t="s">
        <v>17</v>
      </c>
      <c r="D51" s="414">
        <f ca="1">INDEX([5]MZ!D3:BK3,1,5*T!$A$4-4)</f>
        <v>7.6741935483870991</v>
      </c>
      <c r="E51" s="439">
        <f ca="1">INDEX([5]MZ!E3:BL3,1,5*T!$A$4-4)</f>
        <v>12.7</v>
      </c>
      <c r="F51" s="401">
        <f ca="1">INDEX([5]MZ!F3:BM3,1,5*T!$A$4-4)</f>
        <v>2</v>
      </c>
      <c r="G51" s="437">
        <f ca="1">D51-H51</f>
        <v>-2.4741935483870963</v>
      </c>
      <c r="H51" s="421">
        <f ca="1">INDEX([6]MZ!D3:BK3,1,5*T!$A$4-4)</f>
        <v>10.148387096774195</v>
      </c>
      <c r="I51" s="439">
        <f ca="1">INDEX([6]MZ!E3:BL3,1,5*T!$A$4-4)</f>
        <v>14.8</v>
      </c>
      <c r="J51" s="403">
        <f ca="1">INDEX([6]MZ!F3:BM3,1,5*T!$A$4-4)</f>
        <v>3.7</v>
      </c>
    </row>
    <row r="52" spans="1:10" ht="12" customHeight="1" x14ac:dyDescent="0.2">
      <c r="A52" s="95"/>
      <c r="B52" s="95"/>
      <c r="C52" s="369" t="s">
        <v>18</v>
      </c>
      <c r="D52" s="414">
        <f ca="1">INDEX([5]MZ!D4:BK4,1,5*T!$A$4-4)</f>
        <v>9.1516129032258071</v>
      </c>
      <c r="E52" s="439">
        <f ca="1">INDEX([5]MZ!E4:BL4,1,5*T!$A$4-4)</f>
        <v>15.2</v>
      </c>
      <c r="F52" s="401">
        <f ca="1">INDEX([5]MZ!F4:BM4,1,5*T!$A$4-4)</f>
        <v>2.6</v>
      </c>
      <c r="G52" s="437">
        <f t="shared" ref="G52:G65" ca="1" si="4">D52-H52</f>
        <v>-1.8612903225806416</v>
      </c>
      <c r="H52" s="421">
        <f ca="1">INDEX([6]MZ!D4:BK4,1,5*T!$A$4-4)</f>
        <v>11.012903225806449</v>
      </c>
      <c r="I52" s="439">
        <f ca="1">INDEX([6]MZ!E4:BL4,1,5*T!$A$4-4)</f>
        <v>15.5</v>
      </c>
      <c r="J52" s="403">
        <f ca="1">INDEX([6]MZ!F4:BM4,1,5*T!$A$4-4)</f>
        <v>3</v>
      </c>
    </row>
    <row r="53" spans="1:10" ht="12" customHeight="1" x14ac:dyDescent="0.2">
      <c r="A53" s="291"/>
      <c r="B53" s="267"/>
      <c r="C53" s="369" t="s">
        <v>19</v>
      </c>
      <c r="D53" s="414">
        <f ca="1">INDEX([5]MZ!D5:BK5,1,5*T!$A$4-4)</f>
        <v>6.5612903225806463</v>
      </c>
      <c r="E53" s="439">
        <f ca="1">INDEX([5]MZ!E5:BL5,1,5*T!$A$4-4)</f>
        <v>12.6</v>
      </c>
      <c r="F53" s="401">
        <f ca="1">INDEX([5]MZ!F5:BM5,1,5*T!$A$4-4)</f>
        <v>0.6</v>
      </c>
      <c r="G53" s="437">
        <f t="shared" ca="1" si="4"/>
        <v>-3.0806451612903238</v>
      </c>
      <c r="H53" s="421">
        <f ca="1">INDEX([6]MZ!D5:BK5,1,5*T!$A$4-4)</f>
        <v>9.6419354838709701</v>
      </c>
      <c r="I53" s="439">
        <f ca="1">INDEX([6]MZ!E5:BL5,1,5*T!$A$4-4)</f>
        <v>13.9</v>
      </c>
      <c r="J53" s="403">
        <f ca="1">INDEX([6]MZ!F5:BM5,1,5*T!$A$4-4)</f>
        <v>3</v>
      </c>
    </row>
    <row r="54" spans="1:10" ht="12" customHeight="1" x14ac:dyDescent="0.2">
      <c r="A54" s="291"/>
      <c r="B54" s="267"/>
      <c r="C54" s="369" t="s">
        <v>20</v>
      </c>
      <c r="D54" s="414">
        <f ca="1">INDEX([5]MZ!D6:BK6,1,5*T!$A$4-4)</f>
        <v>8.1258064516129025</v>
      </c>
      <c r="E54" s="439">
        <f ca="1">INDEX([5]MZ!E6:BL6,1,5*T!$A$4-4)</f>
        <v>13.9</v>
      </c>
      <c r="F54" s="401">
        <f ca="1">INDEX([5]MZ!F6:BM6,1,5*T!$A$4-4)</f>
        <v>1.7</v>
      </c>
      <c r="G54" s="437">
        <f t="shared" ca="1" si="4"/>
        <v>-1.8806451612903246</v>
      </c>
      <c r="H54" s="421">
        <f ca="1">INDEX([6]MZ!D6:BK6,1,5*T!$A$4-4)</f>
        <v>10.006451612903227</v>
      </c>
      <c r="I54" s="439">
        <f ca="1">INDEX([6]MZ!E6:BL6,1,5*T!$A$4-4)</f>
        <v>15.1</v>
      </c>
      <c r="J54" s="403">
        <f ca="1">INDEX([6]MZ!F6:BM6,1,5*T!$A$4-4)</f>
        <v>3.9</v>
      </c>
    </row>
    <row r="55" spans="1:10" ht="12" customHeight="1" x14ac:dyDescent="0.2">
      <c r="A55" s="291"/>
      <c r="B55" s="267"/>
      <c r="C55" s="369" t="s">
        <v>21</v>
      </c>
      <c r="D55" s="414">
        <f ca="1">INDEX([5]MZ!D7:BK7,1,5*T!$A$4-4)</f>
        <v>7.91290322580645</v>
      </c>
      <c r="E55" s="439">
        <f ca="1">INDEX([5]MZ!E7:BL7,1,5*T!$A$4-4)</f>
        <v>14.1</v>
      </c>
      <c r="F55" s="401">
        <f ca="1">INDEX([5]MZ!F7:BM7,1,5*T!$A$4-4)</f>
        <v>1.2</v>
      </c>
      <c r="G55" s="437">
        <f t="shared" ca="1" si="4"/>
        <v>-2.4838709677419351</v>
      </c>
      <c r="H55" s="442">
        <f ca="1">INDEX([6]MZ!D7:BK7,1,5*T!$A$4-4)</f>
        <v>10.396774193548385</v>
      </c>
      <c r="I55" s="440">
        <f ca="1">INDEX([6]MZ!E7:BL7,1,5*T!$A$4-4)</f>
        <v>15.4</v>
      </c>
      <c r="J55" s="403">
        <f ca="1">INDEX([6]MZ!F7:BM7,1,5*T!$A$4-4)</f>
        <v>4.7</v>
      </c>
    </row>
    <row r="56" spans="1:10" ht="12" customHeight="1" x14ac:dyDescent="0.2">
      <c r="A56" s="273"/>
      <c r="B56" s="273"/>
      <c r="C56" s="369" t="s">
        <v>22</v>
      </c>
      <c r="D56" s="414">
        <f ca="1">INDEX([5]MZ!D8:BK8,1,5*T!$A$4-4)</f>
        <v>8.0193548387096794</v>
      </c>
      <c r="E56" s="439">
        <f ca="1">INDEX([5]MZ!E8:BL8,1,5*T!$A$4-4)</f>
        <v>15.1</v>
      </c>
      <c r="F56" s="401">
        <f ca="1">INDEX([5]MZ!F8:BM8,1,5*T!$A$4-4)</f>
        <v>1.3</v>
      </c>
      <c r="G56" s="437">
        <f t="shared" ca="1" si="4"/>
        <v>-2.196774193548384</v>
      </c>
      <c r="H56" s="442">
        <f ca="1">INDEX([6]MZ!D8:BK8,1,5*T!$A$4-4)</f>
        <v>10.216129032258063</v>
      </c>
      <c r="I56" s="440">
        <f ca="1">INDEX([6]MZ!E8:BL8,1,5*T!$A$4-4)</f>
        <v>16.399999999999999</v>
      </c>
      <c r="J56" s="403">
        <f ca="1">INDEX([6]MZ!F8:BM8,1,5*T!$A$4-4)</f>
        <v>2.8</v>
      </c>
    </row>
    <row r="57" spans="1:10" ht="12" customHeight="1" x14ac:dyDescent="0.2">
      <c r="A57" s="273"/>
      <c r="B57" s="273"/>
      <c r="C57" s="369" t="s">
        <v>23</v>
      </c>
      <c r="D57" s="414">
        <f ca="1">INDEX([5]MZ!D9:BK9,1,5*T!$A$4-4)</f>
        <v>8.0129032258064523</v>
      </c>
      <c r="E57" s="439">
        <f ca="1">INDEX([5]MZ!E9:BL9,1,5*T!$A$4-4)</f>
        <v>14</v>
      </c>
      <c r="F57" s="401">
        <f ca="1">INDEX([5]MZ!F9:BM9,1,5*T!$A$4-4)</f>
        <v>1.4</v>
      </c>
      <c r="G57" s="437">
        <f t="shared" ca="1" si="4"/>
        <v>-1.7645161290322573</v>
      </c>
      <c r="H57" s="442">
        <f ca="1">INDEX([6]MZ!D9:BK9,1,5*T!$A$4-4)</f>
        <v>9.7774193548387096</v>
      </c>
      <c r="I57" s="440">
        <f ca="1">INDEX([6]MZ!E9:BL9,1,5*T!$A$4-4)</f>
        <v>14.9</v>
      </c>
      <c r="J57" s="403">
        <f ca="1">INDEX([6]MZ!F9:BM9,1,5*T!$A$4-4)</f>
        <v>2.1</v>
      </c>
    </row>
    <row r="58" spans="1:10" ht="12" customHeight="1" x14ac:dyDescent="0.2">
      <c r="A58" s="273"/>
      <c r="B58" s="273"/>
      <c r="C58" s="369" t="s">
        <v>24</v>
      </c>
      <c r="D58" s="414">
        <f ca="1">INDEX([5]MZ!D10:BK10,1,5*T!$A$4-4)</f>
        <v>8.1000000000000014</v>
      </c>
      <c r="E58" s="439">
        <f ca="1">INDEX([5]MZ!E10:BL10,1,5*T!$A$4-4)</f>
        <v>13.9</v>
      </c>
      <c r="F58" s="401">
        <f ca="1">INDEX([5]MZ!F10:BM10,1,5*T!$A$4-4)</f>
        <v>1.4</v>
      </c>
      <c r="G58" s="437">
        <f t="shared" ca="1" si="4"/>
        <v>-1.8129032258064512</v>
      </c>
      <c r="H58" s="442">
        <f ca="1">INDEX([6]MZ!D10:BK10,1,5*T!$A$4-4)</f>
        <v>9.9129032258064527</v>
      </c>
      <c r="I58" s="440">
        <f ca="1">INDEX([6]MZ!E10:BL10,1,5*T!$A$4-4)</f>
        <v>14.2</v>
      </c>
      <c r="J58" s="403">
        <f ca="1">INDEX([6]MZ!F10:BM10,1,5*T!$A$4-4)</f>
        <v>2.7</v>
      </c>
    </row>
    <row r="59" spans="1:10" ht="12" customHeight="1" x14ac:dyDescent="0.2">
      <c r="A59" s="273"/>
      <c r="B59" s="273"/>
      <c r="C59" s="369" t="s">
        <v>25</v>
      </c>
      <c r="D59" s="414">
        <f ca="1">INDEX([5]MZ!D11:BK11,1,5*T!$A$4-4)</f>
        <v>7.9290322580645158</v>
      </c>
      <c r="E59" s="439">
        <f ca="1">INDEX([5]MZ!E11:BL11,1,5*T!$A$4-4)</f>
        <v>13.5</v>
      </c>
      <c r="F59" s="401">
        <f ca="1">INDEX([5]MZ!F11:BM11,1,5*T!$A$4-4)</f>
        <v>1.7</v>
      </c>
      <c r="G59" s="437">
        <f t="shared" ca="1" si="4"/>
        <v>-2.6774193548387109</v>
      </c>
      <c r="H59" s="442">
        <f ca="1">INDEX([6]MZ!D11:BK11,1,5*T!$A$4-4)</f>
        <v>10.606451612903227</v>
      </c>
      <c r="I59" s="440">
        <f ca="1">INDEX([6]MZ!E11:BL11,1,5*T!$A$4-4)</f>
        <v>14.9</v>
      </c>
      <c r="J59" s="403">
        <f ca="1">INDEX([6]MZ!F11:BM11,1,5*T!$A$4-4)</f>
        <v>3.9</v>
      </c>
    </row>
    <row r="60" spans="1:10" ht="12" customHeight="1" x14ac:dyDescent="0.2">
      <c r="A60" s="273"/>
      <c r="B60" s="273"/>
      <c r="C60" s="369" t="s">
        <v>3</v>
      </c>
      <c r="D60" s="414">
        <f ca="1">INDEX([5]MZ!D12:BK12,1,5*T!$A$4-4)</f>
        <v>9.4806451612903224</v>
      </c>
      <c r="E60" s="439">
        <f ca="1">INDEX([5]MZ!E12:BL12,1,5*T!$A$4-4)</f>
        <v>14.7</v>
      </c>
      <c r="F60" s="401">
        <f ca="1">INDEX([5]MZ!F12:BM12,1,5*T!$A$4-4)</f>
        <v>3.4</v>
      </c>
      <c r="G60" s="437">
        <f t="shared" ca="1" si="4"/>
        <v>-2.2741935483870961</v>
      </c>
      <c r="H60" s="442">
        <f ca="1">INDEX([6]MZ!D12:BK12,1,5*T!$A$4-4)</f>
        <v>11.754838709677419</v>
      </c>
      <c r="I60" s="440">
        <f ca="1">INDEX([6]MZ!E12:BL12,1,5*T!$A$4-4)</f>
        <v>15.7</v>
      </c>
      <c r="J60" s="403">
        <f ca="1">INDEX([6]MZ!F12:BM12,1,5*T!$A$4-4)</f>
        <v>4.4000000000000004</v>
      </c>
    </row>
    <row r="61" spans="1:10" ht="12" customHeight="1" x14ac:dyDescent="0.2">
      <c r="A61" s="273"/>
      <c r="B61" s="273"/>
      <c r="C61" s="369" t="s">
        <v>26</v>
      </c>
      <c r="D61" s="414">
        <f ca="1">INDEX([5]MZ!D13:BK13,1,5*T!$A$4-4)</f>
        <v>8.4677419354838683</v>
      </c>
      <c r="E61" s="439">
        <f ca="1">INDEX([5]MZ!E13:BL13,1,5*T!$A$4-4)</f>
        <v>13.9</v>
      </c>
      <c r="F61" s="401">
        <f ca="1">INDEX([5]MZ!F13:BM13,1,5*T!$A$4-4)</f>
        <v>2.5</v>
      </c>
      <c r="G61" s="437">
        <f t="shared" ca="1" si="4"/>
        <v>-2.1741935483870964</v>
      </c>
      <c r="H61" s="442">
        <f ca="1">INDEX([6]MZ!D13:BK13,1,5*T!$A$4-4)</f>
        <v>10.641935483870965</v>
      </c>
      <c r="I61" s="440">
        <f ca="1">INDEX([6]MZ!E13:BL13,1,5*T!$A$4-4)</f>
        <v>15.1</v>
      </c>
      <c r="J61" s="403">
        <f ca="1">INDEX([6]MZ!F13:BM13,1,5*T!$A$4-4)</f>
        <v>3.1</v>
      </c>
    </row>
    <row r="62" spans="1:10" ht="12" customHeight="1" x14ac:dyDescent="0.2">
      <c r="A62" s="273"/>
      <c r="B62" s="273"/>
      <c r="C62" s="369" t="s">
        <v>27</v>
      </c>
      <c r="D62" s="414">
        <f ca="1">INDEX([5]MZ!D14:BK14,1,5*T!$A$4-4)</f>
        <v>8.3451612903225829</v>
      </c>
      <c r="E62" s="439">
        <f ca="1">INDEX([5]MZ!E14:BL14,1,5*T!$A$4-4)</f>
        <v>13.9</v>
      </c>
      <c r="F62" s="401">
        <f ca="1">INDEX([5]MZ!F14:BM14,1,5*T!$A$4-4)</f>
        <v>2.6</v>
      </c>
      <c r="G62" s="437">
        <f t="shared" ca="1" si="4"/>
        <v>-2.3870967741935463</v>
      </c>
      <c r="H62" s="442">
        <f ca="1">INDEX([6]MZ!D14:BK14,1,5*T!$A$4-4)</f>
        <v>10.732258064516129</v>
      </c>
      <c r="I62" s="440">
        <f ca="1">INDEX([6]MZ!E14:BL14,1,5*T!$A$4-4)</f>
        <v>14.8</v>
      </c>
      <c r="J62" s="403">
        <f ca="1">INDEX([6]MZ!F14:BM14,1,5*T!$A$4-4)</f>
        <v>3.4</v>
      </c>
    </row>
    <row r="63" spans="1:10" ht="12" customHeight="1" x14ac:dyDescent="0.2">
      <c r="A63" s="273"/>
      <c r="B63" s="273"/>
      <c r="C63" s="369" t="s">
        <v>28</v>
      </c>
      <c r="D63" s="414">
        <f ca="1">INDEX([5]MZ!D15:BK15,1,5*T!$A$4-4)</f>
        <v>7.7258064516129039</v>
      </c>
      <c r="E63" s="439">
        <f ca="1">INDEX([5]MZ!E15:BL15,1,5*T!$A$4-4)</f>
        <v>13</v>
      </c>
      <c r="F63" s="401">
        <f ca="1">INDEX([5]MZ!F15:BM15,1,5*T!$A$4-4)</f>
        <v>1.6</v>
      </c>
      <c r="G63" s="437">
        <f t="shared" ca="1" si="4"/>
        <v>-1.8967741935483868</v>
      </c>
      <c r="H63" s="442">
        <f ca="1">INDEX([6]MZ!D15:BK15,1,5*T!$A$4-4)</f>
        <v>9.6225806451612907</v>
      </c>
      <c r="I63" s="440">
        <f ca="1">INDEX([6]MZ!E15:BL15,1,5*T!$A$4-4)</f>
        <v>13.9</v>
      </c>
      <c r="J63" s="403">
        <f ca="1">INDEX([6]MZ!F15:BM15,1,5*T!$A$4-4)</f>
        <v>2.7</v>
      </c>
    </row>
    <row r="64" spans="1:10" ht="12" customHeight="1" x14ac:dyDescent="0.2">
      <c r="A64" s="273"/>
      <c r="B64" s="273"/>
      <c r="C64" s="369" t="s">
        <v>29</v>
      </c>
      <c r="D64" s="414">
        <f ca="1">INDEX([5]MZ!D16:BK16,1,5*T!$A$4-4)</f>
        <v>8.2935483870967737</v>
      </c>
      <c r="E64" s="439">
        <f ca="1">INDEX([5]MZ!E16:BL16,1,5*T!$A$4-4)</f>
        <v>14.6</v>
      </c>
      <c r="F64" s="401">
        <f ca="1">INDEX([5]MZ!F16:BM16,1,5*T!$A$4-4)</f>
        <v>1.8</v>
      </c>
      <c r="G64" s="437">
        <f t="shared" ca="1" si="4"/>
        <v>-1.8064516129032295</v>
      </c>
      <c r="H64" s="442">
        <f ca="1">INDEX([6]MZ!D16:BK16,1,5*T!$A$4-4)</f>
        <v>10.100000000000003</v>
      </c>
      <c r="I64" s="440">
        <f ca="1">INDEX([6]MZ!E16:BL16,1,5*T!$A$4-4)</f>
        <v>16</v>
      </c>
      <c r="J64" s="403">
        <f ca="1">INDEX([6]MZ!F16:BM16,1,5*T!$A$4-4)</f>
        <v>2.6</v>
      </c>
    </row>
    <row r="65" spans="1:10" ht="12" customHeight="1" x14ac:dyDescent="0.2">
      <c r="A65" s="432"/>
      <c r="B65" s="432"/>
      <c r="C65" s="370" t="s">
        <v>2</v>
      </c>
      <c r="D65" s="415">
        <f ca="1">INDEX([5]MZ!D17:BK17,1,5*T!$A$4-4)</f>
        <v>8.1580645161290342</v>
      </c>
      <c r="E65" s="441">
        <f ca="1">INDEX([5]MZ!E17:BL17,1,5*T!$A$4-4)</f>
        <v>13.4</v>
      </c>
      <c r="F65" s="405">
        <f ca="1">INDEX([5]MZ!F17:BM17,1,5*T!$A$4-4)</f>
        <v>2.1</v>
      </c>
      <c r="G65" s="438">
        <f t="shared" ca="1" si="4"/>
        <v>-2.1032258064516114</v>
      </c>
      <c r="H65" s="422">
        <f ca="1">INDEX([6]MZ!D17:BK17,1,5*T!$A$4-4)</f>
        <v>10.261290322580646</v>
      </c>
      <c r="I65" s="441">
        <f ca="1">INDEX([6]MZ!E17:BL17,1,5*T!$A$4-4)</f>
        <v>14.5</v>
      </c>
      <c r="J65" s="407">
        <f ca="1">INDEX([6]MZ!F17:BM17,1,5*T!$A$4-4)</f>
        <v>3.2</v>
      </c>
    </row>
    <row r="66" spans="1:10" ht="12" customHeight="1" x14ac:dyDescent="0.2">
      <c r="A66" s="291"/>
      <c r="B66" s="267"/>
      <c r="C66" s="256"/>
      <c r="D66" s="416"/>
      <c r="E66" s="435"/>
      <c r="F66" s="395"/>
      <c r="G66" s="378"/>
      <c r="H66" s="423"/>
      <c r="I66" s="435"/>
      <c r="J66" s="392"/>
    </row>
    <row r="67" spans="1:10" ht="12" customHeight="1" x14ac:dyDescent="0.2">
      <c r="A67" s="829"/>
      <c r="B67" s="829"/>
      <c r="C67" s="829"/>
      <c r="D67" s="417"/>
      <c r="E67" s="355"/>
      <c r="F67" s="396"/>
      <c r="G67" s="319"/>
      <c r="H67" s="424"/>
      <c r="I67" s="436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3"/>
      <c r="B70" s="273"/>
      <c r="C70" s="273"/>
      <c r="D70" s="273"/>
      <c r="E70" s="273"/>
      <c r="F70" s="273"/>
      <c r="G70" s="273"/>
      <c r="H70" s="273"/>
      <c r="I70" s="273"/>
      <c r="J70" s="273"/>
    </row>
    <row r="71" spans="1:10" ht="12" customHeight="1" x14ac:dyDescent="0.2">
      <c r="A71" s="273"/>
      <c r="B71" s="273"/>
      <c r="C71" s="273"/>
      <c r="D71" s="273"/>
      <c r="E71" s="273"/>
      <c r="F71" s="273"/>
      <c r="G71" s="273"/>
      <c r="H71" s="273"/>
      <c r="I71" s="273"/>
      <c r="J71" s="273"/>
    </row>
    <row r="72" spans="1:10" ht="12" customHeight="1" x14ac:dyDescent="0.2">
      <c r="A72" s="273"/>
      <c r="B72" s="273"/>
      <c r="C72" s="273"/>
      <c r="D72" s="273"/>
      <c r="E72" s="273"/>
      <c r="F72" s="273"/>
      <c r="G72" s="273"/>
      <c r="H72" s="273"/>
      <c r="I72" s="273"/>
      <c r="J72" s="273"/>
    </row>
    <row r="73" spans="1:10" ht="12" customHeight="1" x14ac:dyDescent="0.2">
      <c r="A73" s="273"/>
      <c r="B73" s="273"/>
      <c r="C73" s="273"/>
      <c r="D73" s="273"/>
      <c r="E73" s="273"/>
      <c r="F73" s="273"/>
      <c r="G73" s="273"/>
      <c r="H73" s="273"/>
      <c r="I73" s="273"/>
      <c r="J73" s="273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5" t="s">
        <v>53</v>
      </c>
      <c r="P1" s="855"/>
      <c r="R1" s="779"/>
      <c r="S1" s="176"/>
    </row>
    <row r="2" spans="1:19" s="3" customFormat="1" ht="15.75" x14ac:dyDescent="0.25">
      <c r="A2" s="856" t="s">
        <v>168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R2" s="779"/>
      <c r="S2" s="176"/>
    </row>
    <row r="3" spans="1:19" ht="15.75" customHeight="1" x14ac:dyDescent="0.25">
      <c r="A3" s="872" t="str">
        <f>T!$G$19</f>
        <v>Říjen</v>
      </c>
      <c r="B3" s="873"/>
      <c r="C3" s="873"/>
      <c r="D3" s="873"/>
      <c r="E3" s="873"/>
      <c r="F3" s="873"/>
      <c r="G3" s="873"/>
      <c r="H3" s="873"/>
      <c r="I3" s="870">
        <f>T!$I$21</f>
        <v>2015</v>
      </c>
      <c r="J3" s="871"/>
      <c r="K3" s="871"/>
      <c r="L3" s="871"/>
      <c r="M3" s="871"/>
      <c r="N3" s="871"/>
      <c r="O3" s="871"/>
      <c r="P3" s="871"/>
      <c r="R3" s="779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79"/>
      <c r="S4" s="176"/>
    </row>
    <row r="5" spans="1:19" ht="12" customHeight="1" x14ac:dyDescent="0.2">
      <c r="A5" s="864"/>
      <c r="B5" s="864"/>
      <c r="C5" s="865" t="s">
        <v>93</v>
      </c>
      <c r="D5" s="866"/>
      <c r="E5" s="868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79"/>
      <c r="S5" s="176"/>
    </row>
    <row r="6" spans="1:19" ht="12" customHeight="1" x14ac:dyDescent="0.2">
      <c r="A6" s="7"/>
      <c r="B6" s="7"/>
      <c r="C6" s="867"/>
      <c r="D6" s="866"/>
      <c r="E6" s="868"/>
      <c r="F6" s="7"/>
      <c r="G6" s="644"/>
      <c r="H6" s="644"/>
      <c r="I6" s="644"/>
      <c r="J6" s="644"/>
      <c r="K6" s="646">
        <v>0</v>
      </c>
      <c r="L6" s="645" t="s">
        <v>181</v>
      </c>
      <c r="M6" s="645"/>
      <c r="N6" s="782" t="e">
        <f ca="1">IF(ISNA(K37),NA(),IF(K37+1&lt;=CEILING($C$40/1000,1),K37+1,NA()))</f>
        <v>#N/A</v>
      </c>
      <c r="O6" s="645" t="s">
        <v>181</v>
      </c>
      <c r="P6" s="645"/>
      <c r="R6" s="779"/>
      <c r="S6" s="176"/>
    </row>
    <row r="7" spans="1:19" ht="13.5" customHeight="1" thickBot="1" x14ac:dyDescent="0.25">
      <c r="A7" s="869" t="s">
        <v>81</v>
      </c>
      <c r="B7" s="869"/>
      <c r="C7" s="107" t="s">
        <v>15</v>
      </c>
      <c r="D7" s="108" t="s">
        <v>1</v>
      </c>
      <c r="E7" s="109" t="s">
        <v>14</v>
      </c>
      <c r="F7" s="7"/>
      <c r="G7" s="644"/>
      <c r="H7" s="646"/>
      <c r="I7" s="645" t="s">
        <v>182</v>
      </c>
      <c r="J7" s="645" t="s">
        <v>52</v>
      </c>
      <c r="K7" s="780">
        <f ca="1">CEILING(C41/1000,1)</f>
        <v>14</v>
      </c>
      <c r="L7" s="647">
        <f t="shared" ref="L7:L21" ca="1" si="0">COUNTIFS($I$8:$I$38,"&gt;"&amp;K6,$I$8:$I$38,"&lt;="&amp;K7,$I$8:$I$38,"&gt;=0")</f>
        <v>1</v>
      </c>
      <c r="M7" s="783"/>
      <c r="N7" s="782" t="e">
        <f ca="1">IF(ISNA(N6),NA(),IF(N6+1&lt;=CEILING($C$40/1000,1),N6+1,NA()))</f>
        <v>#N/A</v>
      </c>
      <c r="O7" s="647">
        <f t="shared" ref="O7:O38" ca="1" si="1">COUNTIFS($I$8:$I$38,"&gt;"&amp;N6,$I$8:$I$38,"&lt;="&amp;N7,$I$8:$I$38,"&gt;=0")</f>
        <v>0</v>
      </c>
      <c r="P7" s="783"/>
      <c r="R7" s="779"/>
      <c r="S7" s="176"/>
    </row>
    <row r="8" spans="1:19" ht="12" customHeight="1" x14ac:dyDescent="0.2">
      <c r="A8" s="104">
        <f ca="1">IF(ROW(A8)-7&lt;=DAY(DATE($I$3,T!$A$4+1,1)-1),INDEX([7]ČR!A18:A383,DATE(2016,T!$A$4,1)-DATE(2016,1,1)+1,1),"")</f>
        <v>42278</v>
      </c>
      <c r="B8" s="643" t="str">
        <f ca="1">IF(ROW(A8)-7&lt;=DAY(DATE($I$3,T!$A$4+1,1)-1),INDEX([7]ČR!B18:B383,DATE(2016,T!$A$4,1)-DATE(2016,1,1)+1,1),"")</f>
        <v>čtvrtek</v>
      </c>
      <c r="C8" s="101">
        <f ca="1">IF(ROW(A8)-7&lt;=DAY(DATE($I$3,T!$A$4+1,1)-1),INDEX([7]ČR!D18:D383,DATE(2016,T!$A$4,1)-DATE(2016,1,1)+1,1)/1000,"")</f>
        <v>18921.681766077541</v>
      </c>
      <c r="D8" s="105">
        <f ca="1">IF(ROW(A8)-7&lt;=DAY(DATE($I$3,T!$A$4+1,1)-1),INDEX([7]ČR!E18:E383,DATE(2016,T!$A$4,1)-DATE(2016,1,1)+1,1)/1000,"")</f>
        <v>202125.97833548387</v>
      </c>
      <c r="E8" s="106">
        <f ca="1">IF(ROW(A8)-7&lt;=DAY(DATE($I$3,T!$A$4+1,1)-1),INDEX([5]PT!AF16:AF381,DATE(2016,T!$A$4,1)-DATE(2016,1,1)+1,1),"")</f>
        <v>7.2</v>
      </c>
      <c r="F8" s="7"/>
      <c r="G8" s="644"/>
      <c r="H8" s="780">
        <f ca="1">IF(ISNUMBER(A8),A8,NA())</f>
        <v>42278</v>
      </c>
      <c r="I8" s="648">
        <f ca="1">IF(ISNUMBER(A8),C8/1000,NA())</f>
        <v>18.92168176607754</v>
      </c>
      <c r="J8" s="649">
        <f ca="1">IF(ISNUMBER(A8),E8,NA())</f>
        <v>7.2</v>
      </c>
      <c r="K8" s="782">
        <f ca="1">IF(ISNA(K7),NA(),IF(K7+1&lt;=CEILING($C$40/1000,1),K7+1,NA()))</f>
        <v>15</v>
      </c>
      <c r="L8" s="647">
        <f t="shared" ca="1" si="0"/>
        <v>1</v>
      </c>
      <c r="M8" s="783"/>
      <c r="N8" s="782" t="e">
        <f t="shared" ref="N8:N38" ca="1" si="2">IF(ISNA(N7),NA(),IF(N7+1&lt;=CEILING($C$40/1000,1),N7+1,NA()))</f>
        <v>#N/A</v>
      </c>
      <c r="O8" s="647">
        <f t="shared" ca="1" si="1"/>
        <v>0</v>
      </c>
      <c r="P8" s="783"/>
      <c r="R8" s="779"/>
      <c r="S8" s="176"/>
    </row>
    <row r="9" spans="1:19" ht="12" customHeight="1" x14ac:dyDescent="0.2">
      <c r="A9" s="104">
        <f ca="1">IF(ROW(A9)-7&lt;=DAY(DATE($I$3,T!$A$4+1,1)-1),INDEX([7]ČR!A19:A384,DATE(2016,T!$A$4,1)-DATE(2016,1,1)+1,1),"")</f>
        <v>42279</v>
      </c>
      <c r="B9" s="643" t="str">
        <f ca="1">IF(ROW(A9)-7&lt;=DAY(DATE($I$3,T!$A$4+1,1)-1),INDEX([7]ČR!B19:B384,DATE(2016,T!$A$4,1)-DATE(2016,1,1)+1,1),"")</f>
        <v>pátek</v>
      </c>
      <c r="C9" s="101">
        <f ca="1">IF(ROW(A9)-7&lt;=DAY(DATE($I$3,T!$A$4+1,1)-1),INDEX([7]ČR!D19:D384,DATE(2016,T!$A$4,1)-DATE(2016,1,1)+1,1)/1000,"")</f>
        <v>17859.079077775506</v>
      </c>
      <c r="D9" s="105">
        <f ca="1">IF(ROW(A9)-7&lt;=DAY(DATE($I$3,T!$A$4+1,1)-1),INDEX([7]ČR!E19:E384,DATE(2016,T!$A$4,1)-DATE(2016,1,1)+1,1)/1000,"")</f>
        <v>190780.39533548389</v>
      </c>
      <c r="E9" s="106">
        <f ca="1">IF(ROW(A9)-7&lt;=DAY(DATE($I$3,T!$A$4+1,1)-1),INDEX([5]PT!AF17:AF382,DATE(2016,T!$A$4,1)-DATE(2016,1,1)+1,1),"")</f>
        <v>9.8000000000000007</v>
      </c>
      <c r="F9" s="7"/>
      <c r="G9" s="644"/>
      <c r="H9" s="780">
        <f t="shared" ref="H9:H38" ca="1" si="3">IF(ISNUMBER(A9),A9,NA())</f>
        <v>42279</v>
      </c>
      <c r="I9" s="648">
        <f t="shared" ref="I9:I38" ca="1" si="4">IF(ISNUMBER(A9),C9/1000,NA())</f>
        <v>17.859079077775508</v>
      </c>
      <c r="J9" s="649">
        <f t="shared" ref="J9:J38" ca="1" si="5">IF(ISNUMBER(A9),E9,NA())</f>
        <v>9.8000000000000007</v>
      </c>
      <c r="K9" s="782">
        <f t="shared" ref="K9:K38" ca="1" si="6">IF(ISNA(K8),NA(),IF(K8+1&lt;=CEILING($C$40/1000,1),K8+1,NA()))</f>
        <v>16</v>
      </c>
      <c r="L9" s="647">
        <f t="shared" ca="1" si="0"/>
        <v>1</v>
      </c>
      <c r="M9" s="783"/>
      <c r="N9" s="782" t="e">
        <f t="shared" ca="1" si="2"/>
        <v>#N/A</v>
      </c>
      <c r="O9" s="647">
        <f t="shared" ca="1" si="1"/>
        <v>0</v>
      </c>
      <c r="P9" s="783"/>
      <c r="R9" s="779"/>
      <c r="S9" s="176"/>
    </row>
    <row r="10" spans="1:19" ht="12" customHeight="1" x14ac:dyDescent="0.2">
      <c r="A10" s="104">
        <f ca="1">IF(ROW(A10)-7&lt;=DAY(DATE($I$3,T!$A$4+1,1)-1),INDEX([7]ČR!A20:A385,DATE(2016,T!$A$4,1)-DATE(2016,1,1)+1,1),"")</f>
        <v>42280</v>
      </c>
      <c r="B10" s="643" t="str">
        <f ca="1">IF(ROW(A10)-7&lt;=DAY(DATE($I$3,T!$A$4+1,1)-1),INDEX([7]ČR!B20:B385,DATE(2016,T!$A$4,1)-DATE(2016,1,1)+1,1),"")</f>
        <v>sobota</v>
      </c>
      <c r="C10" s="101">
        <f ca="1">IF(ROW(A10)-7&lt;=DAY(DATE($I$3,T!$A$4+1,1)-1),INDEX([7]ČR!D20:D385,DATE(2016,T!$A$4,1)-DATE(2016,1,1)+1,1)/1000,"")</f>
        <v>14158.911197204463</v>
      </c>
      <c r="D10" s="105">
        <f ca="1">IF(ROW(A10)-7&lt;=DAY(DATE($I$3,T!$A$4+1,1)-1),INDEX([7]ČR!E20:E385,DATE(2016,T!$A$4,1)-DATE(2016,1,1)+1,1)/1000,"")</f>
        <v>151268.66533548388</v>
      </c>
      <c r="E10" s="106">
        <f ca="1">IF(ROW(A10)-7&lt;=DAY(DATE($I$3,T!$A$4+1,1)-1),INDEX([5]PT!AF18:AF383,DATE(2016,T!$A$4,1)-DATE(2016,1,1)+1,1),"")</f>
        <v>13.1</v>
      </c>
      <c r="F10" s="7"/>
      <c r="G10" s="644"/>
      <c r="H10" s="780">
        <f t="shared" ca="1" si="3"/>
        <v>42280</v>
      </c>
      <c r="I10" s="648">
        <f t="shared" ca="1" si="4"/>
        <v>14.158911197204462</v>
      </c>
      <c r="J10" s="649">
        <f t="shared" ca="1" si="5"/>
        <v>13.1</v>
      </c>
      <c r="K10" s="782">
        <f t="shared" ca="1" si="6"/>
        <v>17</v>
      </c>
      <c r="L10" s="647">
        <f t="shared" ca="1" si="0"/>
        <v>1</v>
      </c>
      <c r="M10" s="783"/>
      <c r="N10" s="782" t="e">
        <f t="shared" ca="1" si="2"/>
        <v>#N/A</v>
      </c>
      <c r="O10" s="647">
        <f t="shared" ca="1" si="1"/>
        <v>0</v>
      </c>
      <c r="P10" s="783"/>
      <c r="R10" s="779"/>
      <c r="S10" s="176"/>
    </row>
    <row r="11" spans="1:19" ht="12" customHeight="1" x14ac:dyDescent="0.2">
      <c r="A11" s="104">
        <f ca="1">IF(ROW(A11)-7&lt;=DAY(DATE($I$3,T!$A$4+1,1)-1),INDEX([7]ČR!A21:A386,DATE(2016,T!$A$4,1)-DATE(2016,1,1)+1,1),"")</f>
        <v>42281</v>
      </c>
      <c r="B11" s="643" t="str">
        <f ca="1">IF(ROW(A11)-7&lt;=DAY(DATE($I$3,T!$A$4+1,1)-1),INDEX([7]ČR!B21:B386,DATE(2016,T!$A$4,1)-DATE(2016,1,1)+1,1),"")</f>
        <v>neděle</v>
      </c>
      <c r="C11" s="101">
        <f ca="1">IF(ROW(A11)-7&lt;=DAY(DATE($I$3,T!$A$4+1,1)-1),INDEX([7]ČR!D21:D386,DATE(2016,T!$A$4,1)-DATE(2016,1,1)+1,1)/1000,"")</f>
        <v>13891.405785625051</v>
      </c>
      <c r="D11" s="105">
        <f ca="1">IF(ROW(A11)-7&lt;=DAY(DATE($I$3,T!$A$4+1,1)-1),INDEX([7]ČR!E21:E386,DATE(2016,T!$A$4,1)-DATE(2016,1,1)+1,1)/1000,"")</f>
        <v>148412.71333548389</v>
      </c>
      <c r="E11" s="106">
        <f ca="1">IF(ROW(A11)-7&lt;=DAY(DATE($I$3,T!$A$4+1,1)-1),INDEX([5]PT!AF19:AF384,DATE(2016,T!$A$4,1)-DATE(2016,1,1)+1,1),"")</f>
        <v>12.4</v>
      </c>
      <c r="F11" s="7"/>
      <c r="G11" s="644"/>
      <c r="H11" s="780">
        <f t="shared" ca="1" si="3"/>
        <v>42281</v>
      </c>
      <c r="I11" s="648">
        <f t="shared" ca="1" si="4"/>
        <v>13.891405785625052</v>
      </c>
      <c r="J11" s="649">
        <f t="shared" ca="1" si="5"/>
        <v>12.4</v>
      </c>
      <c r="K11" s="782">
        <f t="shared" ca="1" si="6"/>
        <v>18</v>
      </c>
      <c r="L11" s="647">
        <f t="shared" ca="1" si="0"/>
        <v>2</v>
      </c>
      <c r="M11" s="783"/>
      <c r="N11" s="782" t="e">
        <f t="shared" ca="1" si="2"/>
        <v>#N/A</v>
      </c>
      <c r="O11" s="647">
        <f t="shared" ca="1" si="1"/>
        <v>0</v>
      </c>
      <c r="P11" s="783"/>
      <c r="R11" s="779"/>
      <c r="S11" s="176"/>
    </row>
    <row r="12" spans="1:19" ht="12" customHeight="1" x14ac:dyDescent="0.2">
      <c r="A12" s="104">
        <f ca="1">IF(ROW(A12)-7&lt;=DAY(DATE($I$3,T!$A$4+1,1)-1),INDEX([7]ČR!A22:A387,DATE(2016,T!$A$4,1)-DATE(2016,1,1)+1,1),"")</f>
        <v>42282</v>
      </c>
      <c r="B12" s="643" t="str">
        <f ca="1">IF(ROW(A12)-7&lt;=DAY(DATE($I$3,T!$A$4+1,1)-1),INDEX([7]ČR!B22:B387,DATE(2016,T!$A$4,1)-DATE(2016,1,1)+1,1),"")</f>
        <v>pondělí</v>
      </c>
      <c r="C12" s="101">
        <f ca="1">IF(ROW(A12)-7&lt;=DAY(DATE($I$3,T!$A$4+1,1)-1),INDEX([7]ČR!D22:D387,DATE(2016,T!$A$4,1)-DATE(2016,1,1)+1,1)/1000,"")</f>
        <v>15701.599472846643</v>
      </c>
      <c r="D12" s="105">
        <f ca="1">IF(ROW(A12)-7&lt;=DAY(DATE($I$3,T!$A$4+1,1)-1),INDEX([7]ČR!E22:E387,DATE(2016,T!$A$4,1)-DATE(2016,1,1)+1,1)/1000,"")</f>
        <v>167743.11833548389</v>
      </c>
      <c r="E12" s="106">
        <f ca="1">IF(ROW(A12)-7&lt;=DAY(DATE($I$3,T!$A$4+1,1)-1),INDEX([5]PT!AF20:AF385,DATE(2016,T!$A$4,1)-DATE(2016,1,1)+1,1),"")</f>
        <v>12.3</v>
      </c>
      <c r="F12" s="7"/>
      <c r="G12" s="644"/>
      <c r="H12" s="780">
        <f t="shared" ca="1" si="3"/>
        <v>42282</v>
      </c>
      <c r="I12" s="648">
        <f t="shared" ca="1" si="4"/>
        <v>15.701599472846643</v>
      </c>
      <c r="J12" s="649">
        <f t="shared" ca="1" si="5"/>
        <v>12.3</v>
      </c>
      <c r="K12" s="782">
        <f t="shared" ca="1" si="6"/>
        <v>19</v>
      </c>
      <c r="L12" s="647">
        <f t="shared" ca="1" si="0"/>
        <v>2</v>
      </c>
      <c r="M12" s="783"/>
      <c r="N12" s="782" t="e">
        <f t="shared" ca="1" si="2"/>
        <v>#N/A</v>
      </c>
      <c r="O12" s="647">
        <f t="shared" ca="1" si="1"/>
        <v>0</v>
      </c>
      <c r="P12" s="783"/>
      <c r="R12" s="779"/>
      <c r="S12" s="176"/>
    </row>
    <row r="13" spans="1:19" ht="12" customHeight="1" x14ac:dyDescent="0.2">
      <c r="A13" s="104">
        <f ca="1">IF(ROW(A13)-7&lt;=DAY(DATE($I$3,T!$A$4+1,1)-1),INDEX([7]ČR!A23:A388,DATE(2016,T!$A$4,1)-DATE(2016,1,1)+1,1),"")</f>
        <v>42283</v>
      </c>
      <c r="B13" s="643" t="str">
        <f ca="1">IF(ROW(A13)-7&lt;=DAY(DATE($I$3,T!$A$4+1,1)-1),INDEX([7]ČR!B23:B388,DATE(2016,T!$A$4,1)-DATE(2016,1,1)+1,1),"")</f>
        <v>úterý</v>
      </c>
      <c r="C13" s="101">
        <f ca="1">IF(ROW(A13)-7&lt;=DAY(DATE($I$3,T!$A$4+1,1)-1),INDEX([7]ČR!D23:D388,DATE(2016,T!$A$4,1)-DATE(2016,1,1)+1,1)/1000,"")</f>
        <v>16066.707061324716</v>
      </c>
      <c r="D13" s="105">
        <f ca="1">IF(ROW(A13)-7&lt;=DAY(DATE($I$3,T!$A$4+1,1)-1),INDEX([7]ČR!E23:E388,DATE(2016,T!$A$4,1)-DATE(2016,1,1)+1,1)/1000,"")</f>
        <v>171644.28733548388</v>
      </c>
      <c r="E13" s="106">
        <f ca="1">IF(ROW(A13)-7&lt;=DAY(DATE($I$3,T!$A$4+1,1)-1),INDEX([5]PT!AF21:AF386,DATE(2016,T!$A$4,1)-DATE(2016,1,1)+1,1),"")</f>
        <v>12.9</v>
      </c>
      <c r="F13" s="7"/>
      <c r="G13" s="644"/>
      <c r="H13" s="780">
        <f t="shared" ca="1" si="3"/>
        <v>42283</v>
      </c>
      <c r="I13" s="648">
        <f t="shared" ca="1" si="4"/>
        <v>16.066707061324717</v>
      </c>
      <c r="J13" s="649">
        <f t="shared" ca="1" si="5"/>
        <v>12.9</v>
      </c>
      <c r="K13" s="782">
        <f t="shared" ca="1" si="6"/>
        <v>20</v>
      </c>
      <c r="L13" s="647">
        <f t="shared" ca="1" si="0"/>
        <v>2</v>
      </c>
      <c r="M13" s="783"/>
      <c r="N13" s="782" t="e">
        <f t="shared" ca="1" si="2"/>
        <v>#N/A</v>
      </c>
      <c r="O13" s="647">
        <f t="shared" ca="1" si="1"/>
        <v>0</v>
      </c>
      <c r="P13" s="783"/>
      <c r="R13" s="779"/>
      <c r="S13" s="176"/>
    </row>
    <row r="14" spans="1:19" ht="12" customHeight="1" x14ac:dyDescent="0.2">
      <c r="A14" s="104">
        <f ca="1">IF(ROW(A14)-7&lt;=DAY(DATE($I$3,T!$A$4+1,1)-1),INDEX([7]ČR!A24:A389,DATE(2016,T!$A$4,1)-DATE(2016,1,1)+1,1),"")</f>
        <v>42284</v>
      </c>
      <c r="B14" s="643" t="str">
        <f ca="1">IF(ROW(A14)-7&lt;=DAY(DATE($I$3,T!$A$4+1,1)-1),INDEX([7]ČR!B24:B389,DATE(2016,T!$A$4,1)-DATE(2016,1,1)+1,1),"")</f>
        <v>středa</v>
      </c>
      <c r="C14" s="101">
        <f ca="1">IF(ROW(A14)-7&lt;=DAY(DATE($I$3,T!$A$4+1,1)-1),INDEX([7]ČR!D24:D389,DATE(2016,T!$A$4,1)-DATE(2016,1,1)+1,1)/1000,"")</f>
        <v>18367.584583883938</v>
      </c>
      <c r="D14" s="105">
        <f ca="1">IF(ROW(A14)-7&lt;=DAY(DATE($I$3,T!$A$4+1,1)-1),INDEX([7]ČR!E24:E389,DATE(2016,T!$A$4,1)-DATE(2016,1,1)+1,1)/1000,"")</f>
        <v>196256.56033548387</v>
      </c>
      <c r="E14" s="106">
        <f ca="1">IF(ROW(A14)-7&lt;=DAY(DATE($I$3,T!$A$4+1,1)-1),INDEX([5]PT!AF22:AF387,DATE(2016,T!$A$4,1)-DATE(2016,1,1)+1,1),"")</f>
        <v>13.4</v>
      </c>
      <c r="F14" s="7"/>
      <c r="G14" s="644"/>
      <c r="H14" s="780">
        <f t="shared" ca="1" si="3"/>
        <v>42284</v>
      </c>
      <c r="I14" s="648">
        <f t="shared" ca="1" si="4"/>
        <v>18.367584583883939</v>
      </c>
      <c r="J14" s="649">
        <f t="shared" ca="1" si="5"/>
        <v>13.4</v>
      </c>
      <c r="K14" s="782">
        <f t="shared" ca="1" si="6"/>
        <v>21</v>
      </c>
      <c r="L14" s="647">
        <f t="shared" ca="1" si="0"/>
        <v>2</v>
      </c>
      <c r="M14" s="783"/>
      <c r="N14" s="782" t="e">
        <f t="shared" ca="1" si="2"/>
        <v>#N/A</v>
      </c>
      <c r="O14" s="647">
        <f t="shared" ca="1" si="1"/>
        <v>0</v>
      </c>
      <c r="P14" s="783"/>
      <c r="R14" s="779"/>
      <c r="S14" s="176"/>
    </row>
    <row r="15" spans="1:19" ht="12" customHeight="1" x14ac:dyDescent="0.2">
      <c r="A15" s="104">
        <f ca="1">IF(ROW(A15)-7&lt;=DAY(DATE($I$3,T!$A$4+1,1)-1),INDEX([7]ČR!A25:A390,DATE(2016,T!$A$4,1)-DATE(2016,1,1)+1,1),"")</f>
        <v>42285</v>
      </c>
      <c r="B15" s="643" t="str">
        <f ca="1">IF(ROW(A15)-7&lt;=DAY(DATE($I$3,T!$A$4+1,1)-1),INDEX([7]ČR!B25:B390,DATE(2016,T!$A$4,1)-DATE(2016,1,1)+1,1),"")</f>
        <v>čtvrtek</v>
      </c>
      <c r="C15" s="101">
        <f ca="1">IF(ROW(A15)-7&lt;=DAY(DATE($I$3,T!$A$4+1,1)-1),INDEX([7]ČR!D25:D390,DATE(2016,T!$A$4,1)-DATE(2016,1,1)+1,1)/1000,"")</f>
        <v>19573.674881397463</v>
      </c>
      <c r="D15" s="105">
        <f ca="1">IF(ROW(A15)-7&lt;=DAY(DATE($I$3,T!$A$4+1,1)-1),INDEX([7]ČR!E25:E390,DATE(2016,T!$A$4,1)-DATE(2016,1,1)+1,1)/1000,"")</f>
        <v>209142.71533548387</v>
      </c>
      <c r="E15" s="106">
        <f ca="1">IF(ROW(A15)-7&lt;=DAY(DATE($I$3,T!$A$4+1,1)-1),INDEX([5]PT!AF23:AF388,DATE(2016,T!$A$4,1)-DATE(2016,1,1)+1,1),"")</f>
        <v>12.1</v>
      </c>
      <c r="F15" s="7"/>
      <c r="G15" s="644"/>
      <c r="H15" s="780">
        <f t="shared" ca="1" si="3"/>
        <v>42285</v>
      </c>
      <c r="I15" s="648">
        <f t="shared" ca="1" si="4"/>
        <v>19.573674881397462</v>
      </c>
      <c r="J15" s="649">
        <f t="shared" ca="1" si="5"/>
        <v>12.1</v>
      </c>
      <c r="K15" s="782">
        <f t="shared" ca="1" si="6"/>
        <v>22</v>
      </c>
      <c r="L15" s="647">
        <f t="shared" ca="1" si="0"/>
        <v>3</v>
      </c>
      <c r="M15" s="783"/>
      <c r="N15" s="782" t="e">
        <f t="shared" ca="1" si="2"/>
        <v>#N/A</v>
      </c>
      <c r="O15" s="647">
        <f t="shared" ca="1" si="1"/>
        <v>0</v>
      </c>
      <c r="P15" s="783"/>
      <c r="R15" s="779"/>
      <c r="S15" s="176"/>
    </row>
    <row r="16" spans="1:19" ht="12" customHeight="1" x14ac:dyDescent="0.2">
      <c r="A16" s="104">
        <f ca="1">IF(ROW(A16)-7&lt;=DAY(DATE($I$3,T!$A$4+1,1)-1),INDEX([7]ČR!A26:A391,DATE(2016,T!$A$4,1)-DATE(2016,1,1)+1,1),"")</f>
        <v>42286</v>
      </c>
      <c r="B16" s="643" t="str">
        <f ca="1">IF(ROW(A16)-7&lt;=DAY(DATE($I$3,T!$A$4+1,1)-1),INDEX([7]ČR!B26:B391,DATE(2016,T!$A$4,1)-DATE(2016,1,1)+1,1),"")</f>
        <v>pátek</v>
      </c>
      <c r="C16" s="101">
        <f ca="1">IF(ROW(A16)-7&lt;=DAY(DATE($I$3,T!$A$4+1,1)-1),INDEX([7]ČR!D26:D391,DATE(2016,T!$A$4,1)-DATE(2016,1,1)+1,1)/1000,"")</f>
        <v>20108.905185047395</v>
      </c>
      <c r="D16" s="105">
        <f ca="1">IF(ROW(A16)-7&lt;=DAY(DATE($I$3,T!$A$4+1,1)-1),INDEX([7]ČR!E26:E391,DATE(2016,T!$A$4,1)-DATE(2016,1,1)+1,1)/1000,"")</f>
        <v>214848.29033548388</v>
      </c>
      <c r="E16" s="106">
        <f ca="1">IF(ROW(A16)-7&lt;=DAY(DATE($I$3,T!$A$4+1,1)-1),INDEX([5]PT!AF24:AF389,DATE(2016,T!$A$4,1)-DATE(2016,1,1)+1,1),"")</f>
        <v>10.199999999999999</v>
      </c>
      <c r="F16" s="7"/>
      <c r="G16" s="644"/>
      <c r="H16" s="780">
        <f t="shared" ca="1" si="3"/>
        <v>42286</v>
      </c>
      <c r="I16" s="648">
        <f t="shared" ca="1" si="4"/>
        <v>20.108905185047394</v>
      </c>
      <c r="J16" s="649">
        <f t="shared" ca="1" si="5"/>
        <v>10.199999999999999</v>
      </c>
      <c r="K16" s="782">
        <f t="shared" ca="1" si="6"/>
        <v>23</v>
      </c>
      <c r="L16" s="647">
        <f t="shared" ca="1" si="0"/>
        <v>2</v>
      </c>
      <c r="M16" s="783"/>
      <c r="N16" s="782" t="e">
        <f t="shared" ca="1" si="2"/>
        <v>#N/A</v>
      </c>
      <c r="O16" s="647">
        <f t="shared" ca="1" si="1"/>
        <v>0</v>
      </c>
      <c r="P16" s="783"/>
      <c r="R16" s="779"/>
      <c r="S16" s="176"/>
    </row>
    <row r="17" spans="1:19" ht="12" customHeight="1" x14ac:dyDescent="0.2">
      <c r="A17" s="104">
        <f ca="1">IF(ROW(A17)-7&lt;=DAY(DATE($I$3,T!$A$4+1,1)-1),INDEX([7]ČR!A27:A392,DATE(2016,T!$A$4,1)-DATE(2016,1,1)+1,1),"")</f>
        <v>42287</v>
      </c>
      <c r="B17" s="643" t="str">
        <f ca="1">IF(ROW(A17)-7&lt;=DAY(DATE($I$3,T!$A$4+1,1)-1),INDEX([7]ČR!B27:B392,DATE(2016,T!$A$4,1)-DATE(2016,1,1)+1,1),"")</f>
        <v>sobota</v>
      </c>
      <c r="C17" s="101">
        <f ca="1">IF(ROW(A17)-7&lt;=DAY(DATE($I$3,T!$A$4+1,1)-1),INDEX([7]ČR!D27:D392,DATE(2016,T!$A$4,1)-DATE(2016,1,1)+1,1)/1000,"")</f>
        <v>17884.759805823556</v>
      </c>
      <c r="D17" s="105">
        <f ca="1">IF(ROW(A17)-7&lt;=DAY(DATE($I$3,T!$A$4+1,1)-1),INDEX([7]ČR!E27:E392,DATE(2016,T!$A$4,1)-DATE(2016,1,1)+1,1)/1000,"")</f>
        <v>191052.66833548388</v>
      </c>
      <c r="E17" s="106">
        <f ca="1">IF(ROW(A17)-7&lt;=DAY(DATE($I$3,T!$A$4+1,1)-1),INDEX([5]PT!AF25:AF390,DATE(2016,T!$A$4,1)-DATE(2016,1,1)+1,1),"")</f>
        <v>7.8</v>
      </c>
      <c r="F17" s="7"/>
      <c r="G17" s="644"/>
      <c r="H17" s="780">
        <f t="shared" ca="1" si="3"/>
        <v>42287</v>
      </c>
      <c r="I17" s="648">
        <f t="shared" ca="1" si="4"/>
        <v>17.884759805823556</v>
      </c>
      <c r="J17" s="649">
        <f t="shared" ca="1" si="5"/>
        <v>7.8</v>
      </c>
      <c r="K17" s="782">
        <f t="shared" ca="1" si="6"/>
        <v>24</v>
      </c>
      <c r="L17" s="647">
        <f t="shared" ca="1" si="0"/>
        <v>2</v>
      </c>
      <c r="M17" s="783"/>
      <c r="N17" s="782" t="e">
        <f t="shared" ca="1" si="2"/>
        <v>#N/A</v>
      </c>
      <c r="O17" s="647">
        <f t="shared" ca="1" si="1"/>
        <v>0</v>
      </c>
      <c r="P17" s="783"/>
      <c r="R17" s="779"/>
      <c r="S17" s="176"/>
    </row>
    <row r="18" spans="1:19" ht="12" customHeight="1" x14ac:dyDescent="0.2">
      <c r="A18" s="104">
        <f ca="1">IF(ROW(A18)-7&lt;=DAY(DATE($I$3,T!$A$4+1,1)-1),INDEX([7]ČR!A28:A393,DATE(2016,T!$A$4,1)-DATE(2016,1,1)+1,1),"")</f>
        <v>42288</v>
      </c>
      <c r="B18" s="643" t="str">
        <f ca="1">IF(ROW(A18)-7&lt;=DAY(DATE($I$3,T!$A$4+1,1)-1),INDEX([7]ČR!B28:B393,DATE(2016,T!$A$4,1)-DATE(2016,1,1)+1,1),"")</f>
        <v>neděle</v>
      </c>
      <c r="C18" s="101">
        <f ca="1">IF(ROW(A18)-7&lt;=DAY(DATE($I$3,T!$A$4+1,1)-1),INDEX([7]ČR!D28:D393,DATE(2016,T!$A$4,1)-DATE(2016,1,1)+1,1)/1000,"")</f>
        <v>20746.93144275649</v>
      </c>
      <c r="D18" s="105">
        <f ca="1">IF(ROW(A18)-7&lt;=DAY(DATE($I$3,T!$A$4+1,1)-1),INDEX([7]ČR!E28:E393,DATE(2016,T!$A$4,1)-DATE(2016,1,1)+1,1)/1000,"")</f>
        <v>221611.12633548389</v>
      </c>
      <c r="E18" s="106">
        <f ca="1">IF(ROW(A18)-7&lt;=DAY(DATE($I$3,T!$A$4+1,1)-1),INDEX([5]PT!AF26:AF391,DATE(2016,T!$A$4,1)-DATE(2016,1,1)+1,1),"")</f>
        <v>4.4000000000000004</v>
      </c>
      <c r="F18" s="7"/>
      <c r="G18" s="644"/>
      <c r="H18" s="780">
        <f t="shared" ca="1" si="3"/>
        <v>42288</v>
      </c>
      <c r="I18" s="648">
        <f t="shared" ca="1" si="4"/>
        <v>20.746931442756491</v>
      </c>
      <c r="J18" s="649">
        <f t="shared" ca="1" si="5"/>
        <v>4.4000000000000004</v>
      </c>
      <c r="K18" s="782">
        <f t="shared" ca="1" si="6"/>
        <v>25</v>
      </c>
      <c r="L18" s="647">
        <f t="shared" ca="1" si="0"/>
        <v>3</v>
      </c>
      <c r="M18" s="783"/>
      <c r="N18" s="782" t="e">
        <f t="shared" ca="1" si="2"/>
        <v>#N/A</v>
      </c>
      <c r="O18" s="647">
        <f t="shared" ca="1" si="1"/>
        <v>0</v>
      </c>
      <c r="P18" s="783"/>
      <c r="R18" s="779"/>
      <c r="S18" s="176"/>
    </row>
    <row r="19" spans="1:19" ht="12" customHeight="1" x14ac:dyDescent="0.2">
      <c r="A19" s="104">
        <f ca="1">IF(ROW(A19)-7&lt;=DAY(DATE($I$3,T!$A$4+1,1)-1),INDEX([7]ČR!A29:A394,DATE(2016,T!$A$4,1)-DATE(2016,1,1)+1,1),"")</f>
        <v>42289</v>
      </c>
      <c r="B19" s="643" t="str">
        <f ca="1">IF(ROW(A19)-7&lt;=DAY(DATE($I$3,T!$A$4+1,1)-1),INDEX([7]ČR!B29:B394,DATE(2016,T!$A$4,1)-DATE(2016,1,1)+1,1),"")</f>
        <v>pondělí</v>
      </c>
      <c r="C19" s="101">
        <f ca="1">IF(ROW(A19)-7&lt;=DAY(DATE($I$3,T!$A$4+1,1)-1),INDEX([7]ČR!D29:D394,DATE(2016,T!$A$4,1)-DATE(2016,1,1)+1,1)/1000,"")</f>
        <v>27530.719494693716</v>
      </c>
      <c r="D19" s="105">
        <f ca="1">IF(ROW(A19)-7&lt;=DAY(DATE($I$3,T!$A$4+1,1)-1),INDEX([7]ČR!E29:E394,DATE(2016,T!$A$4,1)-DATE(2016,1,1)+1,1)/1000,"")</f>
        <v>294078.25033548387</v>
      </c>
      <c r="E19" s="106">
        <f ca="1">IF(ROW(A19)-7&lt;=DAY(DATE($I$3,T!$A$4+1,1)-1),INDEX([5]PT!AF27:AF392,DATE(2016,T!$A$4,1)-DATE(2016,1,1)+1,1),"")</f>
        <v>2.1</v>
      </c>
      <c r="F19" s="7"/>
      <c r="G19" s="644"/>
      <c r="H19" s="780">
        <f t="shared" ca="1" si="3"/>
        <v>42289</v>
      </c>
      <c r="I19" s="648">
        <f t="shared" ca="1" si="4"/>
        <v>27.530719494693717</v>
      </c>
      <c r="J19" s="649">
        <f t="shared" ca="1" si="5"/>
        <v>2.1</v>
      </c>
      <c r="K19" s="782">
        <f t="shared" ca="1" si="6"/>
        <v>26</v>
      </c>
      <c r="L19" s="647">
        <f t="shared" ca="1" si="0"/>
        <v>2</v>
      </c>
      <c r="M19" s="783"/>
      <c r="N19" s="782" t="e">
        <f t="shared" ca="1" si="2"/>
        <v>#N/A</v>
      </c>
      <c r="O19" s="647">
        <f t="shared" ca="1" si="1"/>
        <v>0</v>
      </c>
      <c r="P19" s="783"/>
      <c r="R19" s="779"/>
      <c r="S19" s="176"/>
    </row>
    <row r="20" spans="1:19" ht="12" customHeight="1" x14ac:dyDescent="0.2">
      <c r="A20" s="104">
        <f ca="1">IF(ROW(A20)-7&lt;=DAY(DATE($I$3,T!$A$4+1,1)-1),INDEX([7]ČR!A30:A395,DATE(2016,T!$A$4,1)-DATE(2016,1,1)+1,1),"")</f>
        <v>42290</v>
      </c>
      <c r="B20" s="643" t="str">
        <f ca="1">IF(ROW(A20)-7&lt;=DAY(DATE($I$3,T!$A$4+1,1)-1),INDEX([7]ČR!B30:B395,DATE(2016,T!$A$4,1)-DATE(2016,1,1)+1,1),"")</f>
        <v>úterý</v>
      </c>
      <c r="C20" s="101">
        <f ca="1">IF(ROW(A20)-7&lt;=DAY(DATE($I$3,T!$A$4+1,1)-1),INDEX([7]ČR!D30:D395,DATE(2016,T!$A$4,1)-DATE(2016,1,1)+1,1)/1000,"")</f>
        <v>30622.92828127262</v>
      </c>
      <c r="D20" s="105">
        <f ca="1">IF(ROW(A20)-7&lt;=DAY(DATE($I$3,T!$A$4+1,1)-1),INDEX([7]ČR!E30:E395,DATE(2016,T!$A$4,1)-DATE(2016,1,1)+1,1)/1000,"")</f>
        <v>327127.87833548384</v>
      </c>
      <c r="E20" s="106">
        <f ca="1">IF(ROW(A20)-7&lt;=DAY(DATE($I$3,T!$A$4+1,1)-1),INDEX([5]PT!AF28:AF393,DATE(2016,T!$A$4,1)-DATE(2016,1,1)+1,1),"")</f>
        <v>3</v>
      </c>
      <c r="F20" s="7"/>
      <c r="G20" s="644"/>
      <c r="H20" s="780">
        <f t="shared" ca="1" si="3"/>
        <v>42290</v>
      </c>
      <c r="I20" s="648">
        <f t="shared" ca="1" si="4"/>
        <v>30.622928281272621</v>
      </c>
      <c r="J20" s="649">
        <f t="shared" ca="1" si="5"/>
        <v>3</v>
      </c>
      <c r="K20" s="782">
        <f t="shared" ca="1" si="6"/>
        <v>27</v>
      </c>
      <c r="L20" s="647">
        <f t="shared" ca="1" si="0"/>
        <v>0</v>
      </c>
      <c r="M20" s="783"/>
      <c r="N20" s="782" t="e">
        <f t="shared" ca="1" si="2"/>
        <v>#N/A</v>
      </c>
      <c r="O20" s="647">
        <f t="shared" ca="1" si="1"/>
        <v>0</v>
      </c>
      <c r="P20" s="783"/>
      <c r="R20" s="779"/>
      <c r="S20" s="176"/>
    </row>
    <row r="21" spans="1:19" ht="12" customHeight="1" x14ac:dyDescent="0.2">
      <c r="A21" s="104">
        <f ca="1">IF(ROW(A21)-7&lt;=DAY(DATE($I$3,T!$A$4+1,1)-1),INDEX([7]ČR!A31:A396,DATE(2016,T!$A$4,1)-DATE(2016,1,1)+1,1),"")</f>
        <v>42291</v>
      </c>
      <c r="B21" s="643" t="str">
        <f ca="1">IF(ROW(A21)-7&lt;=DAY(DATE($I$3,T!$A$4+1,1)-1),INDEX([7]ČR!B31:B396,DATE(2016,T!$A$4,1)-DATE(2016,1,1)+1,1),"")</f>
        <v>středa</v>
      </c>
      <c r="C21" s="101">
        <f ca="1">IF(ROW(A21)-7&lt;=DAY(DATE($I$3,T!$A$4+1,1)-1),INDEX([7]ČR!D31:D396,DATE(2016,T!$A$4,1)-DATE(2016,1,1)+1,1)/1000,"")</f>
        <v>29183.774606730523</v>
      </c>
      <c r="D21" s="105">
        <f ca="1">IF(ROW(A21)-7&lt;=DAY(DATE($I$3,T!$A$4+1,1)-1),INDEX([7]ČR!E31:E396,DATE(2016,T!$A$4,1)-DATE(2016,1,1)+1,1)/1000,"")</f>
        <v>311758.36933548388</v>
      </c>
      <c r="E21" s="106">
        <f ca="1">IF(ROW(A21)-7&lt;=DAY(DATE($I$3,T!$A$4+1,1)-1),INDEX([5]PT!AF29:AF394,DATE(2016,T!$A$4,1)-DATE(2016,1,1)+1,1),"")</f>
        <v>6.3</v>
      </c>
      <c r="F21" s="7"/>
      <c r="G21" s="644"/>
      <c r="H21" s="780">
        <f t="shared" ca="1" si="3"/>
        <v>42291</v>
      </c>
      <c r="I21" s="648">
        <f t="shared" ca="1" si="4"/>
        <v>29.183774606730523</v>
      </c>
      <c r="J21" s="649">
        <f t="shared" ca="1" si="5"/>
        <v>6.3</v>
      </c>
      <c r="K21" s="782">
        <f t="shared" ca="1" si="6"/>
        <v>28</v>
      </c>
      <c r="L21" s="647">
        <f t="shared" ca="1" si="0"/>
        <v>3</v>
      </c>
      <c r="M21" s="783"/>
      <c r="N21" s="782" t="e">
        <f t="shared" ca="1" si="2"/>
        <v>#N/A</v>
      </c>
      <c r="O21" s="647">
        <f t="shared" ca="1" si="1"/>
        <v>0</v>
      </c>
      <c r="P21" s="783"/>
      <c r="R21" s="779"/>
      <c r="S21" s="176"/>
    </row>
    <row r="22" spans="1:19" ht="12" customHeight="1" x14ac:dyDescent="0.2">
      <c r="A22" s="104">
        <f ca="1">IF(ROW(A22)-7&lt;=DAY(DATE($I$3,T!$A$4+1,1)-1),INDEX([7]ČR!A32:A397,DATE(2016,T!$A$4,1)-DATE(2016,1,1)+1,1),"")</f>
        <v>42292</v>
      </c>
      <c r="B22" s="643" t="str">
        <f ca="1">IF(ROW(A22)-7&lt;=DAY(DATE($I$3,T!$A$4+1,1)-1),INDEX([7]ČR!B32:B397,DATE(2016,T!$A$4,1)-DATE(2016,1,1)+1,1),"")</f>
        <v>čtvrtek</v>
      </c>
      <c r="C22" s="101">
        <f ca="1">IF(ROW(A22)-7&lt;=DAY(DATE($I$3,T!$A$4+1,1)-1),INDEX([7]ČR!D32:D397,DATE(2016,T!$A$4,1)-DATE(2016,1,1)+1,1)/1000,"")</f>
        <v>28202.373459662063</v>
      </c>
      <c r="D22" s="105">
        <f ca="1">IF(ROW(A22)-7&lt;=DAY(DATE($I$3,T!$A$4+1,1)-1),INDEX([7]ČR!E32:E397,DATE(2016,T!$A$4,1)-DATE(2016,1,1)+1,1)/1000,"")</f>
        <v>301202.24633548385</v>
      </c>
      <c r="E22" s="106">
        <f ca="1">IF(ROW(A22)-7&lt;=DAY(DATE($I$3,T!$A$4+1,1)-1),INDEX([5]PT!AF30:AF395,DATE(2016,T!$A$4,1)-DATE(2016,1,1)+1,1),"")</f>
        <v>9.4</v>
      </c>
      <c r="F22" s="7"/>
      <c r="G22" s="644"/>
      <c r="H22" s="780">
        <f t="shared" ca="1" si="3"/>
        <v>42292</v>
      </c>
      <c r="I22" s="648">
        <f t="shared" ca="1" si="4"/>
        <v>28.202373459662063</v>
      </c>
      <c r="J22" s="649">
        <f t="shared" ca="1" si="5"/>
        <v>9.4</v>
      </c>
      <c r="K22" s="782">
        <f t="shared" ca="1" si="6"/>
        <v>29</v>
      </c>
      <c r="L22" s="647">
        <f ca="1">COUNTIFS($I$8:$I$38,"&gt;"&amp;K21,$I$8:$I$38,"&lt;="&amp;K22,$I$8:$I$38,"&gt;=0")</f>
        <v>2</v>
      </c>
      <c r="M22" s="783"/>
      <c r="N22" s="782" t="e">
        <f t="shared" ca="1" si="2"/>
        <v>#N/A</v>
      </c>
      <c r="O22" s="647">
        <f t="shared" ca="1" si="1"/>
        <v>0</v>
      </c>
      <c r="P22" s="783"/>
      <c r="R22" s="779"/>
      <c r="S22" s="176"/>
    </row>
    <row r="23" spans="1:19" ht="12" customHeight="1" x14ac:dyDescent="0.2">
      <c r="A23" s="104">
        <f ca="1">IF(ROW(A23)-7&lt;=DAY(DATE($I$3,T!$A$4+1,1)-1),INDEX([7]ČR!A33:A398,DATE(2016,T!$A$4,1)-DATE(2016,1,1)+1,1),"")</f>
        <v>42293</v>
      </c>
      <c r="B23" s="643" t="str">
        <f ca="1">IF(ROW(A23)-7&lt;=DAY(DATE($I$3,T!$A$4+1,1)-1),INDEX([7]ČR!B33:B398,DATE(2016,T!$A$4,1)-DATE(2016,1,1)+1,1),"")</f>
        <v>pátek</v>
      </c>
      <c r="C23" s="101">
        <f ca="1">IF(ROW(A23)-7&lt;=DAY(DATE($I$3,T!$A$4+1,1)-1),INDEX([7]ČR!D33:D398,DATE(2016,T!$A$4,1)-DATE(2016,1,1)+1,1)/1000,"")</f>
        <v>25078.679715217604</v>
      </c>
      <c r="D23" s="105">
        <f ca="1">IF(ROW(A23)-7&lt;=DAY(DATE($I$3,T!$A$4+1,1)-1),INDEX([7]ČR!E33:E398,DATE(2016,T!$A$4,1)-DATE(2016,1,1)+1,1)/1000,"")</f>
        <v>267796.40433548385</v>
      </c>
      <c r="E23" s="106">
        <f ca="1">IF(ROW(A23)-7&lt;=DAY(DATE($I$3,T!$A$4+1,1)-1),INDEX([5]PT!AF31:AF396,DATE(2016,T!$A$4,1)-DATE(2016,1,1)+1,1),"")</f>
        <v>8.4</v>
      </c>
      <c r="F23" s="7"/>
      <c r="G23" s="644"/>
      <c r="H23" s="780">
        <f t="shared" ca="1" si="3"/>
        <v>42293</v>
      </c>
      <c r="I23" s="648">
        <f t="shared" ca="1" si="4"/>
        <v>25.078679715217604</v>
      </c>
      <c r="J23" s="649">
        <f t="shared" ca="1" si="5"/>
        <v>8.4</v>
      </c>
      <c r="K23" s="782">
        <f t="shared" ca="1" si="6"/>
        <v>30</v>
      </c>
      <c r="L23" s="647">
        <f t="shared" ref="L23:L38" ca="1" si="7">COUNTIFS($I$8:$I$38,"&gt;"&amp;K22,$I$8:$I$38,"&lt;="&amp;K23,$I$8:$I$38,"&gt;=0")</f>
        <v>1</v>
      </c>
      <c r="M23" s="783"/>
      <c r="N23" s="782" t="e">
        <f t="shared" ca="1" si="2"/>
        <v>#N/A</v>
      </c>
      <c r="O23" s="647">
        <f t="shared" ca="1" si="1"/>
        <v>0</v>
      </c>
      <c r="P23" s="783"/>
      <c r="R23" s="779"/>
      <c r="S23" s="176"/>
    </row>
    <row r="24" spans="1:19" ht="12" customHeight="1" x14ac:dyDescent="0.2">
      <c r="A24" s="104">
        <f ca="1">IF(ROW(A24)-7&lt;=DAY(DATE($I$3,T!$A$4+1,1)-1),INDEX([7]ČR!A34:A399,DATE(2016,T!$A$4,1)-DATE(2016,1,1)+1,1),"")</f>
        <v>42294</v>
      </c>
      <c r="B24" s="643" t="str">
        <f ca="1">IF(ROW(A24)-7&lt;=DAY(DATE($I$3,T!$A$4+1,1)-1),INDEX([7]ČR!B34:B399,DATE(2016,T!$A$4,1)-DATE(2016,1,1)+1,1),"")</f>
        <v>sobota</v>
      </c>
      <c r="C24" s="101">
        <f ca="1">IF(ROW(A24)-7&lt;=DAY(DATE($I$3,T!$A$4+1,1)-1),INDEX([7]ČR!D34:D399,DATE(2016,T!$A$4,1)-DATE(2016,1,1)+1,1)/1000,"")</f>
        <v>21138.062621865898</v>
      </c>
      <c r="D24" s="105">
        <f ca="1">IF(ROW(A24)-7&lt;=DAY(DATE($I$3,T!$A$4+1,1)-1),INDEX([7]ČR!E34:E399,DATE(2016,T!$A$4,1)-DATE(2016,1,1)+1,1)/1000,"")</f>
        <v>225786.22233548388</v>
      </c>
      <c r="E24" s="106">
        <f ca="1">IF(ROW(A24)-7&lt;=DAY(DATE($I$3,T!$A$4+1,1)-1),INDEX([5]PT!AF32:AF397,DATE(2016,T!$A$4,1)-DATE(2016,1,1)+1,1),"")</f>
        <v>5.3</v>
      </c>
      <c r="F24" s="7"/>
      <c r="G24" s="644"/>
      <c r="H24" s="780">
        <f t="shared" ca="1" si="3"/>
        <v>42294</v>
      </c>
      <c r="I24" s="648">
        <f t="shared" ca="1" si="4"/>
        <v>21.138062621865899</v>
      </c>
      <c r="J24" s="649">
        <f t="shared" ca="1" si="5"/>
        <v>5.3</v>
      </c>
      <c r="K24" s="782">
        <f t="shared" ca="1" si="6"/>
        <v>31</v>
      </c>
      <c r="L24" s="647">
        <f t="shared" ca="1" si="7"/>
        <v>1</v>
      </c>
      <c r="M24" s="783"/>
      <c r="N24" s="782" t="e">
        <f t="shared" ca="1" si="2"/>
        <v>#N/A</v>
      </c>
      <c r="O24" s="647">
        <f t="shared" ca="1" si="1"/>
        <v>0</v>
      </c>
      <c r="P24" s="783"/>
      <c r="R24" s="779"/>
      <c r="S24" s="176"/>
    </row>
    <row r="25" spans="1:19" ht="12" customHeight="1" x14ac:dyDescent="0.2">
      <c r="A25" s="104">
        <f ca="1">IF(ROW(A25)-7&lt;=DAY(DATE($I$3,T!$A$4+1,1)-1),INDEX([7]ČR!A35:A400,DATE(2016,T!$A$4,1)-DATE(2016,1,1)+1,1),"")</f>
        <v>42295</v>
      </c>
      <c r="B25" s="643" t="str">
        <f ca="1">IF(ROW(A25)-7&lt;=DAY(DATE($I$3,T!$A$4+1,1)-1),INDEX([7]ČR!B35:B400,DATE(2016,T!$A$4,1)-DATE(2016,1,1)+1,1),"")</f>
        <v>neděle</v>
      </c>
      <c r="C25" s="101">
        <f ca="1">IF(ROW(A25)-7&lt;=DAY(DATE($I$3,T!$A$4+1,1)-1),INDEX([7]ČR!D35:D400,DATE(2016,T!$A$4,1)-DATE(2016,1,1)+1,1)/1000,"")</f>
        <v>22284.270149972548</v>
      </c>
      <c r="D25" s="105">
        <f ca="1">IF(ROW(A25)-7&lt;=DAY(DATE($I$3,T!$A$4+1,1)-1),INDEX([7]ČR!E35:E400,DATE(2016,T!$A$4,1)-DATE(2016,1,1)+1,1)/1000,"")</f>
        <v>238020.27833548389</v>
      </c>
      <c r="E25" s="106">
        <f ca="1">IF(ROW(A25)-7&lt;=DAY(DATE($I$3,T!$A$4+1,1)-1),INDEX([5]PT!AF33:AF398,DATE(2016,T!$A$4,1)-DATE(2016,1,1)+1,1),"")</f>
        <v>5.9</v>
      </c>
      <c r="F25" s="7"/>
      <c r="G25" s="644"/>
      <c r="H25" s="780">
        <f t="shared" ca="1" si="3"/>
        <v>42295</v>
      </c>
      <c r="I25" s="648">
        <f t="shared" ca="1" si="4"/>
        <v>22.284270149972549</v>
      </c>
      <c r="J25" s="649">
        <f t="shared" ca="1" si="5"/>
        <v>5.9</v>
      </c>
      <c r="K25" s="782" t="e">
        <f t="shared" ca="1" si="6"/>
        <v>#N/A</v>
      </c>
      <c r="L25" s="647">
        <f t="shared" ca="1" si="7"/>
        <v>0</v>
      </c>
      <c r="M25" s="783"/>
      <c r="N25" s="782" t="e">
        <f t="shared" ca="1" si="2"/>
        <v>#N/A</v>
      </c>
      <c r="O25" s="647">
        <f t="shared" ca="1" si="1"/>
        <v>0</v>
      </c>
      <c r="P25" s="783"/>
      <c r="R25" s="779"/>
      <c r="S25" s="176"/>
    </row>
    <row r="26" spans="1:19" ht="12" customHeight="1" x14ac:dyDescent="0.2">
      <c r="A26" s="104">
        <f ca="1">IF(ROW(A26)-7&lt;=DAY(DATE($I$3,T!$A$4+1,1)-1),INDEX([7]ČR!A36:A401,DATE(2016,T!$A$4,1)-DATE(2016,1,1)+1,1),"")</f>
        <v>42296</v>
      </c>
      <c r="B26" s="643" t="str">
        <f ca="1">IF(ROW(A26)-7&lt;=DAY(DATE($I$3,T!$A$4+1,1)-1),INDEX([7]ČR!B36:B401,DATE(2016,T!$A$4,1)-DATE(2016,1,1)+1,1),"")</f>
        <v>pondělí</v>
      </c>
      <c r="C26" s="101">
        <f ca="1">IF(ROW(A26)-7&lt;=DAY(DATE($I$3,T!$A$4+1,1)-1),INDEX([7]ČR!D36:D401,DATE(2016,T!$A$4,1)-DATE(2016,1,1)+1,1)/1000,"")</f>
        <v>27370.289306637234</v>
      </c>
      <c r="D26" s="105">
        <f ca="1">IF(ROW(A26)-7&lt;=DAY(DATE($I$3,T!$A$4+1,1)-1),INDEX([7]ČR!E36:E401,DATE(2016,T!$A$4,1)-DATE(2016,1,1)+1,1)/1000,"")</f>
        <v>292266.15733548388</v>
      </c>
      <c r="E26" s="106">
        <f ca="1">IF(ROW(A26)-7&lt;=DAY(DATE($I$3,T!$A$4+1,1)-1),INDEX([5]PT!AF34:AF399,DATE(2016,T!$A$4,1)-DATE(2016,1,1)+1,1),"")</f>
        <v>6.9</v>
      </c>
      <c r="F26" s="7"/>
      <c r="G26" s="644"/>
      <c r="H26" s="780">
        <f t="shared" ca="1" si="3"/>
        <v>42296</v>
      </c>
      <c r="I26" s="648">
        <f t="shared" ca="1" si="4"/>
        <v>27.370289306637236</v>
      </c>
      <c r="J26" s="649">
        <f t="shared" ca="1" si="5"/>
        <v>6.9</v>
      </c>
      <c r="K26" s="782" t="e">
        <f t="shared" ca="1" si="6"/>
        <v>#N/A</v>
      </c>
      <c r="L26" s="647">
        <f t="shared" ca="1" si="7"/>
        <v>0</v>
      </c>
      <c r="M26" s="783"/>
      <c r="N26" s="782" t="e">
        <f t="shared" ca="1" si="2"/>
        <v>#N/A</v>
      </c>
      <c r="O26" s="647">
        <f t="shared" ca="1" si="1"/>
        <v>0</v>
      </c>
      <c r="P26" s="783"/>
      <c r="R26" s="779"/>
      <c r="S26" s="176"/>
    </row>
    <row r="27" spans="1:19" ht="12" customHeight="1" x14ac:dyDescent="0.2">
      <c r="A27" s="104">
        <f ca="1">IF(ROW(A27)-7&lt;=DAY(DATE($I$3,T!$A$4+1,1)-1),INDEX([7]ČR!A37:A402,DATE(2016,T!$A$4,1)-DATE(2016,1,1)+1,1),"")</f>
        <v>42297</v>
      </c>
      <c r="B27" s="643" t="str">
        <f ca="1">IF(ROW(A27)-7&lt;=DAY(DATE($I$3,T!$A$4+1,1)-1),INDEX([7]ČR!B37:B402,DATE(2016,T!$A$4,1)-DATE(2016,1,1)+1,1),"")</f>
        <v>úterý</v>
      </c>
      <c r="C27" s="101">
        <f ca="1">IF(ROW(A27)-7&lt;=DAY(DATE($I$3,T!$A$4+1,1)-1),INDEX([7]ČR!D37:D402,DATE(2016,T!$A$4,1)-DATE(2016,1,1)+1,1)/1000,"")</f>
        <v>28051.681025234186</v>
      </c>
      <c r="D27" s="105">
        <f ca="1">IF(ROW(A27)-7&lt;=DAY(DATE($I$3,T!$A$4+1,1)-1),INDEX([7]ČR!E37:E402,DATE(2016,T!$A$4,1)-DATE(2016,1,1)+1,1)/1000,"")</f>
        <v>299545.57033548388</v>
      </c>
      <c r="E27" s="106">
        <f ca="1">IF(ROW(A27)-7&lt;=DAY(DATE($I$3,T!$A$4+1,1)-1),INDEX([5]PT!AF35:AF400,DATE(2016,T!$A$4,1)-DATE(2016,1,1)+1,1),"")</f>
        <v>5.9</v>
      </c>
      <c r="F27" s="7"/>
      <c r="G27" s="644"/>
      <c r="H27" s="780">
        <f t="shared" ca="1" si="3"/>
        <v>42297</v>
      </c>
      <c r="I27" s="648">
        <f t="shared" ca="1" si="4"/>
        <v>28.051681025234185</v>
      </c>
      <c r="J27" s="649">
        <f t="shared" ca="1" si="5"/>
        <v>5.9</v>
      </c>
      <c r="K27" s="782" t="e">
        <f t="shared" ca="1" si="6"/>
        <v>#N/A</v>
      </c>
      <c r="L27" s="647">
        <f t="shared" ca="1" si="7"/>
        <v>0</v>
      </c>
      <c r="M27" s="783"/>
      <c r="N27" s="782" t="e">
        <f t="shared" ca="1" si="2"/>
        <v>#N/A</v>
      </c>
      <c r="O27" s="647">
        <f t="shared" ca="1" si="1"/>
        <v>0</v>
      </c>
      <c r="P27" s="783"/>
      <c r="R27" s="779"/>
      <c r="S27" s="176"/>
    </row>
    <row r="28" spans="1:19" ht="12" customHeight="1" x14ac:dyDescent="0.2">
      <c r="A28" s="104">
        <f ca="1">IF(ROW(A28)-7&lt;=DAY(DATE($I$3,T!$A$4+1,1)-1),INDEX([7]ČR!A38:A403,DATE(2016,T!$A$4,1)-DATE(2016,1,1)+1,1),"")</f>
        <v>42298</v>
      </c>
      <c r="B28" s="643" t="str">
        <f ca="1">IF(ROW(A28)-7&lt;=DAY(DATE($I$3,T!$A$4+1,1)-1),INDEX([7]ČR!B38:B403,DATE(2016,T!$A$4,1)-DATE(2016,1,1)+1,1),"")</f>
        <v>středa</v>
      </c>
      <c r="C28" s="101">
        <f ca="1">IF(ROW(A28)-7&lt;=DAY(DATE($I$3,T!$A$4+1,1)-1),INDEX([7]ČR!D38:D403,DATE(2016,T!$A$4,1)-DATE(2016,1,1)+1,1)/1000,"")</f>
        <v>27064.873591736854</v>
      </c>
      <c r="D28" s="105">
        <f ca="1">IF(ROW(A28)-7&lt;=DAY(DATE($I$3,T!$A$4+1,1)-1),INDEX([7]ČR!E38:E403,DATE(2016,T!$A$4,1)-DATE(2016,1,1)+1,1)/1000,"")</f>
        <v>288950.33933548385</v>
      </c>
      <c r="E28" s="106">
        <f ca="1">IF(ROW(A28)-7&lt;=DAY(DATE($I$3,T!$A$4+1,1)-1),INDEX([5]PT!AF36:AF401,DATE(2016,T!$A$4,1)-DATE(2016,1,1)+1,1),"")</f>
        <v>7.4</v>
      </c>
      <c r="F28" s="7"/>
      <c r="G28" s="644"/>
      <c r="H28" s="780">
        <f t="shared" ca="1" si="3"/>
        <v>42298</v>
      </c>
      <c r="I28" s="648">
        <f t="shared" ca="1" si="4"/>
        <v>27.064873591736855</v>
      </c>
      <c r="J28" s="649">
        <f t="shared" ca="1" si="5"/>
        <v>7.4</v>
      </c>
      <c r="K28" s="782" t="e">
        <f t="shared" ca="1" si="6"/>
        <v>#N/A</v>
      </c>
      <c r="L28" s="647">
        <f t="shared" ca="1" si="7"/>
        <v>0</v>
      </c>
      <c r="M28" s="783"/>
      <c r="N28" s="782" t="e">
        <f t="shared" ca="1" si="2"/>
        <v>#N/A</v>
      </c>
      <c r="O28" s="647">
        <f t="shared" ca="1" si="1"/>
        <v>0</v>
      </c>
      <c r="P28" s="783"/>
      <c r="R28" s="779"/>
      <c r="S28" s="176"/>
    </row>
    <row r="29" spans="1:19" ht="12" customHeight="1" x14ac:dyDescent="0.2">
      <c r="A29" s="104">
        <f ca="1">IF(ROW(A29)-7&lt;=DAY(DATE($I$3,T!$A$4+1,1)-1),INDEX([7]ČR!A39:A404,DATE(2016,T!$A$4,1)-DATE(2016,1,1)+1,1),"")</f>
        <v>42299</v>
      </c>
      <c r="B29" s="643" t="str">
        <f ca="1">IF(ROW(A29)-7&lt;=DAY(DATE($I$3,T!$A$4+1,1)-1),INDEX([7]ČR!B39:B404,DATE(2016,T!$A$4,1)-DATE(2016,1,1)+1,1),"")</f>
        <v>čtvrtek</v>
      </c>
      <c r="C29" s="101">
        <f ca="1">IF(ROW(A29)-7&lt;=DAY(DATE($I$3,T!$A$4+1,1)-1),INDEX([7]ČR!D39:D404,DATE(2016,T!$A$4,1)-DATE(2016,1,1)+1,1)/1000,"")</f>
        <v>24094.114205962873</v>
      </c>
      <c r="D29" s="105">
        <f ca="1">IF(ROW(A29)-7&lt;=DAY(DATE($I$3,T!$A$4+1,1)-1),INDEX([7]ČR!E39:E404,DATE(2016,T!$A$4,1)-DATE(2016,1,1)+1,1)/1000,"")</f>
        <v>257350.90633548389</v>
      </c>
      <c r="E29" s="106">
        <f ca="1">IF(ROW(A29)-7&lt;=DAY(DATE($I$3,T!$A$4+1,1)-1),INDEX([5]PT!AF37:AF402,DATE(2016,T!$A$4,1)-DATE(2016,1,1)+1,1),"")</f>
        <v>7.6</v>
      </c>
      <c r="F29" s="7"/>
      <c r="G29" s="644"/>
      <c r="H29" s="780">
        <f t="shared" ca="1" si="3"/>
        <v>42299</v>
      </c>
      <c r="I29" s="648">
        <f t="shared" ca="1" si="4"/>
        <v>24.094114205962875</v>
      </c>
      <c r="J29" s="649">
        <f t="shared" ca="1" si="5"/>
        <v>7.6</v>
      </c>
      <c r="K29" s="782" t="e">
        <f t="shared" ca="1" si="6"/>
        <v>#N/A</v>
      </c>
      <c r="L29" s="647">
        <f t="shared" ca="1" si="7"/>
        <v>0</v>
      </c>
      <c r="M29" s="783"/>
      <c r="N29" s="782" t="e">
        <f t="shared" ca="1" si="2"/>
        <v>#N/A</v>
      </c>
      <c r="O29" s="647">
        <f t="shared" ca="1" si="1"/>
        <v>0</v>
      </c>
      <c r="P29" s="783"/>
      <c r="R29" s="779"/>
      <c r="S29" s="176"/>
    </row>
    <row r="30" spans="1:19" ht="12" customHeight="1" x14ac:dyDescent="0.2">
      <c r="A30" s="104">
        <f ca="1">IF(ROW(A30)-7&lt;=DAY(DATE($I$3,T!$A$4+1,1)-1),INDEX([7]ČR!A40:A405,DATE(2016,T!$A$4,1)-DATE(2016,1,1)+1,1),"")</f>
        <v>42300</v>
      </c>
      <c r="B30" s="643" t="str">
        <f ca="1">IF(ROW(A30)-7&lt;=DAY(DATE($I$3,T!$A$4+1,1)-1),INDEX([7]ČR!B40:B405,DATE(2016,T!$A$4,1)-DATE(2016,1,1)+1,1),"")</f>
        <v>pátek</v>
      </c>
      <c r="C30" s="101">
        <f ca="1">IF(ROW(A30)-7&lt;=DAY(DATE($I$3,T!$A$4+1,1)-1),INDEX([7]ČR!D40:D405,DATE(2016,T!$A$4,1)-DATE(2016,1,1)+1,1)/1000,"")</f>
        <v>22978.637688539638</v>
      </c>
      <c r="D30" s="105">
        <f ca="1">IF(ROW(A30)-7&lt;=DAY(DATE($I$3,T!$A$4+1,1)-1),INDEX([7]ČR!E40:E405,DATE(2016,T!$A$4,1)-DATE(2016,1,1)+1,1)/1000,"")</f>
        <v>245441.07833548388</v>
      </c>
      <c r="E30" s="106">
        <f ca="1">IF(ROW(A30)-7&lt;=DAY(DATE($I$3,T!$A$4+1,1)-1),INDEX([5]PT!AF38:AF403,DATE(2016,T!$A$4,1)-DATE(2016,1,1)+1,1),"")</f>
        <v>7.2</v>
      </c>
      <c r="F30" s="7"/>
      <c r="G30" s="644"/>
      <c r="H30" s="780">
        <f t="shared" ca="1" si="3"/>
        <v>42300</v>
      </c>
      <c r="I30" s="648">
        <f t="shared" ca="1" si="4"/>
        <v>22.978637688539639</v>
      </c>
      <c r="J30" s="649">
        <f t="shared" ca="1" si="5"/>
        <v>7.2</v>
      </c>
      <c r="K30" s="782" t="e">
        <f t="shared" ca="1" si="6"/>
        <v>#N/A</v>
      </c>
      <c r="L30" s="647">
        <f t="shared" ca="1" si="7"/>
        <v>0</v>
      </c>
      <c r="M30" s="783"/>
      <c r="N30" s="782" t="e">
        <f t="shared" ca="1" si="2"/>
        <v>#N/A</v>
      </c>
      <c r="O30" s="647">
        <f t="shared" ca="1" si="1"/>
        <v>0</v>
      </c>
      <c r="P30" s="783"/>
      <c r="R30" s="779"/>
      <c r="S30" s="176"/>
    </row>
    <row r="31" spans="1:19" ht="12" customHeight="1" x14ac:dyDescent="0.2">
      <c r="A31" s="104">
        <f ca="1">IF(ROW(A31)-7&lt;=DAY(DATE($I$3,T!$A$4+1,1)-1),INDEX([7]ČR!A41:A406,DATE(2016,T!$A$4,1)-DATE(2016,1,1)+1,1),"")</f>
        <v>42301</v>
      </c>
      <c r="B31" s="643" t="str">
        <f ca="1">IF(ROW(A31)-7&lt;=DAY(DATE($I$3,T!$A$4+1,1)-1),INDEX([7]ČR!B41:B406,DATE(2016,T!$A$4,1)-DATE(2016,1,1)+1,1),"")</f>
        <v>sobota</v>
      </c>
      <c r="C31" s="101">
        <f ca="1">IF(ROW(A31)-7&lt;=DAY(DATE($I$3,T!$A$4+1,1)-1),INDEX([7]ČR!D41:D406,DATE(2016,T!$A$4,1)-DATE(2016,1,1)+1,1)/1000,"")</f>
        <v>21879.588997606919</v>
      </c>
      <c r="D31" s="105">
        <f ca="1">IF(ROW(A31)-7&lt;=DAY(DATE($I$3,T!$A$4+1,1)-1),INDEX([7]ČR!E41:E406,DATE(2016,T!$A$4,1)-DATE(2016,1,1)+1,1)/1000,"")</f>
        <v>233705.13033548387</v>
      </c>
      <c r="E31" s="106">
        <f ca="1">IF(ROW(A31)-7&lt;=DAY(DATE($I$3,T!$A$4+1,1)-1),INDEX([5]PT!AF39:AF404,DATE(2016,T!$A$4,1)-DATE(2016,1,1)+1,1),"")</f>
        <v>5.8</v>
      </c>
      <c r="F31" s="7"/>
      <c r="G31" s="644"/>
      <c r="H31" s="780">
        <f t="shared" ca="1" si="3"/>
        <v>42301</v>
      </c>
      <c r="I31" s="648">
        <f t="shared" ca="1" si="4"/>
        <v>21.87958899760692</v>
      </c>
      <c r="J31" s="649">
        <f t="shared" ca="1" si="5"/>
        <v>5.8</v>
      </c>
      <c r="K31" s="782" t="e">
        <f t="shared" ca="1" si="6"/>
        <v>#N/A</v>
      </c>
      <c r="L31" s="647">
        <f t="shared" ca="1" si="7"/>
        <v>0</v>
      </c>
      <c r="M31" s="783"/>
      <c r="N31" s="782" t="e">
        <f t="shared" ca="1" si="2"/>
        <v>#N/A</v>
      </c>
      <c r="O31" s="647">
        <f t="shared" ca="1" si="1"/>
        <v>0</v>
      </c>
      <c r="P31" s="783"/>
      <c r="R31" s="779"/>
      <c r="S31" s="176"/>
    </row>
    <row r="32" spans="1:19" ht="12" customHeight="1" x14ac:dyDescent="0.2">
      <c r="A32" s="104">
        <f ca="1">IF(ROW(A32)-7&lt;=DAY(DATE($I$3,T!$A$4+1,1)-1),INDEX([7]ČR!A42:A407,DATE(2016,T!$A$4,1)-DATE(2016,1,1)+1,1),"")</f>
        <v>42302</v>
      </c>
      <c r="B32" s="643" t="str">
        <f ca="1">IF(ROW(A32)-7&lt;=DAY(DATE($I$3,T!$A$4+1,1)-1),INDEX([7]ČR!B42:B407,DATE(2016,T!$A$4,1)-DATE(2016,1,1)+1,1),"")</f>
        <v>neděle</v>
      </c>
      <c r="C32" s="101">
        <f ca="1">IF(ROW(A32)-7&lt;=DAY(DATE($I$3,T!$A$4+1,1)-1),INDEX([7]ČR!D42:D407,DATE(2016,T!$A$4,1)-DATE(2016,1,1)+1,1)/1000,"")</f>
        <v>21544.798719380611</v>
      </c>
      <c r="D32" s="105">
        <f ca="1">IF(ROW(A32)-7&lt;=DAY(DATE($I$3,T!$A$4+1,1)-1),INDEX([7]ČR!E42:E407,DATE(2016,T!$A$4,1)-DATE(2016,1,1)+1,1)/1000,"")</f>
        <v>230128.49733548387</v>
      </c>
      <c r="E32" s="106">
        <f ca="1">IF(ROW(A32)-7&lt;=DAY(DATE($I$3,T!$A$4+1,1)-1),INDEX([5]PT!AF40:AF405,DATE(2016,T!$A$4,1)-DATE(2016,1,1)+1,1),"")</f>
        <v>7.9</v>
      </c>
      <c r="F32" s="7"/>
      <c r="G32" s="644"/>
      <c r="H32" s="780">
        <f t="shared" ca="1" si="3"/>
        <v>42302</v>
      </c>
      <c r="I32" s="648">
        <f t="shared" ca="1" si="4"/>
        <v>21.544798719380612</v>
      </c>
      <c r="J32" s="649">
        <f t="shared" ca="1" si="5"/>
        <v>7.9</v>
      </c>
      <c r="K32" s="782" t="e">
        <f t="shared" ca="1" si="6"/>
        <v>#N/A</v>
      </c>
      <c r="L32" s="647">
        <f t="shared" ca="1" si="7"/>
        <v>0</v>
      </c>
      <c r="M32" s="783"/>
      <c r="N32" s="782" t="e">
        <f t="shared" ca="1" si="2"/>
        <v>#N/A</v>
      </c>
      <c r="O32" s="647">
        <f t="shared" ca="1" si="1"/>
        <v>0</v>
      </c>
      <c r="P32" s="783"/>
    </row>
    <row r="33" spans="1:16" ht="12" customHeight="1" x14ac:dyDescent="0.2">
      <c r="A33" s="104">
        <f ca="1">IF(ROW(A33)-7&lt;=DAY(DATE($I$3,T!$A$4+1,1)-1),INDEX([7]ČR!A43:A408,DATE(2016,T!$A$4,1)-DATE(2016,1,1)+1,1),"")</f>
        <v>42303</v>
      </c>
      <c r="B33" s="643" t="str">
        <f ca="1">IF(ROW(A33)-7&lt;=DAY(DATE($I$3,T!$A$4+1,1)-1),INDEX([7]ČR!B43:B408,DATE(2016,T!$A$4,1)-DATE(2016,1,1)+1,1),"")</f>
        <v>pondělí</v>
      </c>
      <c r="C33" s="101">
        <f ca="1">IF(ROW(A33)-7&lt;=DAY(DATE($I$3,T!$A$4+1,1)-1),INDEX([7]ČR!D43:D408,DATE(2016,T!$A$4,1)-DATE(2016,1,1)+1,1)/1000,"")</f>
        <v>23314.474077801948</v>
      </c>
      <c r="D33" s="105">
        <f ca="1">IF(ROW(A33)-7&lt;=DAY(DATE($I$3,T!$A$4+1,1)-1),INDEX([7]ČR!E43:E408,DATE(2016,T!$A$4,1)-DATE(2016,1,1)+1,1)/1000,"")</f>
        <v>249026.18733548388</v>
      </c>
      <c r="E33" s="106">
        <f ca="1">IF(ROW(A33)-7&lt;=DAY(DATE($I$3,T!$A$4+1,1)-1),INDEX([5]PT!AF41:AF406,DATE(2016,T!$A$4,1)-DATE(2016,1,1)+1,1),"")</f>
        <v>8.6</v>
      </c>
      <c r="F33" s="7"/>
      <c r="G33" s="644"/>
      <c r="H33" s="780">
        <f t="shared" ca="1" si="3"/>
        <v>42303</v>
      </c>
      <c r="I33" s="648">
        <f t="shared" ca="1" si="4"/>
        <v>23.314474077801947</v>
      </c>
      <c r="J33" s="649">
        <f t="shared" ca="1" si="5"/>
        <v>8.6</v>
      </c>
      <c r="K33" s="782" t="e">
        <f t="shared" ca="1" si="6"/>
        <v>#N/A</v>
      </c>
      <c r="L33" s="647">
        <f t="shared" ca="1" si="7"/>
        <v>0</v>
      </c>
      <c r="M33" s="783"/>
      <c r="N33" s="782" t="e">
        <f t="shared" ca="1" si="2"/>
        <v>#N/A</v>
      </c>
      <c r="O33" s="647">
        <f t="shared" ca="1" si="1"/>
        <v>0</v>
      </c>
      <c r="P33" s="783"/>
    </row>
    <row r="34" spans="1:16" ht="12" customHeight="1" x14ac:dyDescent="0.2">
      <c r="A34" s="104">
        <f ca="1">IF(ROW(A34)-7&lt;=DAY(DATE($I$3,T!$A$4+1,1)-1),INDEX([7]ČR!A44:A409,DATE(2016,T!$A$4,1)-DATE(2016,1,1)+1,1),"")</f>
        <v>42304</v>
      </c>
      <c r="B34" s="643" t="str">
        <f ca="1">IF(ROW(A34)-7&lt;=DAY(DATE($I$3,T!$A$4+1,1)-1),INDEX([7]ČR!B44:B409,DATE(2016,T!$A$4,1)-DATE(2016,1,1)+1,1),"")</f>
        <v>úterý</v>
      </c>
      <c r="C34" s="101">
        <f ca="1">IF(ROW(A34)-7&lt;=DAY(DATE($I$3,T!$A$4+1,1)-1),INDEX([7]ČR!D44:D409,DATE(2016,T!$A$4,1)-DATE(2016,1,1)+1,1)/1000,"")</f>
        <v>23946.853764479456</v>
      </c>
      <c r="D34" s="105">
        <f ca="1">IF(ROW(A34)-7&lt;=DAY(DATE($I$3,T!$A$4+1,1)-1),INDEX([7]ČR!E44:E409,DATE(2016,T!$A$4,1)-DATE(2016,1,1)+1,1)/1000,"")</f>
        <v>255765.71733548387</v>
      </c>
      <c r="E34" s="106">
        <f ca="1">IF(ROW(A34)-7&lt;=DAY(DATE($I$3,T!$A$4+1,1)-1),INDEX([5]PT!AF42:AF407,DATE(2016,T!$A$4,1)-DATE(2016,1,1)+1,1),"")</f>
        <v>8.3000000000000007</v>
      </c>
      <c r="F34" s="7"/>
      <c r="G34" s="644"/>
      <c r="H34" s="780">
        <f t="shared" ca="1" si="3"/>
        <v>42304</v>
      </c>
      <c r="I34" s="648">
        <f t="shared" ca="1" si="4"/>
        <v>23.946853764479457</v>
      </c>
      <c r="J34" s="649">
        <f t="shared" ca="1" si="5"/>
        <v>8.3000000000000007</v>
      </c>
      <c r="K34" s="782" t="e">
        <f t="shared" ca="1" si="6"/>
        <v>#N/A</v>
      </c>
      <c r="L34" s="647">
        <f t="shared" ca="1" si="7"/>
        <v>0</v>
      </c>
      <c r="M34" s="783"/>
      <c r="N34" s="782" t="e">
        <f t="shared" ca="1" si="2"/>
        <v>#N/A</v>
      </c>
      <c r="O34" s="647">
        <f t="shared" ca="1" si="1"/>
        <v>0</v>
      </c>
      <c r="P34" s="783"/>
    </row>
    <row r="35" spans="1:16" ht="12" customHeight="1" x14ac:dyDescent="0.2">
      <c r="A35" s="104">
        <f ca="1">IF(ROW(A35)-7&lt;=DAY(DATE($I$3,T!$A$4+1,1)-1),INDEX([7]ČR!A45:A410,DATE(2016,T!$A$4,1)-DATE(2016,1,1)+1,1),"")</f>
        <v>42305</v>
      </c>
      <c r="B35" s="643" t="str">
        <f ca="1">IF(ROW(A35)-7&lt;=DAY(DATE($I$3,T!$A$4+1,1)-1),INDEX([7]ČR!B45:B410,DATE(2016,T!$A$4,1)-DATE(2016,1,1)+1,1),"")</f>
        <v>středa</v>
      </c>
      <c r="C35" s="101">
        <f ca="1">IF(ROW(A35)-7&lt;=DAY(DATE($I$3,T!$A$4+1,1)-1),INDEX([7]ČR!D45:D410,DATE(2016,T!$A$4,1)-DATE(2016,1,1)+1,1)/1000,"")</f>
        <v>24437.909136442213</v>
      </c>
      <c r="D35" s="105">
        <f ca="1">IF(ROW(A35)-7&lt;=DAY(DATE($I$3,T!$A$4+1,1)-1),INDEX([7]ČR!E45:E410,DATE(2016,T!$A$4,1)-DATE(2016,1,1)+1,1)/1000,"")</f>
        <v>260893.70533548389</v>
      </c>
      <c r="E35" s="106">
        <f ca="1">IF(ROW(A35)-7&lt;=DAY(DATE($I$3,T!$A$4+1,1)-1),INDEX([5]PT!AF43:AF408,DATE(2016,T!$A$4,1)-DATE(2016,1,1)+1,1),"")</f>
        <v>8.1</v>
      </c>
      <c r="F35" s="7"/>
      <c r="G35" s="644"/>
      <c r="H35" s="780">
        <f t="shared" ca="1" si="3"/>
        <v>42305</v>
      </c>
      <c r="I35" s="648">
        <f t="shared" ca="1" si="4"/>
        <v>24.437909136442212</v>
      </c>
      <c r="J35" s="649">
        <f t="shared" ca="1" si="5"/>
        <v>8.1</v>
      </c>
      <c r="K35" s="782" t="e">
        <f t="shared" ca="1" si="6"/>
        <v>#N/A</v>
      </c>
      <c r="L35" s="647">
        <f t="shared" ca="1" si="7"/>
        <v>0</v>
      </c>
      <c r="M35" s="783"/>
      <c r="N35" s="782" t="e">
        <f t="shared" ca="1" si="2"/>
        <v>#N/A</v>
      </c>
      <c r="O35" s="647">
        <f t="shared" ca="1" si="1"/>
        <v>0</v>
      </c>
      <c r="P35" s="783"/>
    </row>
    <row r="36" spans="1:16" ht="12" customHeight="1" x14ac:dyDescent="0.2">
      <c r="A36" s="104">
        <f ca="1">IF(ROW(A36)-7&lt;=DAY(DATE($I$3,T!$A$4+1,1)-1),INDEX([7]ČR!A46:A411,DATE(2016,T!$A$4,1)-DATE(2016,1,1)+1,1),"")</f>
        <v>42306</v>
      </c>
      <c r="B36" s="643" t="str">
        <f ca="1">IF(ROW(A36)-7&lt;=DAY(DATE($I$3,T!$A$4+1,1)-1),INDEX([7]ČR!B46:B411,DATE(2016,T!$A$4,1)-DATE(2016,1,1)+1,1),"")</f>
        <v>čtvrtek</v>
      </c>
      <c r="C36" s="101">
        <f ca="1">IF(ROW(A36)-7&lt;=DAY(DATE($I$3,T!$A$4+1,1)-1),INDEX([7]ČR!D46:D411,DATE(2016,T!$A$4,1)-DATE(2016,1,1)+1,1)/1000,"")</f>
        <v>25783.659866615497</v>
      </c>
      <c r="D36" s="105">
        <f ca="1">IF(ROW(A36)-7&lt;=DAY(DATE($I$3,T!$A$4+1,1)-1),INDEX([7]ČR!E46:E411,DATE(2016,T!$A$4,1)-DATE(2016,1,1)+1,1)/1000,"")</f>
        <v>275233.95333548385</v>
      </c>
      <c r="E36" s="106">
        <f ca="1">IF(ROW(A36)-7&lt;=DAY(DATE($I$3,T!$A$4+1,1)-1),INDEX([5]PT!AF44:AF409,DATE(2016,T!$A$4,1)-DATE(2016,1,1)+1,1),"")</f>
        <v>7.9</v>
      </c>
      <c r="F36" s="7"/>
      <c r="G36" s="644"/>
      <c r="H36" s="780">
        <f t="shared" ca="1" si="3"/>
        <v>42306</v>
      </c>
      <c r="I36" s="648">
        <f t="shared" ca="1" si="4"/>
        <v>25.783659866615498</v>
      </c>
      <c r="J36" s="649">
        <f t="shared" ca="1" si="5"/>
        <v>7.9</v>
      </c>
      <c r="K36" s="782" t="e">
        <f t="shared" ca="1" si="6"/>
        <v>#N/A</v>
      </c>
      <c r="L36" s="647">
        <f t="shared" ca="1" si="7"/>
        <v>0</v>
      </c>
      <c r="M36" s="783"/>
      <c r="N36" s="782" t="e">
        <f t="shared" ca="1" si="2"/>
        <v>#N/A</v>
      </c>
      <c r="O36" s="647">
        <f t="shared" ca="1" si="1"/>
        <v>0</v>
      </c>
      <c r="P36" s="783"/>
    </row>
    <row r="37" spans="1:16" ht="12" customHeight="1" x14ac:dyDescent="0.2">
      <c r="A37" s="104">
        <f ca="1">IF(ROW(A37)-7&lt;=DAY(DATE($I$3,T!$A$4+1,1)-1),INDEX([7]ČR!A47:A412,DATE(2016,T!$A$4,1)-DATE(2016,1,1)+1,1),"")</f>
        <v>42307</v>
      </c>
      <c r="B37" s="643" t="str">
        <f ca="1">IF(ROW(A37)-7&lt;=DAY(DATE($I$3,T!$A$4+1,1)-1),INDEX([7]ČR!B47:B412,DATE(2016,T!$A$4,1)-DATE(2016,1,1)+1,1),"")</f>
        <v>pátek</v>
      </c>
      <c r="C37" s="101">
        <f ca="1">IF(ROW(A37)-7&lt;=DAY(DATE($I$3,T!$A$4+1,1)-1),INDEX([7]ČR!D47:D412,DATE(2016,T!$A$4,1)-DATE(2016,1,1)+1,1)/1000,"")</f>
        <v>24610.811256989859</v>
      </c>
      <c r="D37" s="105">
        <f ca="1">IF(ROW(A37)-7&lt;=DAY(DATE($I$3,T!$A$4+1,1)-1),INDEX([7]ČR!E47:E412,DATE(2016,T!$A$4,1)-DATE(2016,1,1)+1,1)/1000,"")</f>
        <v>262771.8123354839</v>
      </c>
      <c r="E37" s="106">
        <f ca="1">IF(ROW(A37)-7&lt;=DAY(DATE($I$3,T!$A$4+1,1)-1),INDEX([5]PT!AF45:AF410,DATE(2016,T!$A$4,1)-DATE(2016,1,1)+1,1),"")</f>
        <v>7.5</v>
      </c>
      <c r="F37" s="7"/>
      <c r="G37" s="644"/>
      <c r="H37" s="780">
        <f t="shared" ca="1" si="3"/>
        <v>42307</v>
      </c>
      <c r="I37" s="648">
        <f t="shared" ca="1" si="4"/>
        <v>24.610811256989859</v>
      </c>
      <c r="J37" s="649">
        <f t="shared" ca="1" si="5"/>
        <v>7.5</v>
      </c>
      <c r="K37" s="782" t="e">
        <f t="shared" ca="1" si="6"/>
        <v>#N/A</v>
      </c>
      <c r="L37" s="647">
        <f t="shared" ca="1" si="7"/>
        <v>0</v>
      </c>
      <c r="M37" s="783"/>
      <c r="N37" s="782" t="e">
        <f t="shared" ca="1" si="2"/>
        <v>#N/A</v>
      </c>
      <c r="O37" s="647">
        <f t="shared" ca="1" si="1"/>
        <v>0</v>
      </c>
      <c r="P37" s="783"/>
    </row>
    <row r="38" spans="1:16" ht="12" customHeight="1" x14ac:dyDescent="0.2">
      <c r="A38" s="104">
        <f ca="1">IF(ROW(A38)-7&lt;=DAY(DATE($I$3,T!$A$4+1,1)-1),INDEX([7]ČR!A48:A413,DATE(2016,T!$A$4,1)-DATE(2016,1,1)+1,1),"")</f>
        <v>42308</v>
      </c>
      <c r="B38" s="643" t="str">
        <f ca="1">IF(ROW(A38)-7&lt;=DAY(DATE($I$3,T!$A$4+1,1)-1),INDEX([7]ČR!B48:B413,DATE(2016,T!$A$4,1)-DATE(2016,1,1)+1,1),"")</f>
        <v>sobota</v>
      </c>
      <c r="C38" s="101">
        <f ca="1">IF(ROW(A38)-7&lt;=DAY(DATE($I$3,T!$A$4+1,1)-1),INDEX([7]ČR!D48:D413,DATE(2016,T!$A$4,1)-DATE(2016,1,1)+1,1)/1000,"")</f>
        <v>19977.506028373849</v>
      </c>
      <c r="D38" s="105">
        <f ca="1">IF(ROW(A38)-7&lt;=DAY(DATE($I$3,T!$A$4+1,1)-1),INDEX([7]ČR!E48:E413,DATE(2016,T!$A$4,1)-DATE(2016,1,1)+1,1)/1000,"")</f>
        <v>213397.52633548388</v>
      </c>
      <c r="E38" s="106">
        <f ca="1">IF(ROW(A38)-7&lt;=DAY(DATE($I$3,T!$A$4+1,1)-1),INDEX([5]PT!AF46:AF411,DATE(2016,T!$A$4,1)-DATE(2016,1,1)+1,1),"")</f>
        <v>7.8</v>
      </c>
      <c r="F38" s="7"/>
      <c r="G38" s="644"/>
      <c r="H38" s="780">
        <f t="shared" ca="1" si="3"/>
        <v>42308</v>
      </c>
      <c r="I38" s="648">
        <f t="shared" ca="1" si="4"/>
        <v>19.977506028373849</v>
      </c>
      <c r="J38" s="649">
        <f t="shared" ca="1" si="5"/>
        <v>7.8</v>
      </c>
      <c r="K38" s="782" t="e">
        <f t="shared" ca="1" si="6"/>
        <v>#N/A</v>
      </c>
      <c r="L38" s="647">
        <f t="shared" ca="1" si="7"/>
        <v>0</v>
      </c>
      <c r="M38" s="783"/>
      <c r="N38" s="782" t="e">
        <f t="shared" ca="1" si="2"/>
        <v>#N/A</v>
      </c>
      <c r="O38" s="647">
        <f t="shared" ca="1" si="1"/>
        <v>0</v>
      </c>
      <c r="P38" s="783"/>
    </row>
    <row r="39" spans="1:16" ht="12" customHeight="1" x14ac:dyDescent="0.2">
      <c r="A39" s="858" t="s">
        <v>2</v>
      </c>
      <c r="B39" s="859"/>
      <c r="C39" s="744">
        <f ca="1">SUM(C8:C38)</f>
        <v>692377.24625497893</v>
      </c>
      <c r="D39" s="745">
        <f ca="1">SUM(D8:D38)</f>
        <v>7395132.7493999992</v>
      </c>
      <c r="E39" s="746">
        <f ca="1">AVERAGE(E8:E38)</f>
        <v>8.1580645161290342</v>
      </c>
      <c r="F39" s="7"/>
      <c r="G39" s="857"/>
      <c r="H39" s="91"/>
      <c r="I39" s="781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0" t="s">
        <v>45</v>
      </c>
      <c r="B40" s="861"/>
      <c r="C40" s="102">
        <f ca="1">MAX(C8:C38)</f>
        <v>30622.92828127262</v>
      </c>
      <c r="D40" s="8">
        <f ca="1">MAX(D8:D38)</f>
        <v>327127.87833548384</v>
      </c>
      <c r="E40" s="43">
        <f ca="1">VLOOKUP(C40,$C$8:$E$38,3,FALSE)</f>
        <v>3</v>
      </c>
      <c r="F40" s="7"/>
      <c r="G40" s="857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0" t="s">
        <v>46</v>
      </c>
      <c r="B41" s="861"/>
      <c r="C41" s="102">
        <f ca="1">MIN(C8:C38)</f>
        <v>13891.405785625051</v>
      </c>
      <c r="D41" s="8">
        <f ca="1">MIN(D8:D38)</f>
        <v>148412.71333548389</v>
      </c>
      <c r="E41" s="43">
        <f ca="1">VLOOKUP(C41,$C$8:$E$38,3,FALSE)</f>
        <v>12.4</v>
      </c>
      <c r="F41" s="7"/>
      <c r="G41" s="857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2" t="s">
        <v>44</v>
      </c>
      <c r="B42" s="863"/>
      <c r="C42" s="103">
        <f ca="1">AVERAGE(C8:C38)</f>
        <v>22334.74987919287</v>
      </c>
      <c r="D42" s="44">
        <f ca="1">AVERAGE(D8:D38)</f>
        <v>238552.66933548384</v>
      </c>
      <c r="E42" s="45">
        <f ca="1">AVERAGE(E8:E38)</f>
        <v>8.1580645161290342</v>
      </c>
      <c r="F42" s="7"/>
      <c r="G42" s="857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0" t="s">
        <v>75</v>
      </c>
      <c r="P1" s="820"/>
    </row>
    <row r="2" spans="1:17" ht="15.95" customHeight="1" x14ac:dyDescent="0.25">
      <c r="A2" s="876" t="s">
        <v>170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</row>
    <row r="3" spans="1:17" ht="14.1" customHeight="1" x14ac:dyDescent="0.25">
      <c r="A3" s="877">
        <f>T!$I$21</f>
        <v>2015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</row>
    <row r="4" spans="1:17" ht="14.1" customHeight="1" x14ac:dyDescent="0.2">
      <c r="D4" s="496"/>
      <c r="E4" s="496"/>
      <c r="F4" s="496"/>
      <c r="G4" s="496"/>
      <c r="P4" s="593"/>
    </row>
    <row r="5" spans="1:17" ht="18" customHeight="1" x14ac:dyDescent="0.2">
      <c r="A5" s="514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.9499999999999993" customHeight="1" x14ac:dyDescent="0.2">
      <c r="A6" s="878" t="s">
        <v>234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4"/>
      <c r="B7" s="563" t="str">
        <f>"spotřeba "&amp;$A$3</f>
        <v>spotřeba 2015</v>
      </c>
      <c r="C7" s="565" t="s">
        <v>231</v>
      </c>
      <c r="D7" s="521">
        <f ca="1">IF(T!$A$4&gt;='[8]Podklady MZ'!D$2,'[8]Podklady MZ'!D12,"")</f>
        <v>1081.280644710429</v>
      </c>
      <c r="E7" s="522">
        <f ca="1">IF(T!$A$4&gt;='[8]Podklady MZ'!E$2,'[8]Podklady MZ'!E12,"")</f>
        <v>989.86689164730865</v>
      </c>
      <c r="F7" s="523">
        <f ca="1">IF(T!$A$4&gt;='[8]Podklady MZ'!F$2,'[8]Podklady MZ'!F12,"")</f>
        <v>865.53252041105134</v>
      </c>
      <c r="G7" s="522">
        <f ca="1">IF(T!$A$4&gt;='[8]Podklady MZ'!G$2,'[8]Podklady MZ'!G12,"")</f>
        <v>622.80856614391325</v>
      </c>
      <c r="H7" s="521">
        <f ca="1">IF(T!$A$4&gt;='[8]Podklady MZ'!H$2,'[8]Podklady MZ'!H12,"")</f>
        <v>404.77237581362579</v>
      </c>
      <c r="I7" s="524">
        <f ca="1">IF(T!$A$4&gt;='[8]Podklady MZ'!I$2,'[8]Podklady MZ'!I12,"")</f>
        <v>314.40782647711256</v>
      </c>
      <c r="J7" s="521">
        <f ca="1">IF(T!$A$4&gt;='[8]Podklady MZ'!J$2,'[8]Podklady MZ'!J12,"")</f>
        <v>298.38639432190473</v>
      </c>
      <c r="K7" s="521">
        <f ca="1">IF(T!$A$4&gt;='[8]Podklady MZ'!K$2,'[8]Podklady MZ'!K12,"")</f>
        <v>277.51120821690495</v>
      </c>
      <c r="L7" s="524">
        <f ca="1">IF(T!$A$4&gt;='[8]Podklady MZ'!L$2,'[8]Podklady MZ'!L12,"")</f>
        <v>352.96079611407475</v>
      </c>
      <c r="M7" s="521">
        <f ca="1">IF(T!$A$4&gt;='[8]Podklady MZ'!M$2,'[8]Podklady MZ'!M12,"")</f>
        <v>692.3772462549789</v>
      </c>
      <c r="N7" s="521" t="str">
        <f ca="1">IF(T!$A$4&gt;='[8]Podklady MZ'!N$2,'[8]Podklady MZ'!N12,"")</f>
        <v/>
      </c>
      <c r="O7" s="521" t="str">
        <f ca="1">IF(T!$A$4&gt;='[8]Podklady MZ'!O$2,'[8]Podklady MZ'!O12,"")</f>
        <v/>
      </c>
      <c r="P7" s="594">
        <f ca="1">SUM(D7:O7)</f>
        <v>5899.9044701113035</v>
      </c>
    </row>
    <row r="8" spans="1:17" ht="18" customHeight="1" x14ac:dyDescent="0.2">
      <c r="A8" s="874"/>
      <c r="B8" s="563" t="str">
        <f>"spotřeba "&amp;$A$3</f>
        <v>spotřeba 2015</v>
      </c>
      <c r="C8" s="565" t="s">
        <v>284</v>
      </c>
      <c r="D8" s="522">
        <f ca="1">IF(T!$A$4&gt;='[8]Podklady MZ'!D$2,'[8]Podklady MZ'!D13,)</f>
        <v>11492.757934199999</v>
      </c>
      <c r="E8" s="522">
        <f ca="1">IF(T!$A$4&gt;='[8]Podklady MZ'!E$2,'[8]Podklady MZ'!E13,"")</f>
        <v>10525.401338</v>
      </c>
      <c r="F8" s="523">
        <f ca="1">IF(T!$A$4&gt;='[8]Podklady MZ'!F$2,'[8]Podklady MZ'!F13,"")</f>
        <v>9201.9026437999983</v>
      </c>
      <c r="G8" s="522">
        <f ca="1">IF(T!$A$4&gt;='[8]Podklady MZ'!G$2,'[8]Podklady MZ'!G13,"")</f>
        <v>6626.1087002000022</v>
      </c>
      <c r="H8" s="521">
        <f ca="1">IF(T!$A$4&gt;='[8]Podklady MZ'!H$2,'[8]Podklady MZ'!H13,"")</f>
        <v>4332.1303954000005</v>
      </c>
      <c r="I8" s="524">
        <f ca="1">IF(T!$A$4&gt;='[8]Podklady MZ'!I$2,'[8]Podklady MZ'!I13,"")</f>
        <v>3367.3136154999993</v>
      </c>
      <c r="J8" s="521">
        <f ca="1">IF(T!$A$4&gt;='[8]Podklady MZ'!J$2,'[8]Podklady MZ'!J13,"")</f>
        <v>3186.2044436000006</v>
      </c>
      <c r="K8" s="521">
        <f ca="1">IF(T!$A$4&gt;='[8]Podklady MZ'!K$2,'[8]Podklady MZ'!K13,"")</f>
        <v>2973.0205207999998</v>
      </c>
      <c r="L8" s="524">
        <f ca="1">IF(T!$A$4&gt;='[8]Podklady MZ'!L$2,'[8]Podklady MZ'!L13,"")</f>
        <v>3775.558282</v>
      </c>
      <c r="M8" s="521">
        <f ca="1">IF(T!$A$4&gt;='[8]Podklady MZ'!M$2,'[8]Podklady MZ'!M13,"")</f>
        <v>7395.1327493999997</v>
      </c>
      <c r="N8" s="521" t="str">
        <f ca="1">IF(T!$A$4&gt;='[8]Podklady MZ'!N$2,'[8]Podklady MZ'!N13,"")</f>
        <v/>
      </c>
      <c r="O8" s="521" t="str">
        <f ca="1">IF(T!$A$4&gt;='[8]Podklady MZ'!O$2,'[8]Podklady MZ'!O13,"")</f>
        <v/>
      </c>
      <c r="P8" s="594">
        <f t="shared" ref="P8:P18" ca="1" si="0">SUM(D8:O8)</f>
        <v>62875.530622899998</v>
      </c>
    </row>
    <row r="9" spans="1:17" ht="18" customHeight="1" x14ac:dyDescent="0.2">
      <c r="A9" s="874"/>
      <c r="B9" s="564" t="s">
        <v>230</v>
      </c>
      <c r="C9" s="566" t="s">
        <v>232</v>
      </c>
      <c r="D9" s="650">
        <f ca="1">IF(T!$A$4&gt;='[8]Podklady MZ'!D$2,'[8]Podklady MZ'!D14,)</f>
        <v>1.3175830293298696E-2</v>
      </c>
      <c r="E9" s="650">
        <f ca="1">IF(T!$A$4&gt;='[8]Podklady MZ'!E$2,'[8]Podklady MZ'!E14,"")</f>
        <v>0.10582116745661807</v>
      </c>
      <c r="F9" s="651">
        <f ca="1">IF(T!$A$4&gt;='[8]Podklady MZ'!F$2,'[8]Podklady MZ'!F14,"")</f>
        <v>0.15642829965663532</v>
      </c>
      <c r="G9" s="650">
        <f ca="1">IF(T!$A$4&gt;='[8]Podklady MZ'!G$2,'[8]Podklady MZ'!G14,"")</f>
        <v>0.16633369318363966</v>
      </c>
      <c r="H9" s="652">
        <f ca="1">IF(T!$A$4&gt;='[8]Podklady MZ'!H$2,'[8]Podklady MZ'!H14,"")</f>
        <v>-6.9326986800837861E-2</v>
      </c>
      <c r="I9" s="653">
        <f ca="1">IF(T!$A$4&gt;='[8]Podklady MZ'!I$2,'[8]Podklady MZ'!I14,"")</f>
        <v>1.7843565337174013E-2</v>
      </c>
      <c r="J9" s="652">
        <f ca="1">IF(T!$A$4&gt;='[8]Podklady MZ'!J$2,'[8]Podklady MZ'!J14,"")</f>
        <v>-2.3167564846651268E-2</v>
      </c>
      <c r="K9" s="652">
        <f ca="1">IF(T!$A$4&gt;='[8]Podklady MZ'!K$2,'[8]Podklady MZ'!K14,"")</f>
        <v>-7.5332464693124324E-2</v>
      </c>
      <c r="L9" s="653">
        <f ca="1">IF(T!$A$4&gt;='[8]Podklady MZ'!L$2,'[8]Podklady MZ'!L14,"")</f>
        <v>-3.235274755507124E-2</v>
      </c>
      <c r="M9" s="652">
        <f ca="1">IF(T!$A$4&gt;='[8]Podklady MZ'!M$2,'[8]Podklady MZ'!M14,"")</f>
        <v>0.2219229621913186</v>
      </c>
      <c r="N9" s="652" t="str">
        <f ca="1">IF(T!$A$4&gt;='[8]Podklady MZ'!N$2,'[8]Podklady MZ'!N14,"")</f>
        <v/>
      </c>
      <c r="O9" s="652" t="str">
        <f ca="1">IF(T!$A$4&gt;='[8]Podklady MZ'!O$2,'[8]Podklady MZ'!O14,"")</f>
        <v/>
      </c>
      <c r="P9" s="654">
        <f ca="1">(P7-P10)/P10</f>
        <v>6.7740578535261844E-2</v>
      </c>
    </row>
    <row r="10" spans="1:17" ht="18" customHeight="1" x14ac:dyDescent="0.2">
      <c r="A10" s="874"/>
      <c r="B10" s="98" t="str">
        <f>"spotřeba "&amp;$A$3-1</f>
        <v>spotřeba 2014</v>
      </c>
      <c r="C10" s="567" t="s">
        <v>231</v>
      </c>
      <c r="D10" s="525">
        <f ca="1">IF(T!$A$4&gt;='[8]Podklady MZ'!D$2,'[8]Podklady MZ'!D15,)</f>
        <v>1067.2191463523316</v>
      </c>
      <c r="E10" s="525">
        <f ca="1">IF(T!$A$4&gt;='[8]Podklady MZ'!E$2,'[8]Podklady MZ'!E15,"")</f>
        <v>895.14192780736551</v>
      </c>
      <c r="F10" s="526">
        <f ca="1">IF(T!$A$4&gt;='[8]Podklady MZ'!F$2,'[8]Podklady MZ'!F15,"")</f>
        <v>748.4532509867181</v>
      </c>
      <c r="G10" s="525">
        <f ca="1">IF(T!$A$4&gt;='[8]Podklady MZ'!G$2,'[8]Podklady MZ'!G15,"")</f>
        <v>533.98831722325269</v>
      </c>
      <c r="H10" s="527">
        <f ca="1">IF(T!$A$4&gt;='[8]Podklady MZ'!H$2,'[8]Podklady MZ'!H15,"")</f>
        <v>434.92437201142451</v>
      </c>
      <c r="I10" s="528">
        <f ca="1">IF(T!$A$4&gt;='[8]Podklady MZ'!I$2,'[8]Podklady MZ'!I15,"")</f>
        <v>308.89602015901221</v>
      </c>
      <c r="J10" s="527">
        <f ca="1">IF(T!$A$4&gt;='[8]Podklady MZ'!J$2,'[8]Podklady MZ'!J15,"")</f>
        <v>305.46323359447246</v>
      </c>
      <c r="K10" s="527">
        <f ca="1">IF(T!$A$4&gt;='[8]Podklady MZ'!K$2,'[8]Podklady MZ'!K15,"")</f>
        <v>300.11998650391183</v>
      </c>
      <c r="L10" s="528">
        <f ca="1">IF(T!$A$4&gt;='[8]Podklady MZ'!L$2,'[8]Podklady MZ'!L15,"")</f>
        <v>364.76184396975037</v>
      </c>
      <c r="M10" s="527">
        <f ca="1">IF(T!$A$4&gt;='[8]Podklady MZ'!M$2,'[8]Podklady MZ'!M15,"")</f>
        <v>566.6292128706001</v>
      </c>
      <c r="N10" s="527" t="str">
        <f ca="1">IF(T!$A$4&gt;='[8]Podklady MZ'!N$2,'[8]Podklady MZ'!N15,"")</f>
        <v/>
      </c>
      <c r="O10" s="527" t="str">
        <f ca="1">IF(T!$A$4&gt;='[8]Podklady MZ'!O$2,'[8]Podklady MZ'!O15,"")</f>
        <v/>
      </c>
      <c r="P10" s="589">
        <f t="shared" ca="1" si="0"/>
        <v>5525.5973114788394</v>
      </c>
    </row>
    <row r="11" spans="1:17" ht="18" customHeight="1" x14ac:dyDescent="0.2">
      <c r="A11" s="874"/>
      <c r="B11" s="98" t="str">
        <f>"spotřeba "&amp;$A$3-1</f>
        <v>spotřeba 2014</v>
      </c>
      <c r="C11" s="567" t="s">
        <v>284</v>
      </c>
      <c r="D11" s="525">
        <f ca="1">IF(T!$A$4&gt;='[8]Podklady MZ'!D$2,'[8]Podklady MZ'!D16,)</f>
        <v>11367.914916170237</v>
      </c>
      <c r="E11" s="525">
        <f ca="1">IF(T!$A$4&gt;='[8]Podklady MZ'!E$2,'[8]Podklady MZ'!E16,"")</f>
        <v>9518.248077734268</v>
      </c>
      <c r="F11" s="526">
        <f ca="1">IF(T!$A$4&gt;='[8]Podklady MZ'!F$2,'[8]Podklady MZ'!F16,"")</f>
        <v>7950.662373387202</v>
      </c>
      <c r="G11" s="525">
        <f ca="1">IF(T!$A$4&gt;='[8]Podklady MZ'!G$2,'[8]Podklady MZ'!G16,"")</f>
        <v>5679.1835705189296</v>
      </c>
      <c r="H11" s="527">
        <f ca="1">IF(T!$A$4&gt;='[8]Podklady MZ'!H$2,'[8]Podklady MZ'!H16,"")</f>
        <v>4628.7050628600246</v>
      </c>
      <c r="I11" s="528">
        <f ca="1">IF(T!$A$4&gt;='[8]Podklady MZ'!I$2,'[8]Podklady MZ'!I16,"")</f>
        <v>3288.3102275735141</v>
      </c>
      <c r="J11" s="527">
        <f ca="1">IF(T!$A$4&gt;='[8]Podklady MZ'!J$2,'[8]Podklady MZ'!J16,"")</f>
        <v>3237.2885787849923</v>
      </c>
      <c r="K11" s="527">
        <f ca="1">IF(T!$A$4&gt;='[8]Podklady MZ'!K$2,'[8]Podklady MZ'!K16,"")</f>
        <v>3202.659608332875</v>
      </c>
      <c r="L11" s="528">
        <f ca="1">IF(T!$A$4&gt;='[8]Podklady MZ'!L$2,'[8]Podklady MZ'!L16,"")</f>
        <v>3885.64570671</v>
      </c>
      <c r="M11" s="527">
        <f ca="1">IF(T!$A$4&gt;='[8]Podklady MZ'!M$2,'[8]Podklady MZ'!M16,"")</f>
        <v>6020.7610380369179</v>
      </c>
      <c r="N11" s="527" t="str">
        <f ca="1">IF(T!$A$4&gt;='[8]Podklady MZ'!N$2,'[8]Podklady MZ'!N16,"")</f>
        <v/>
      </c>
      <c r="O11" s="527" t="str">
        <f ca="1">IF(T!$A$4&gt;='[8]Podklady MZ'!O$2,'[8]Podklady MZ'!O16,"")</f>
        <v/>
      </c>
      <c r="P11" s="589">
        <f t="shared" ca="1" si="0"/>
        <v>58779.379160108962</v>
      </c>
    </row>
    <row r="12" spans="1:17" ht="9.9499999999999993" customHeight="1" x14ac:dyDescent="0.2">
      <c r="A12" s="875"/>
      <c r="B12" s="510"/>
      <c r="C12" s="530"/>
      <c r="D12" s="531"/>
      <c r="E12" s="531"/>
      <c r="F12" s="532"/>
      <c r="G12" s="531"/>
      <c r="H12" s="533"/>
      <c r="I12" s="534"/>
      <c r="J12" s="533"/>
      <c r="K12" s="533"/>
      <c r="L12" s="534"/>
      <c r="M12" s="533"/>
      <c r="N12" s="533"/>
      <c r="O12" s="533"/>
      <c r="P12" s="590"/>
    </row>
    <row r="13" spans="1:17" ht="9.9499999999999993" customHeight="1" x14ac:dyDescent="0.2">
      <c r="A13" s="878" t="s">
        <v>235</v>
      </c>
      <c r="B13" s="511"/>
      <c r="C13" s="535"/>
      <c r="D13" s="525"/>
      <c r="E13" s="525"/>
      <c r="F13" s="526"/>
      <c r="G13" s="525"/>
      <c r="H13" s="527"/>
      <c r="I13" s="528"/>
      <c r="J13" s="527"/>
      <c r="K13" s="527"/>
      <c r="L13" s="528"/>
      <c r="M13" s="527"/>
      <c r="N13" s="527"/>
      <c r="O13" s="527"/>
      <c r="P13" s="589"/>
    </row>
    <row r="14" spans="1:17" ht="18" customHeight="1" x14ac:dyDescent="0.2">
      <c r="A14" s="874"/>
      <c r="B14" s="563" t="str">
        <f>"spotřeba "&amp;$A$3</f>
        <v>spotřeba 2015</v>
      </c>
      <c r="C14" s="565" t="s">
        <v>231</v>
      </c>
      <c r="D14" s="521">
        <f ca="1">IF(T!$A$4&gt;='[8]Podklady MZ'!D$2,'[8]Podklady MZ'!D19,"")</f>
        <v>1162.3827182199684</v>
      </c>
      <c r="E14" s="522">
        <f ca="1">IF(T!$A$4&gt;='[8]Podklady MZ'!E$2,'[8]Podklady MZ'!E19,"")</f>
        <v>1022.8621044614633</v>
      </c>
      <c r="F14" s="523">
        <f ca="1">IF(T!$A$4&gt;='[8]Podklady MZ'!F$2,'[8]Podklady MZ'!F19,"")</f>
        <v>901.33118683539692</v>
      </c>
      <c r="G14" s="522">
        <f ca="1">IF(T!$A$4&gt;='[8]Podklady MZ'!G$2,'[8]Podklady MZ'!G19,"")</f>
        <v>647.29636373718301</v>
      </c>
      <c r="H14" s="521">
        <f ca="1">IF(T!$A$4&gt;='[8]Podklady MZ'!H$2,'[8]Podklady MZ'!H19,"")</f>
        <v>399.23311790096943</v>
      </c>
      <c r="I14" s="524">
        <f ca="1">IF(T!$A$4&gt;='[8]Podklady MZ'!I$2,'[8]Podklady MZ'!I19,"")</f>
        <v>318.95062063632389</v>
      </c>
      <c r="J14" s="521">
        <f ca="1">IF(T!$A$4&gt;='[8]Podklady MZ'!J$2,'[8]Podklady MZ'!J19,"")</f>
        <v>302.4372465189378</v>
      </c>
      <c r="K14" s="521">
        <f ca="1">IF(T!$A$4&gt;='[8]Podklady MZ'!K$2,'[8]Podklady MZ'!K19,"")</f>
        <v>299.01838851541652</v>
      </c>
      <c r="L14" s="524">
        <f ca="1">IF(T!$A$4&gt;='[8]Podklady MZ'!L$2,'[8]Podklady MZ'!L19,"")</f>
        <v>359.74623069021459</v>
      </c>
      <c r="M14" s="521">
        <f ca="1">IF(T!$A$4&gt;='[8]Podklady MZ'!M$2,'[8]Podklady MZ'!M19,"")</f>
        <v>698.83677162586446</v>
      </c>
      <c r="N14" s="521" t="str">
        <f ca="1">IF(T!$A$4&gt;='[8]Podklady MZ'!N$2,'[8]Podklady MZ'!N19,"")</f>
        <v/>
      </c>
      <c r="O14" s="521" t="str">
        <f ca="1">IF(T!$A$4&gt;='[8]Podklady MZ'!O$2,'[8]Podklady MZ'!O19,"")</f>
        <v/>
      </c>
      <c r="P14" s="594">
        <f t="shared" ca="1" si="0"/>
        <v>6112.0947491417392</v>
      </c>
    </row>
    <row r="15" spans="1:17" ht="18" customHeight="1" x14ac:dyDescent="0.2">
      <c r="A15" s="874"/>
      <c r="B15" s="563" t="str">
        <f>"spotřeba "&amp;$A$3</f>
        <v>spotřeba 2015</v>
      </c>
      <c r="C15" s="565" t="s">
        <v>284</v>
      </c>
      <c r="D15" s="522">
        <f ca="1">IF(T!$A$4&gt;='[8]Podklady MZ'!D$2,'[8]Podklady MZ'!D20,"")</f>
        <v>12354.778819681072</v>
      </c>
      <c r="E15" s="522">
        <f ca="1">IF(T!$A$4&gt;='[8]Podklady MZ'!E$2,'[8]Podklady MZ'!E20,"")</f>
        <v>10876.244325104813</v>
      </c>
      <c r="F15" s="523">
        <f ca="1">IF(T!$A$4&gt;='[8]Podklady MZ'!F$2,'[8]Podklady MZ'!F20,"")</f>
        <v>9582.4959033788018</v>
      </c>
      <c r="G15" s="522">
        <f ca="1">IF(T!$A$4&gt;='[8]Podklady MZ'!G$2,'[8]Podklady MZ'!G20,"")</f>
        <v>6886.6362804260079</v>
      </c>
      <c r="H15" s="521">
        <f ca="1">IF(T!$A$4&gt;='[8]Podklady MZ'!H$2,'[8]Podklady MZ'!H20,"")</f>
        <v>4272.8457480148054</v>
      </c>
      <c r="I15" s="524">
        <f ca="1">IF(T!$A$4&gt;='[8]Podklady MZ'!I$2,'[8]Podklady MZ'!I20,"")</f>
        <v>3415.9670246600913</v>
      </c>
      <c r="J15" s="521">
        <f ca="1">IF(T!$A$4&gt;='[8]Podklady MZ'!J$2,'[8]Podklady MZ'!J20,"")</f>
        <v>3229.4599120669359</v>
      </c>
      <c r="K15" s="521">
        <f ca="1">IF(T!$A$4&gt;='[8]Podklady MZ'!K$2,'[8]Podklady MZ'!K20,"")</f>
        <v>3203.4302717533501</v>
      </c>
      <c r="L15" s="524">
        <f ca="1">IF(T!$A$4&gt;='[8]Podklady MZ'!L$2,'[8]Podklady MZ'!L20,"")</f>
        <v>3848.1408577221891</v>
      </c>
      <c r="M15" s="521">
        <f ca="1">IF(T!$A$4&gt;='[8]Podklady MZ'!M$2,'[8]Podklady MZ'!M20,"")</f>
        <v>7464.1255533579515</v>
      </c>
      <c r="N15" s="521" t="str">
        <f ca="1">IF(T!$A$4&gt;='[8]Podklady MZ'!N$2,'[8]Podklady MZ'!N20,"")</f>
        <v/>
      </c>
      <c r="O15" s="521" t="str">
        <f ca="1">IF(T!$A$4&gt;='[8]Podklady MZ'!O$2,'[8]Podklady MZ'!O20,"")</f>
        <v/>
      </c>
      <c r="P15" s="594">
        <f t="shared" ca="1" si="0"/>
        <v>65134.124696166022</v>
      </c>
    </row>
    <row r="16" spans="1:17" ht="18" customHeight="1" x14ac:dyDescent="0.2">
      <c r="A16" s="874"/>
      <c r="B16" s="564" t="s">
        <v>230</v>
      </c>
      <c r="C16" s="566" t="s">
        <v>232</v>
      </c>
      <c r="D16" s="650">
        <f ca="1">IF(T!$A$4&gt;='[8]Podklady MZ'!D$2,'[8]Podklady MZ'!D21,"")</f>
        <v>-2.2563307146523652E-2</v>
      </c>
      <c r="E16" s="650">
        <f ca="1">IF(T!$A$4&gt;='[8]Podklady MZ'!E$2,'[8]Podklady MZ'!E21,"")</f>
        <v>-2.2117681991601066E-3</v>
      </c>
      <c r="F16" s="651">
        <f ca="1">IF(T!$A$4&gt;='[8]Podklady MZ'!F$2,'[8]Podklady MZ'!F21,"")</f>
        <v>5.4560177645998326E-2</v>
      </c>
      <c r="G16" s="650">
        <f ca="1">IF(T!$A$4&gt;='[8]Podklady MZ'!G$2,'[8]Podklady MZ'!G21,"")</f>
        <v>5.8169090312173891E-2</v>
      </c>
      <c r="H16" s="652">
        <f ca="1">IF(T!$A$4&gt;='[8]Podklady MZ'!H$2,'[8]Podklady MZ'!H21,"")</f>
        <v>-5.0182338264237479E-2</v>
      </c>
      <c r="I16" s="653">
        <f ca="1">IF(T!$A$4&gt;='[8]Podklady MZ'!I$2,'[8]Podklady MZ'!I21,"")</f>
        <v>2.3625739848265805E-2</v>
      </c>
      <c r="J16" s="652">
        <f ca="1">IF(T!$A$4&gt;='[8]Podklady MZ'!J$2,'[8]Podklady MZ'!J21,"")</f>
        <v>-4.987196559258119E-2</v>
      </c>
      <c r="K16" s="652">
        <f ca="1">IF(T!$A$4&gt;='[8]Podklady MZ'!K$2,'[8]Podklady MZ'!K21,"")</f>
        <v>3.23091783270293E-2</v>
      </c>
      <c r="L16" s="653">
        <f ca="1">IF(T!$A$4&gt;='[8]Podklady MZ'!L$2,'[8]Podklady MZ'!L21,"")</f>
        <v>-7.3844848253246817E-2</v>
      </c>
      <c r="M16" s="652">
        <f ca="1">IF(T!$A$4&gt;='[8]Podklady MZ'!M$2,'[8]Podklady MZ'!M21,"")</f>
        <v>7.0591374727436595E-2</v>
      </c>
      <c r="N16" s="652" t="str">
        <f ca="1">IF(T!$A$4&gt;='[8]Podklady MZ'!N$2,'[8]Podklady MZ'!N21,"")</f>
        <v/>
      </c>
      <c r="O16" s="652" t="str">
        <f ca="1">IF(T!$A$4&gt;='[8]Podklady MZ'!O$2,'[8]Podklady MZ'!O21,"")</f>
        <v/>
      </c>
      <c r="P16" s="654">
        <f ca="1">(P14-P17)/P17</f>
        <v>8.2917637753788138E-3</v>
      </c>
    </row>
    <row r="17" spans="1:16" ht="18" customHeight="1" x14ac:dyDescent="0.2">
      <c r="A17" s="874"/>
      <c r="B17" s="98" t="str">
        <f>"spotřeba "&amp;$A$3-1</f>
        <v>spotřeba 2014</v>
      </c>
      <c r="C17" s="567" t="s">
        <v>231</v>
      </c>
      <c r="D17" s="525">
        <f ca="1">IF(T!$A$4&gt;='[8]Podklady MZ'!D$2,'[8]Podklady MZ'!D22,"")</f>
        <v>1189.2153494121144</v>
      </c>
      <c r="E17" s="525">
        <f ca="1">IF(T!$A$4&gt;='[8]Podklady MZ'!E$2,'[8]Podklady MZ'!E22,"")</f>
        <v>1025.1294531860426</v>
      </c>
      <c r="F17" s="526">
        <f ca="1">IF(T!$A$4&gt;='[8]Podklady MZ'!F$2,'[8]Podklady MZ'!F22,"")</f>
        <v>854.69867527840756</v>
      </c>
      <c r="G17" s="525">
        <f ca="1">IF(T!$A$4&gt;='[8]Podklady MZ'!G$2,'[8]Podklady MZ'!G22,"")</f>
        <v>611.71354338673984</v>
      </c>
      <c r="H17" s="527">
        <f ca="1">IF(T!$A$4&gt;='[8]Podklady MZ'!H$2,'[8]Podklady MZ'!H22,"")</f>
        <v>420.32606255329387</v>
      </c>
      <c r="I17" s="528">
        <f ca="1">IF(T!$A$4&gt;='[8]Podklady MZ'!I$2,'[8]Podklady MZ'!I22,"")</f>
        <v>311.58909767509618</v>
      </c>
      <c r="J17" s="527">
        <f ca="1">IF(T!$A$4&gt;='[8]Podklady MZ'!J$2,'[8]Podklady MZ'!J22,"")</f>
        <v>318.31209644031139</v>
      </c>
      <c r="K17" s="527">
        <f ca="1">IF(T!$A$4&gt;='[8]Podklady MZ'!K$2,'[8]Podklady MZ'!K22,"")</f>
        <v>289.65972093748962</v>
      </c>
      <c r="L17" s="528">
        <f ca="1">IF(T!$A$4&gt;='[8]Podklady MZ'!L$2,'[8]Podklady MZ'!L22,"")</f>
        <v>388.42976796244523</v>
      </c>
      <c r="M17" s="527">
        <f ca="1">IF(T!$A$4&gt;='[8]Podklady MZ'!M$2,'[8]Podklady MZ'!M22,"")</f>
        <v>652.75770767701385</v>
      </c>
      <c r="N17" s="527" t="str">
        <f ca="1">IF(T!$A$4&gt;='[8]Podklady MZ'!N$2,'[8]Podklady MZ'!N22,"")</f>
        <v/>
      </c>
      <c r="O17" s="527" t="str">
        <f ca="1">IF(T!$A$4&gt;='[8]Podklady MZ'!O$2,'[8]Podklady MZ'!O22,"")</f>
        <v/>
      </c>
      <c r="P17" s="589">
        <f t="shared" ca="1" si="0"/>
        <v>6061.8314745089547</v>
      </c>
    </row>
    <row r="18" spans="1:16" ht="18" customHeight="1" x14ac:dyDescent="0.2">
      <c r="A18" s="874"/>
      <c r="B18" s="98" t="str">
        <f>"spotřeba "&amp;$A$3-1</f>
        <v>spotřeba 2014</v>
      </c>
      <c r="C18" s="567" t="s">
        <v>284</v>
      </c>
      <c r="D18" s="525">
        <f ca="1">IF(T!$A$4&gt;='[8]Podklady MZ'!D$2,'[8]Podklady MZ'!D23,"")</f>
        <v>12667.408926479648</v>
      </c>
      <c r="E18" s="525">
        <f ca="1">IF(T!$A$4&gt;='[8]Podklady MZ'!E$2,'[8]Podklady MZ'!E23,"")</f>
        <v>10900.431104724707</v>
      </c>
      <c r="F18" s="526">
        <f ca="1">IF(T!$A$4&gt;='[8]Podklady MZ'!F$2,'[8]Podklady MZ'!F23,"")</f>
        <v>9079.2845407607147</v>
      </c>
      <c r="G18" s="525">
        <f ca="1">IF(T!$A$4&gt;='[8]Podklady MZ'!G$2,'[8]Podklady MZ'!G23,"")</f>
        <v>6505.8304536062005</v>
      </c>
      <c r="H18" s="527">
        <f ca="1">IF(T!$A$4&gt;='[8]Podklady MZ'!H$2,'[8]Podklady MZ'!H23,"")</f>
        <v>4473.3418014600138</v>
      </c>
      <c r="I18" s="528">
        <f ca="1">IF(T!$A$4&gt;='[8]Podklady MZ'!I$2,'[8]Podklady MZ'!I23,"")</f>
        <v>3316.9799863611479</v>
      </c>
      <c r="J18" s="527">
        <f ca="1">IF(T!$A$4&gt;='[8]Podklady MZ'!J$2,'[8]Podklady MZ'!J23,"")</f>
        <v>3373.4597322108611</v>
      </c>
      <c r="K18" s="527">
        <f ca="1">IF(T!$A$4&gt;='[8]Podklady MZ'!K$2,'[8]Podklady MZ'!K23,"")</f>
        <v>3091.0353529400118</v>
      </c>
      <c r="L18" s="528">
        <f ca="1">IF(T!$A$4&gt;='[8]Podklady MZ'!L$2,'[8]Podklady MZ'!L23,"")</f>
        <v>4137.7695753912321</v>
      </c>
      <c r="M18" s="527">
        <f ca="1">IF(T!$A$4&gt;='[8]Podklady MZ'!M$2,'[8]Podklady MZ'!M23,"")</f>
        <v>6935.933812842678</v>
      </c>
      <c r="N18" s="527" t="str">
        <f ca="1">IF(T!$A$4&gt;='[8]Podklady MZ'!N$2,'[8]Podklady MZ'!N23,"")</f>
        <v/>
      </c>
      <c r="O18" s="527" t="str">
        <f ca="1">IF(T!$A$4&gt;='[8]Podklady MZ'!O$2,'[8]Podklady MZ'!O23,"")</f>
        <v/>
      </c>
      <c r="P18" s="589">
        <f t="shared" ca="1" si="0"/>
        <v>64481.475286777211</v>
      </c>
    </row>
    <row r="19" spans="1:16" ht="9.9499999999999993" customHeight="1" x14ac:dyDescent="0.2">
      <c r="A19" s="875"/>
      <c r="B19" s="510"/>
      <c r="C19" s="530"/>
      <c r="D19" s="531"/>
      <c r="E19" s="531"/>
      <c r="F19" s="532"/>
      <c r="G19" s="531"/>
      <c r="H19" s="533"/>
      <c r="I19" s="534"/>
      <c r="J19" s="533"/>
      <c r="K19" s="533"/>
      <c r="L19" s="534"/>
      <c r="M19" s="533"/>
      <c r="N19" s="533"/>
      <c r="O19" s="533"/>
      <c r="P19" s="590"/>
    </row>
    <row r="20" spans="1:16" ht="9.9499999999999993" customHeight="1" x14ac:dyDescent="0.2">
      <c r="A20" s="502"/>
      <c r="B20" s="512"/>
      <c r="C20" s="536"/>
      <c r="D20" s="537"/>
      <c r="E20" s="537"/>
      <c r="F20" s="537"/>
      <c r="G20" s="538"/>
      <c r="H20" s="539"/>
      <c r="I20" s="540"/>
      <c r="J20" s="539"/>
      <c r="K20" s="539"/>
      <c r="L20" s="539"/>
      <c r="M20" s="541"/>
      <c r="N20" s="539"/>
      <c r="O20" s="539"/>
      <c r="P20" s="589"/>
    </row>
    <row r="21" spans="1:16" ht="18" customHeight="1" x14ac:dyDescent="0.2">
      <c r="A21" s="874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7" t="s">
        <v>231</v>
      </c>
      <c r="D21" s="658">
        <f ca="1">IF(T!$A$4&gt;='[8]Podklady MZ'!D$2,'[8]Podklady MZ'!D26,"")</f>
        <v>41.345389040398715</v>
      </c>
      <c r="E21" s="658">
        <f ca="1">IF(T!$A$4&gt;='[8]Podklady MZ'!E$2,'[8]Podklady MZ'!E26,"")</f>
        <v>42.621557004484409</v>
      </c>
      <c r="F21" s="658">
        <f ca="1">IF(T!$A$4&gt;='[8]Podklady MZ'!F$2,'[8]Podklady MZ'!F26,"")</f>
        <v>33.669323046807904</v>
      </c>
      <c r="G21" s="659">
        <f ca="1">IF(T!$A$4&gt;='[8]Podklady MZ'!G$2,'[8]Podklady MZ'!G26,"")</f>
        <v>32.46272056517094</v>
      </c>
      <c r="H21" s="660">
        <f ca="1">IF(T!$A$4&gt;='[8]Podklady MZ'!H$2,'[8]Podklady MZ'!H26,"")</f>
        <v>16.070703750605009</v>
      </c>
      <c r="I21" s="661">
        <f ca="1">IF(T!$A$4&gt;='[8]Podklady MZ'!I$2,'[8]Podklady MZ'!I26,"")</f>
        <v>12.524604969460771</v>
      </c>
      <c r="J21" s="660">
        <f ca="1">IF(T!$A$4&gt;='[8]Podklady MZ'!J$2,'[8]Podklady MZ'!J26,"")</f>
        <v>12.924143254571844</v>
      </c>
      <c r="K21" s="660">
        <f ca="1">IF(T!$A$4&gt;='[8]Podklady MZ'!K$2,'[8]Podklady MZ'!K26,"")</f>
        <v>12.275837216732805</v>
      </c>
      <c r="L21" s="660">
        <f ca="1">IF(T!$A$4&gt;='[8]Podklady MZ'!L$2,'[8]Podklady MZ'!L26,"")</f>
        <v>18.580584968434316</v>
      </c>
      <c r="M21" s="662">
        <f ca="1">IF(T!$A$4&gt;='[8]Podklady MZ'!M$2,'[8]Podklady MZ'!M26,"")</f>
        <v>30.622928281272621</v>
      </c>
      <c r="N21" s="660" t="str">
        <f ca="1">IF(T!$A$4&gt;='[8]Podklady MZ'!N$2,'[8]Podklady MZ'!N26,"")</f>
        <v/>
      </c>
      <c r="O21" s="660" t="str">
        <f ca="1">IF(T!$A$4&gt;='[8]Podklady MZ'!O$2,'[8]Podklady MZ'!O26,"")</f>
        <v/>
      </c>
      <c r="P21" s="667" t="str">
        <f ca="1">IF(T!$A$4&gt;='[8]Podklady MZ'!P$2,'[8]Podklady MZ'!P26,"")</f>
        <v/>
      </c>
    </row>
    <row r="22" spans="1:16" ht="18" customHeight="1" x14ac:dyDescent="0.2">
      <c r="A22" s="874"/>
      <c r="B22" s="98" t="str">
        <f>"max. spotřeba "&amp;$A$3</f>
        <v>max. spotřeba 2015</v>
      </c>
      <c r="C22" s="567" t="s">
        <v>284</v>
      </c>
      <c r="D22" s="658">
        <f ca="1">IF(T!$A$4&gt;='[8]Podklady MZ'!D$2,'[8]Podklady MZ'!D27,"")</f>
        <v>439.44407081290325</v>
      </c>
      <c r="E22" s="658">
        <f ca="1">IF(T!$A$4&gt;='[8]Podklady MZ'!E$2,'[8]Podklady MZ'!E27,"")</f>
        <v>453.14177378571429</v>
      </c>
      <c r="F22" s="658">
        <f ca="1">IF(T!$A$4&gt;='[8]Podklady MZ'!F$2,'[8]Podklady MZ'!F27,"")</f>
        <v>357.93155186451617</v>
      </c>
      <c r="G22" s="659">
        <f ca="1">IF(T!$A$4&gt;='[8]Podklady MZ'!G$2,'[8]Podklady MZ'!G27,"")</f>
        <v>345.30682224000003</v>
      </c>
      <c r="H22" s="660">
        <f ca="1">IF(T!$A$4&gt;='[8]Podklady MZ'!H$2,'[8]Podklady MZ'!H27,"")</f>
        <v>171.97315488387096</v>
      </c>
      <c r="I22" s="661">
        <f ca="1">IF(T!$A$4&gt;='[8]Podklady MZ'!I$2,'[8]Podklady MZ'!I27,"")</f>
        <v>134.11532828333333</v>
      </c>
      <c r="J22" s="660">
        <f ca="1">IF(T!$A$4&gt;='[8]Podklady MZ'!J$2,'[8]Podklady MZ'!J27,"")</f>
        <v>138.00439579354838</v>
      </c>
      <c r="K22" s="660">
        <f ca="1">IF(T!$A$4&gt;='[8]Podklady MZ'!K$2,'[8]Podklady MZ'!K27,"")</f>
        <v>131.51468844516128</v>
      </c>
      <c r="L22" s="660">
        <f ca="1">IF(T!$A$4&gt;='[8]Podklady MZ'!L$2,'[8]Podklady MZ'!L27,"")</f>
        <v>198.71052223333334</v>
      </c>
      <c r="M22" s="662">
        <f ca="1">IF(T!$A$4&gt;='[8]Podklady MZ'!M$2,'[8]Podklady MZ'!M27,"")</f>
        <v>327.12787833548384</v>
      </c>
      <c r="N22" s="660" t="str">
        <f ca="1">IF(T!$A$4&gt;='[8]Podklady MZ'!N$2,'[8]Podklady MZ'!N27,"")</f>
        <v/>
      </c>
      <c r="O22" s="660" t="str">
        <f ca="1">IF(T!$A$4&gt;='[8]Podklady MZ'!O$2,'[8]Podklady MZ'!O27,"")</f>
        <v/>
      </c>
      <c r="P22" s="667" t="str">
        <f ca="1">IF(T!$A$4&gt;='[8]Podklady MZ'!P$2,'[8]Podklady MZ'!P27,"")</f>
        <v/>
      </c>
    </row>
    <row r="23" spans="1:16" ht="18" customHeight="1" x14ac:dyDescent="0.2">
      <c r="A23" s="874"/>
      <c r="B23" s="574" t="s">
        <v>42</v>
      </c>
      <c r="C23" s="572" t="s">
        <v>233</v>
      </c>
      <c r="D23" s="546">
        <f ca="1">IF(T!$A$4&gt;='[8]Podklady MZ'!D$2,'[8]Podklady MZ'!D28,"")</f>
        <v>-3.6</v>
      </c>
      <c r="E23" s="546">
        <f ca="1">IF(T!$A$4&gt;='[8]Podklady MZ'!E$2,'[8]Podklady MZ'!E28,"")</f>
        <v>-3.4</v>
      </c>
      <c r="F23" s="546">
        <f ca="1">IF(T!$A$4&gt;='[8]Podklady MZ'!F$2,'[8]Podklady MZ'!F28,"")</f>
        <v>1</v>
      </c>
      <c r="G23" s="547">
        <f ca="1">IF(T!$A$4&gt;='[8]Podklady MZ'!G$2,'[8]Podklady MZ'!G28,"")</f>
        <v>1.3</v>
      </c>
      <c r="H23" s="548">
        <f ca="1">IF(T!$A$4&gt;='[8]Podklady MZ'!H$2,'[8]Podklady MZ'!H28,"")</f>
        <v>9.1</v>
      </c>
      <c r="I23" s="549">
        <f ca="1">IF(T!$A$4&gt;='[8]Podklady MZ'!I$2,'[8]Podklady MZ'!I28,"")</f>
        <v>12.8</v>
      </c>
      <c r="J23" s="548">
        <f ca="1">IF(T!$A$4&gt;='[8]Podklady MZ'!J$2,'[8]Podklady MZ'!J28,"")</f>
        <v>19.2</v>
      </c>
      <c r="K23" s="548">
        <f ca="1">IF(T!$A$4&gt;='[8]Podklady MZ'!K$2,'[8]Podklady MZ'!K28,"")</f>
        <v>14.8</v>
      </c>
      <c r="L23" s="548">
        <f ca="1">IF(T!$A$4&gt;='[8]Podklady MZ'!L$2,'[8]Podklady MZ'!L28,"")</f>
        <v>7.6</v>
      </c>
      <c r="M23" s="11">
        <f ca="1">IF(T!$A$4&gt;='[8]Podklady MZ'!M$2,'[8]Podklady MZ'!M28,"")</f>
        <v>3</v>
      </c>
      <c r="N23" s="548" t="str">
        <f ca="1">IF(T!$A$4&gt;='[8]Podklady MZ'!N$2,'[8]Podklady MZ'!N28,"")</f>
        <v/>
      </c>
      <c r="O23" s="548" t="str">
        <f ca="1">IF(T!$A$4&gt;='[8]Podklady MZ'!O$2,'[8]Podklady MZ'!O28,"")</f>
        <v/>
      </c>
      <c r="P23" s="590" t="str">
        <f ca="1">IF(T!$A$4&gt;='[8]Podklady MZ'!P$2,'[8]Podklady MZ'!P28,"")</f>
        <v/>
      </c>
    </row>
    <row r="24" spans="1:16" ht="18" customHeight="1" x14ac:dyDescent="0.2">
      <c r="A24" s="874"/>
      <c r="B24" s="98" t="str">
        <f>"min. spotřeba "&amp;$A$3</f>
        <v>min. spotřeba 2015</v>
      </c>
      <c r="C24" s="567" t="s">
        <v>231</v>
      </c>
      <c r="D24" s="658">
        <f ca="1">IF(T!$A$4&gt;='[8]Podklady MZ'!D$2,'[8]Podklady MZ'!D29,"")</f>
        <v>26.684387110760138</v>
      </c>
      <c r="E24" s="658">
        <f ca="1">IF(T!$A$4&gt;='[8]Podklady MZ'!E$2,'[8]Podklady MZ'!E29,"")</f>
        <v>29.662131335351482</v>
      </c>
      <c r="F24" s="658">
        <f ca="1">IF(T!$A$4&gt;='[8]Podklady MZ'!F$2,'[8]Podklady MZ'!F29,"")</f>
        <v>22.43004746355092</v>
      </c>
      <c r="G24" s="659">
        <f ca="1">IF(T!$A$4&gt;='[8]Podklady MZ'!G$2,'[8]Podklady MZ'!G29,"")</f>
        <v>12.336617288364373</v>
      </c>
      <c r="H24" s="660">
        <f ca="1">IF(T!$A$4&gt;='[8]Podklady MZ'!H$2,'[8]Podklady MZ'!H29,"")</f>
        <v>9.9833297936764538</v>
      </c>
      <c r="I24" s="661">
        <f ca="1">IF(T!$A$4&gt;='[8]Podklady MZ'!I$2,'[8]Podklady MZ'!I29,"")</f>
        <v>8.0874519176162973</v>
      </c>
      <c r="J24" s="660">
        <f ca="1">IF(T!$A$4&gt;='[8]Podklady MZ'!J$2,'[8]Podklady MZ'!J29,"")</f>
        <v>7.4815198200827711</v>
      </c>
      <c r="K24" s="660">
        <f ca="1">IF(T!$A$4&gt;='[8]Podklady MZ'!K$2,'[8]Podklady MZ'!K29,"")</f>
        <v>6.9156343597705554</v>
      </c>
      <c r="L24" s="660">
        <f ca="1">IF(T!$A$4&gt;='[8]Podklady MZ'!L$2,'[8]Podklady MZ'!L29,"")</f>
        <v>8.1970730704195525</v>
      </c>
      <c r="M24" s="662">
        <f ca="1">IF(T!$A$4&gt;='[8]Podklady MZ'!M$2,'[8]Podklady MZ'!M29,"")</f>
        <v>13.891405785625052</v>
      </c>
      <c r="N24" s="660" t="str">
        <f ca="1">IF(T!$A$4&gt;='[8]Podklady MZ'!N$2,'[8]Podklady MZ'!N29,"")</f>
        <v/>
      </c>
      <c r="O24" s="660" t="str">
        <f ca="1">IF(T!$A$4&gt;='[8]Podklady MZ'!O$2,'[8]Podklady MZ'!O29,"")</f>
        <v/>
      </c>
      <c r="P24" s="667" t="str">
        <f ca="1">IF(T!$A$4&gt;='[8]Podklady MZ'!P$2,'[8]Podklady MZ'!P29,"")</f>
        <v/>
      </c>
    </row>
    <row r="25" spans="1:16" ht="18" customHeight="1" x14ac:dyDescent="0.2">
      <c r="A25" s="874"/>
      <c r="B25" s="98" t="str">
        <f>"min. spotřeba "&amp;$A$3</f>
        <v>min. spotřeba 2015</v>
      </c>
      <c r="C25" s="567" t="s">
        <v>284</v>
      </c>
      <c r="D25" s="658">
        <f ca="1">IF(T!$A$4&gt;='[8]Podklady MZ'!D$2,'[8]Podklady MZ'!D30,"")</f>
        <v>283.65752081290321</v>
      </c>
      <c r="E25" s="658">
        <f ca="1">IF(T!$A$4&gt;='[8]Podklady MZ'!E$2,'[8]Podklady MZ'!E30,"")</f>
        <v>315.42335078571426</v>
      </c>
      <c r="F25" s="658">
        <f ca="1">IF(T!$A$4&gt;='[8]Podklady MZ'!F$2,'[8]Podklady MZ'!F30,"")</f>
        <v>238.48520286451614</v>
      </c>
      <c r="G25" s="659">
        <f ca="1">IF(T!$A$4&gt;='[8]Podklady MZ'!G$2,'[8]Podklady MZ'!G30,"")</f>
        <v>131.30157723999997</v>
      </c>
      <c r="H25" s="660">
        <f ca="1">IF(T!$A$4&gt;='[8]Podklady MZ'!H$2,'[8]Podklady MZ'!H30,"")</f>
        <v>106.87008388387098</v>
      </c>
      <c r="I25" s="661">
        <f ca="1">IF(T!$A$4&gt;='[8]Podklady MZ'!I$2,'[8]Podklady MZ'!I30,"")</f>
        <v>86.645689283333326</v>
      </c>
      <c r="J25" s="660">
        <f ca="1">IF(T!$A$4&gt;='[8]Podklady MZ'!J$2,'[8]Podklady MZ'!J30,"")</f>
        <v>79.912194793548395</v>
      </c>
      <c r="K25" s="660">
        <f ca="1">IF(T!$A$4&gt;='[8]Podklady MZ'!K$2,'[8]Podklady MZ'!K30,"")</f>
        <v>74.112511445161289</v>
      </c>
      <c r="L25" s="660">
        <f ca="1">IF(T!$A$4&gt;='[8]Podklady MZ'!L$2,'[8]Podklady MZ'!L30,"")</f>
        <v>87.702114233333347</v>
      </c>
      <c r="M25" s="662">
        <f ca="1">IF(T!$A$4&gt;='[8]Podklady MZ'!M$2,'[8]Podklady MZ'!M30,"")</f>
        <v>148.41271333548389</v>
      </c>
      <c r="N25" s="660" t="str">
        <f ca="1">IF(T!$A$4&gt;='[8]Podklady MZ'!N$2,'[8]Podklady MZ'!N30,"")</f>
        <v/>
      </c>
      <c r="O25" s="660" t="str">
        <f ca="1">IF(T!$A$4&gt;='[8]Podklady MZ'!O$2,'[8]Podklady MZ'!O30,"")</f>
        <v/>
      </c>
      <c r="P25" s="667" t="str">
        <f ca="1">IF(T!$A$4&gt;='[8]Podklady MZ'!P$2,'[8]Podklady MZ'!P30,"")</f>
        <v/>
      </c>
    </row>
    <row r="26" spans="1:16" ht="18" customHeight="1" x14ac:dyDescent="0.2">
      <c r="A26" s="874"/>
      <c r="B26" s="568" t="s">
        <v>42</v>
      </c>
      <c r="C26" s="567" t="s">
        <v>233</v>
      </c>
      <c r="D26" s="542">
        <f ca="1">IF(T!$A$4&gt;='[8]Podklady MZ'!D$2,'[8]Podklady MZ'!D31,"")</f>
        <v>11</v>
      </c>
      <c r="E26" s="542">
        <f ca="1">IF(T!$A$4&gt;='[8]Podklady MZ'!E$2,'[8]Podklady MZ'!E31,"")</f>
        <v>2.2000000000000002</v>
      </c>
      <c r="F26" s="542">
        <f ca="1">IF(T!$A$4&gt;='[8]Podklady MZ'!F$2,'[8]Podklady MZ'!F31,"")</f>
        <v>4.2</v>
      </c>
      <c r="G26" s="543">
        <f ca="1">IF(T!$A$4&gt;='[8]Podklady MZ'!G$2,'[8]Podklady MZ'!G31,"")</f>
        <v>14.6</v>
      </c>
      <c r="H26" s="529">
        <f ca="1">IF(T!$A$4&gt;='[8]Podklady MZ'!H$2,'[8]Podklady MZ'!H31,"")</f>
        <v>15.5</v>
      </c>
      <c r="I26" s="544">
        <f ca="1">IF(T!$A$4&gt;='[8]Podklady MZ'!I$2,'[8]Podklady MZ'!I31,"")</f>
        <v>21</v>
      </c>
      <c r="J26" s="529">
        <f ca="1">IF(T!$A$4&gt;='[8]Podklady MZ'!J$2,'[8]Podklady MZ'!J31,"")</f>
        <v>25.8</v>
      </c>
      <c r="K26" s="529">
        <f ca="1">IF(T!$A$4&gt;='[8]Podklady MZ'!K$2,'[8]Podklady MZ'!K31,"")</f>
        <v>27.4</v>
      </c>
      <c r="L26" s="529">
        <f ca="1">IF(T!$A$4&gt;='[8]Podklady MZ'!L$2,'[8]Podklady MZ'!L31,"")</f>
        <v>13.8</v>
      </c>
      <c r="M26" s="24">
        <f ca="1">IF(T!$A$4&gt;='[8]Podklady MZ'!M$2,'[8]Podklady MZ'!M31,"")</f>
        <v>12.4</v>
      </c>
      <c r="N26" s="529" t="str">
        <f ca="1">IF(T!$A$4&gt;='[8]Podklady MZ'!N$2,'[8]Podklady MZ'!N31,"")</f>
        <v/>
      </c>
      <c r="O26" s="529" t="str">
        <f ca="1">IF(T!$A$4&gt;='[8]Podklady MZ'!O$2,'[8]Podklady MZ'!O31,"")</f>
        <v/>
      </c>
      <c r="P26" s="589" t="str">
        <f ca="1">IF(T!$A$4&gt;='[8]Podklady MZ'!P$2,'[8]Podklady MZ'!P31,"")</f>
        <v/>
      </c>
    </row>
    <row r="27" spans="1:16" ht="9.9499999999999993" customHeight="1" x14ac:dyDescent="0.2">
      <c r="A27" s="875"/>
      <c r="B27" s="545"/>
      <c r="C27" s="530"/>
      <c r="D27" s="546"/>
      <c r="E27" s="546"/>
      <c r="F27" s="546"/>
      <c r="G27" s="547"/>
      <c r="H27" s="533"/>
      <c r="I27" s="534"/>
      <c r="J27" s="533"/>
      <c r="K27" s="533"/>
      <c r="L27" s="533"/>
      <c r="M27" s="550"/>
      <c r="N27" s="533"/>
      <c r="O27" s="533"/>
      <c r="P27" s="590"/>
    </row>
    <row r="28" spans="1:16" ht="9.9499999999999993" customHeight="1" x14ac:dyDescent="0.2">
      <c r="A28" s="502"/>
      <c r="B28" s="551"/>
      <c r="C28" s="552"/>
      <c r="D28" s="553"/>
      <c r="E28" s="553"/>
      <c r="F28" s="553"/>
      <c r="G28" s="554"/>
      <c r="H28" s="539"/>
      <c r="I28" s="540"/>
      <c r="J28" s="539"/>
      <c r="K28" s="539"/>
      <c r="L28" s="539"/>
      <c r="M28" s="541"/>
      <c r="N28" s="539"/>
      <c r="O28" s="539"/>
      <c r="P28" s="589"/>
    </row>
    <row r="29" spans="1:16" ht="18" customHeight="1" x14ac:dyDescent="0.2">
      <c r="A29" s="874" t="str">
        <f>"Denní 
modelová spotřeba 
zemního plynu
"&amp;$A$3</f>
        <v>Denní 
modelová spotřeba 
zemního plynu
2015</v>
      </c>
      <c r="B29" s="570" t="s">
        <v>228</v>
      </c>
      <c r="C29" s="571" t="s">
        <v>231</v>
      </c>
      <c r="D29" s="655">
        <f ca="1">IF(T!$A$4&gt;='[8]Podklady MZ'!D$2,'[8]Podklady MZ'!D34,"")</f>
        <v>0.91219251430331394</v>
      </c>
      <c r="E29" s="655">
        <f ca="1">IF(T!$A$4&gt;='[8]Podklady MZ'!E$2,'[8]Podklady MZ'!E34,"")</f>
        <v>1.3110234890123738</v>
      </c>
      <c r="F29" s="655">
        <f ca="1">IF(T!$A$4&gt;='[8]Podklady MZ'!F$2,'[8]Podklady MZ'!F34,"")</f>
        <v>1.1251568759219512</v>
      </c>
      <c r="G29" s="656">
        <f ca="1">IF(T!$A$4&gt;='[8]Podklady MZ'!G$2,'[8]Podklady MZ'!G34,"")</f>
        <v>1.2859358325557315</v>
      </c>
      <c r="H29" s="655">
        <f ca="1">IF(T!$A$4&gt;='[8]Podklady MZ'!H$2,'[8]Podklady MZ'!H34,"")</f>
        <v>0.27227439236338308</v>
      </c>
      <c r="I29" s="657">
        <f ca="1">IF(T!$A$4&gt;='[8]Podklady MZ'!I$2,'[8]Podklady MZ'!I34,"")</f>
        <v>0.16364182324992455</v>
      </c>
      <c r="J29" s="655">
        <f ca="1">IF(T!$A$4&gt;='[8]Podklady MZ'!J$2,'[8]Podklady MZ'!J34,"")</f>
        <v>2.8467161555886154E-2</v>
      </c>
      <c r="K29" s="655">
        <f ca="1">IF(T!$A$4&gt;='[8]Podklady MZ'!K$2,'[8]Podklady MZ'!K34,"")</f>
        <v>0.19659042148390893</v>
      </c>
      <c r="L29" s="655">
        <f ca="1">IF(T!$A$4&gt;='[8]Podklady MZ'!L$2,'[8]Podklady MZ'!L34,"")</f>
        <v>0.42902119788235332</v>
      </c>
      <c r="M29" s="656">
        <f ca="1">IF(T!$A$4&gt;='[8]Podklady MZ'!M$2,'[8]Podklady MZ'!M34,"")</f>
        <v>1.231784387523041</v>
      </c>
      <c r="N29" s="655" t="str">
        <f ca="1">IF(T!$A$4&gt;='[8]Podklady MZ'!N$2,'[8]Podklady MZ'!N34,"")</f>
        <v/>
      </c>
      <c r="O29" s="655" t="str">
        <f ca="1">IF(T!$A$4&gt;='[8]Podklady MZ'!O$2,'[8]Podklady MZ'!O34,"")</f>
        <v/>
      </c>
      <c r="P29" s="595" t="s">
        <v>253</v>
      </c>
    </row>
    <row r="30" spans="1:16" ht="18" customHeight="1" x14ac:dyDescent="0.2">
      <c r="A30" s="874"/>
      <c r="B30" s="570" t="s">
        <v>228</v>
      </c>
      <c r="C30" s="571" t="s">
        <v>284</v>
      </c>
      <c r="D30" s="655">
        <f ca="1">IF(T!$A$4&gt;='[8]Podklady MZ'!D$2,'[8]Podklady MZ'!D35,"")</f>
        <v>9.6955474118236964</v>
      </c>
      <c r="E30" s="655">
        <f ca="1">IF(T!$A$4&gt;='[8]Podklady MZ'!E$2,'[8]Podklady MZ'!E35,"")</f>
        <v>13.940307026974384</v>
      </c>
      <c r="F30" s="655">
        <f ca="1">IF(T!$A$4&gt;='[8]Podklady MZ'!F$2,'[8]Podklady MZ'!F35,"")</f>
        <v>11.962097075588696</v>
      </c>
      <c r="G30" s="656">
        <f ca="1">IF(T!$A$4&gt;='[8]Podklady MZ'!G$2,'[8]Podklady MZ'!G35,"")</f>
        <v>13.681171183550427</v>
      </c>
      <c r="H30" s="655">
        <f ca="1">IF(T!$A$4&gt;='[8]Podklady MZ'!H$2,'[8]Podklady MZ'!H35,"")</f>
        <v>2.9140530370323043</v>
      </c>
      <c r="I30" s="657">
        <f ca="1">IF(T!$A$4&gt;='[8]Podklady MZ'!I$2,'[8]Podklady MZ'!I35,"")</f>
        <v>1.7526069426100241</v>
      </c>
      <c r="J30" s="655">
        <f ca="1">IF(T!$A$4&gt;='[8]Podklady MZ'!J$2,'[8]Podklady MZ'!J35,"")</f>
        <v>0.30397564490890416</v>
      </c>
      <c r="K30" s="655">
        <f ca="1">IF(T!$A$4&gt;='[8]Podklady MZ'!K$2,'[8]Podklady MZ'!K35,"")</f>
        <v>2.106103609363259</v>
      </c>
      <c r="L30" s="655">
        <f ca="1">IF(T!$A$4&gt;='[8]Podklady MZ'!L$2,'[8]Podklady MZ'!L35,"")</f>
        <v>4.5891627473969443</v>
      </c>
      <c r="M30" s="656">
        <f ca="1">IF(T!$A$4&gt;='[8]Podklady MZ'!M$2,'[8]Podklady MZ'!M35,"")</f>
        <v>13.156424642263085</v>
      </c>
      <c r="N30" s="655" t="str">
        <f ca="1">IF(T!$A$4&gt;='[8]Podklady MZ'!N$2,'[8]Podklady MZ'!N35,"")</f>
        <v/>
      </c>
      <c r="O30" s="655" t="str">
        <f ca="1">IF(T!$A$4&gt;='[8]Podklady MZ'!O$2,'[8]Podklady MZ'!O35,"")</f>
        <v/>
      </c>
      <c r="P30" s="595" t="s">
        <v>253</v>
      </c>
    </row>
    <row r="31" spans="1:16" ht="18" customHeight="1" x14ac:dyDescent="0.2">
      <c r="A31" s="874"/>
      <c r="B31" s="98" t="s">
        <v>236</v>
      </c>
      <c r="C31" s="567" t="s">
        <v>231</v>
      </c>
      <c r="D31" s="663">
        <f ca="1">IF(T!$A$4&gt;='[8]Podklady MZ'!D$2,'[8]Podklady MZ'!D36,"")</f>
        <v>37.110581900579199</v>
      </c>
      <c r="E31" s="663">
        <f ca="1">IF(T!$A$4&gt;='[8]Podklady MZ'!E$2,'[8]Podklady MZ'!E36,"")</f>
        <v>36.660259452578643</v>
      </c>
      <c r="F31" s="663">
        <f ca="1">IF(T!$A$4&gt;='[8]Podklady MZ'!F$2,'[8]Podklady MZ'!F36,"")</f>
        <v>33.566974590125859</v>
      </c>
      <c r="G31" s="664">
        <f ca="1">IF(T!$A$4&gt;='[8]Podklady MZ'!G$2,'[8]Podklady MZ'!G36,"")</f>
        <v>32.29328305837295</v>
      </c>
      <c r="H31" s="527" t="s">
        <v>253</v>
      </c>
      <c r="I31" s="528" t="s">
        <v>253</v>
      </c>
      <c r="J31" s="527" t="s">
        <v>253</v>
      </c>
      <c r="K31" s="527" t="s">
        <v>253</v>
      </c>
      <c r="L31" s="527" t="s">
        <v>253</v>
      </c>
      <c r="M31" s="664">
        <f ca="1">IF(T!$A$4&gt;='[8]Podklady MZ'!M$2,'[8]Podklady MZ'!M36,"")</f>
        <v>33.774109502568841</v>
      </c>
      <c r="N31" s="663" t="str">
        <f ca="1">IF(T!$A$4&gt;='[8]Podklady MZ'!N$2,'[8]Podklady MZ'!N36,"")</f>
        <v/>
      </c>
      <c r="O31" s="663" t="str">
        <f ca="1">IF(T!$A$4&gt;='[8]Podklady MZ'!O$2,'[8]Podklady MZ'!O36,"")</f>
        <v/>
      </c>
      <c r="P31" s="589" t="s">
        <v>253</v>
      </c>
    </row>
    <row r="32" spans="1:16" ht="18" customHeight="1" x14ac:dyDescent="0.2">
      <c r="A32" s="874"/>
      <c r="B32" s="573" t="s">
        <v>236</v>
      </c>
      <c r="C32" s="572" t="s">
        <v>284</v>
      </c>
      <c r="D32" s="665">
        <f ca="1">IF(T!$A$4&gt;='[8]Podklady MZ'!D$2,'[8]Podklady MZ'!D37,"")</f>
        <v>394.44240185662397</v>
      </c>
      <c r="E32" s="665">
        <f ca="1">IF(T!$A$4&gt;='[8]Podklady MZ'!E$2,'[8]Podklady MZ'!E37,"")</f>
        <v>389.8139711001491</v>
      </c>
      <c r="F32" s="665">
        <f ca="1">IF(T!$A$4&gt;='[8]Podklady MZ'!F$2,'[8]Podklady MZ'!F37,"")</f>
        <v>356.86704420829369</v>
      </c>
      <c r="G32" s="666">
        <f ca="1">IF(T!$A$4&gt;='[8]Podklady MZ'!G$2,'[8]Podklady MZ'!G37,"")</f>
        <v>343.5707462341839</v>
      </c>
      <c r="H32" s="533" t="s">
        <v>253</v>
      </c>
      <c r="I32" s="534" t="s">
        <v>253</v>
      </c>
      <c r="J32" s="533" t="s">
        <v>253</v>
      </c>
      <c r="K32" s="533" t="s">
        <v>253</v>
      </c>
      <c r="L32" s="533" t="s">
        <v>253</v>
      </c>
      <c r="M32" s="666">
        <f ca="1">IF(T!$A$4&gt;='[8]Podklady MZ'!M$2,'[8]Podklady MZ'!M37,"")</f>
        <v>360.73401402952663</v>
      </c>
      <c r="N32" s="665" t="str">
        <f ca="1">IF(T!$A$4&gt;='[8]Podklady MZ'!N$2,'[8]Podklady MZ'!N37,"")</f>
        <v/>
      </c>
      <c r="O32" s="665" t="str">
        <f ca="1">IF(T!$A$4&gt;='[8]Podklady MZ'!O$2,'[8]Podklady MZ'!O37,"")</f>
        <v/>
      </c>
      <c r="P32" s="590" t="s">
        <v>253</v>
      </c>
    </row>
    <row r="33" spans="1:16" ht="18" customHeight="1" x14ac:dyDescent="0.2">
      <c r="A33" s="874"/>
      <c r="B33" s="98" t="s">
        <v>237</v>
      </c>
      <c r="C33" s="567" t="s">
        <v>231</v>
      </c>
      <c r="D33" s="663">
        <f ca="1">IF(T!$A$4&gt;='[8]Podklady MZ'!D$2,'[8]Podklady MZ'!D38,"")</f>
        <v>48.056892072218965</v>
      </c>
      <c r="E33" s="663">
        <f ca="1">IF(T!$A$4&gt;='[8]Podklady MZ'!E$2,'[8]Podklady MZ'!E38,"")</f>
        <v>52.392541320727126</v>
      </c>
      <c r="F33" s="663">
        <f ca="1">IF(T!$A$4&gt;='[8]Podklady MZ'!F$2,'[8]Podklady MZ'!F38,"")</f>
        <v>47.068857101189273</v>
      </c>
      <c r="G33" s="664">
        <f ca="1">IF(T!$A$4&gt;='[8]Podklady MZ'!G$2,'[8]Podklady MZ'!G38,"")</f>
        <v>47.724513049041732</v>
      </c>
      <c r="H33" s="527" t="s">
        <v>253</v>
      </c>
      <c r="I33" s="528" t="s">
        <v>253</v>
      </c>
      <c r="J33" s="527" t="s">
        <v>253</v>
      </c>
      <c r="K33" s="527" t="s">
        <v>253</v>
      </c>
      <c r="L33" s="527" t="s">
        <v>253</v>
      </c>
      <c r="M33" s="664">
        <f ca="1">IF(T!$A$4&gt;='[8]Podklady MZ'!M$2,'[8]Podklady MZ'!M38,"")</f>
        <v>48.555522152845334</v>
      </c>
      <c r="N33" s="663" t="str">
        <f ca="1">IF(T!$A$4&gt;='[8]Podklady MZ'!N$2,'[8]Podklady MZ'!N38,"")</f>
        <v/>
      </c>
      <c r="O33" s="663" t="str">
        <f ca="1">IF(T!$A$4&gt;='[8]Podklady MZ'!O$2,'[8]Podklady MZ'!O38,"")</f>
        <v/>
      </c>
      <c r="P33" s="589" t="s">
        <v>253</v>
      </c>
    </row>
    <row r="34" spans="1:16" ht="18" customHeight="1" x14ac:dyDescent="0.2">
      <c r="A34" s="874"/>
      <c r="B34" s="98" t="s">
        <v>237</v>
      </c>
      <c r="C34" s="567" t="s">
        <v>284</v>
      </c>
      <c r="D34" s="663">
        <f ca="1">IF(T!$A$4&gt;='[8]Podklady MZ'!D$2,'[8]Podklady MZ'!D39,"")</f>
        <v>510.78897079850827</v>
      </c>
      <c r="E34" s="663">
        <f ca="1">IF(T!$A$4&gt;='[8]Podklady MZ'!E$2,'[8]Podklady MZ'!E39,"")</f>
        <v>557.09765542384173</v>
      </c>
      <c r="F34" s="663">
        <f ca="1">IF(T!$A$4&gt;='[8]Podklady MZ'!F$2,'[8]Podklady MZ'!F39,"")</f>
        <v>500.412209115358</v>
      </c>
      <c r="G34" s="664">
        <f ca="1">IF(T!$A$4&gt;='[8]Podklady MZ'!G$2,'[8]Podklady MZ'!G39,"")</f>
        <v>507.74480043678903</v>
      </c>
      <c r="H34" s="527" t="s">
        <v>253</v>
      </c>
      <c r="I34" s="528" t="s">
        <v>253</v>
      </c>
      <c r="J34" s="527" t="s">
        <v>253</v>
      </c>
      <c r="K34" s="527" t="s">
        <v>253</v>
      </c>
      <c r="L34" s="527" t="s">
        <v>253</v>
      </c>
      <c r="M34" s="664">
        <f ca="1">IF(T!$A$4&gt;='[8]Podklady MZ'!M$2,'[8]Podklady MZ'!M39,"")</f>
        <v>518.61110973668372</v>
      </c>
      <c r="N34" s="663" t="str">
        <f ca="1">IF(T!$A$4&gt;='[8]Podklady MZ'!N$2,'[8]Podklady MZ'!N39,"")</f>
        <v/>
      </c>
      <c r="O34" s="663" t="str">
        <f ca="1">IF(T!$A$4&gt;='[8]Podklady MZ'!O$2,'[8]Podklady MZ'!O39,"")</f>
        <v/>
      </c>
      <c r="P34" s="589" t="s">
        <v>253</v>
      </c>
    </row>
    <row r="35" spans="1:16" ht="9.9499999999999993" customHeight="1" x14ac:dyDescent="0.2">
      <c r="A35" s="875"/>
      <c r="B35" s="510"/>
      <c r="C35" s="530"/>
      <c r="D35" s="533"/>
      <c r="E35" s="533"/>
      <c r="F35" s="533"/>
      <c r="G35" s="550"/>
      <c r="H35" s="533"/>
      <c r="I35" s="534"/>
      <c r="J35" s="533"/>
      <c r="K35" s="533"/>
      <c r="L35" s="533"/>
      <c r="M35" s="550"/>
      <c r="N35" s="533"/>
      <c r="O35" s="533"/>
      <c r="P35" s="590"/>
    </row>
    <row r="36" spans="1:16" ht="9.9499999999999993" customHeight="1" x14ac:dyDescent="0.2">
      <c r="A36" s="557"/>
      <c r="B36" s="515"/>
      <c r="C36" s="519"/>
      <c r="D36" s="558"/>
      <c r="E36" s="559"/>
      <c r="F36" s="559"/>
      <c r="G36" s="560"/>
      <c r="H36" s="561"/>
      <c r="I36" s="562"/>
      <c r="J36" s="559"/>
      <c r="K36" s="559"/>
      <c r="L36" s="559"/>
      <c r="M36" s="560"/>
      <c r="N36" s="561"/>
      <c r="O36" s="561"/>
      <c r="P36" s="596"/>
    </row>
    <row r="37" spans="1:16" ht="14.1" customHeight="1" x14ac:dyDescent="0.2"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742"/>
    </row>
    <row r="38" spans="1:16" ht="14.1" customHeight="1" x14ac:dyDescent="0.2"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</row>
    <row r="39" spans="1:16" ht="14.1" customHeight="1" x14ac:dyDescent="0.2">
      <c r="D39" s="500"/>
      <c r="E39" s="686">
        <v>2</v>
      </c>
      <c r="F39" s="686">
        <v>3</v>
      </c>
      <c r="G39" s="686">
        <v>4</v>
      </c>
      <c r="H39" s="686">
        <v>5</v>
      </c>
      <c r="I39" s="686">
        <v>6</v>
      </c>
      <c r="J39" s="686">
        <v>7</v>
      </c>
      <c r="K39" s="686">
        <v>8</v>
      </c>
      <c r="L39" s="686">
        <v>9</v>
      </c>
      <c r="M39" s="686">
        <v>10</v>
      </c>
      <c r="N39" s="686">
        <v>11</v>
      </c>
      <c r="O39" s="686">
        <v>12</v>
      </c>
      <c r="P39" s="686"/>
    </row>
    <row r="40" spans="1:16" ht="14.1" customHeight="1" x14ac:dyDescent="0.2"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</row>
    <row r="41" spans="1:16" ht="14.1" customHeight="1" x14ac:dyDescent="0.2"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</row>
    <row r="42" spans="1:16" ht="14.1" customHeight="1" x14ac:dyDescent="0.2"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</row>
    <row r="43" spans="1:16" x14ac:dyDescent="0.2"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</row>
    <row r="44" spans="1:16" x14ac:dyDescent="0.2"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</row>
    <row r="45" spans="1:16" x14ac:dyDescent="0.2"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</row>
    <row r="46" spans="1:16" x14ac:dyDescent="0.2"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</row>
    <row r="47" spans="1:16" x14ac:dyDescent="0.2"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</row>
    <row r="48" spans="1:16" x14ac:dyDescent="0.2"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</row>
    <row r="49" spans="4:16" x14ac:dyDescent="0.2"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</row>
    <row r="50" spans="4:16" x14ac:dyDescent="0.2"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</row>
    <row r="51" spans="4:16" x14ac:dyDescent="0.2"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0" t="s">
        <v>54</v>
      </c>
      <c r="P1" s="820"/>
    </row>
    <row r="2" spans="1:17" ht="15.95" customHeight="1" x14ac:dyDescent="0.25">
      <c r="A2" s="876" t="s">
        <v>229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</row>
    <row r="3" spans="1:17" ht="14.1" customHeight="1" x14ac:dyDescent="0.25">
      <c r="A3" s="877">
        <f>T!$I$21</f>
        <v>2015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 t="s">
        <v>119</v>
      </c>
      <c r="B5" s="886" t="s">
        <v>278</v>
      </c>
      <c r="C5" s="887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5.0999999999999996" customHeight="1" x14ac:dyDescent="0.2">
      <c r="A6" s="878" t="s">
        <v>6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4.1" customHeight="1" x14ac:dyDescent="0.2">
      <c r="A7" s="874"/>
      <c r="B7" s="98" t="s">
        <v>240</v>
      </c>
      <c r="C7" s="567" t="s">
        <v>231</v>
      </c>
      <c r="D7" s="529">
        <f ca="1">IF(T!$A$4&gt;=D$50,INDEX([2]DS!$B36:$AK36,1,3*MONTH(D$5&amp;$A$3)-1)/1000,"")</f>
        <v>385.63213875298783</v>
      </c>
      <c r="E7" s="529">
        <f ca="1">IF(T!$A$4&gt;=E$50,INDEX([2]DS!$B36:$AK36,1,3*MONTH(E$5&amp;$A$3)-1)/1000,"")</f>
        <v>353.33978032210234</v>
      </c>
      <c r="F7" s="569">
        <f ca="1">IF(T!$A$4&gt;=F$50,INDEX([2]DS!$B36:$AK36,1,3*MONTH(F$5&amp;$A$3)-1)/1000,"")</f>
        <v>346.37501366394571</v>
      </c>
      <c r="G7" s="542">
        <f ca="1">IF(T!$A$4&gt;=G$50,INDEX([2]DS!$B36:$AK36,1,3*MONTH(G$5&amp;$A$3)-1)/1000,"")</f>
        <v>288.19805184514018</v>
      </c>
      <c r="H7" s="529">
        <f ca="1">IF(T!$A$4&gt;=H$50,INDEX([2]DS!$B36:$AK36,1,3*MONTH(H$5&amp;$A$3)-1)/1000,"")</f>
        <v>245.68114266191338</v>
      </c>
      <c r="I7" s="544">
        <f ca="1">IF(T!$A$4&gt;=I$50,INDEX([2]DS!$B36:$AK36,1,3*MONTH(I$5&amp;$A$3)-1)/1000,"")</f>
        <v>222.39487171832147</v>
      </c>
      <c r="J7" s="529">
        <f ca="1">IF(T!$A$4&gt;=J$50,INDEX([2]DS!$B36:$AK36,1,3*MONTH(J$5&amp;$A$3)-1)/1000,"")</f>
        <v>224.67789046928047</v>
      </c>
      <c r="K7" s="529">
        <f ca="1">IF(T!$A$4&gt;=K$50,INDEX([2]DS!$B36:$AK36,1,3*MONTH(K$5&amp;$A$3)-1)/1000,"")</f>
        <v>205.69359563343002</v>
      </c>
      <c r="L7" s="544">
        <f ca="1">IF(T!$A$4&gt;=L$50,INDEX([2]DS!$B36:$AK36,1,3*MONTH(L$5&amp;$A$3)-1)/1000,"")</f>
        <v>233.9718208013642</v>
      </c>
      <c r="M7" s="529">
        <f ca="1">IF(T!$A$4&gt;=M$50,INDEX([2]DS!$B36:$AK36,1,3*MONTH(M$5&amp;$A$3)-1)/1000,"")</f>
        <v>333.36066300000005</v>
      </c>
      <c r="N7" s="529" t="str">
        <f ca="1">IF(T!$A$4&gt;=N$50,INDEX([2]DS!$B36:$AK36,1,3*MONTH(N$5&amp;$A$3)-1)/1000,"")</f>
        <v/>
      </c>
      <c r="O7" s="529" t="str">
        <f ca="1">IF(T!$A$4&gt;=O$50,INDEX([2]DS!$B36:$AK36,1,3*MONTH(O$5&amp;$A$3)-1)/1000,"")</f>
        <v/>
      </c>
      <c r="P7" s="589">
        <f ca="1">SUM(D7:O7)</f>
        <v>2839.3249688684855</v>
      </c>
    </row>
    <row r="8" spans="1:17" ht="14.1" customHeight="1" x14ac:dyDescent="0.2">
      <c r="A8" s="874"/>
      <c r="B8" s="98" t="s">
        <v>240</v>
      </c>
      <c r="C8" s="567" t="s">
        <v>284</v>
      </c>
      <c r="D8" s="542">
        <f ca="1">IF(T!$A$4&gt;=D$50,INDEX([2]DS!$B36:$AK36,1,3*MONTH(D$5&amp;$A$3))/1000,"")</f>
        <v>4099.1532515729996</v>
      </c>
      <c r="E8" s="559">
        <f ca="1">IF(T!$A$4&gt;=E$50,INDEX([2]DS!$B36:$AK36,1,3*MONTH(E$5&amp;$A$3))/1000,"")</f>
        <v>3757.3962138940001</v>
      </c>
      <c r="F8" s="569">
        <f ca="1">IF(T!$A$4&gt;=F$50,INDEX([2]DS!$B36:$AK36,1,3*MONTH(F$5&amp;$A$3))/1000,"")</f>
        <v>3682.5863261610011</v>
      </c>
      <c r="G8" s="542">
        <f ca="1">IF(T!$A$4&gt;=G$50,INDEX([2]DS!$B36:$AK36,1,3*MONTH(G$5&amp;$A$3))/1000,"")</f>
        <v>3066.2293641399992</v>
      </c>
      <c r="H8" s="529">
        <f ca="1">IF(T!$A$4&gt;=H$50,INDEX([2]DS!$B36:$AK36,1,3*MONTH(H$5&amp;$A$3))/1000,"")</f>
        <v>2629.4975017899997</v>
      </c>
      <c r="I8" s="544">
        <f ca="1">IF(T!$A$4&gt;=I$50,INDEX([2]DS!$B36:$AK36,1,3*MONTH(I$5&amp;$A$3))/1000,"")</f>
        <v>2382.0311126899996</v>
      </c>
      <c r="J8" s="529">
        <f ca="1">IF(T!$A$4&gt;=J$50,INDEX([2]DS!$B36:$AK36,1,3*MONTH(J$5&amp;$A$3))/1000,"")</f>
        <v>2399.6039095899991</v>
      </c>
      <c r="K8" s="529">
        <f ca="1">IF(T!$A$4&gt;=K$50,INDEX([2]DS!$B36:$AK36,1,3*MONTH(K$5&amp;$A$3))/1000,"")</f>
        <v>2203.55301422</v>
      </c>
      <c r="L8" s="544">
        <f ca="1">IF(T!$A$4&gt;=L$50,INDEX([2]DS!$B36:$AK36,1,3*MONTH(L$5&amp;$A$3))/1000,"")</f>
        <v>2502.5875773899998</v>
      </c>
      <c r="M8" s="529">
        <f ca="1">IF(T!$A$4&gt;=M$50,INDEX([2]DS!$B36:$AK36,1,3*MONTH(M$5&amp;$A$3))/1000,"")</f>
        <v>3560.2102086799996</v>
      </c>
      <c r="N8" s="529" t="str">
        <f ca="1">IF(T!$A$4&gt;=N$50,INDEX([2]DS!$B36:$AK36,1,3*MONTH(N$5&amp;$A$3))/1000,"")</f>
        <v/>
      </c>
      <c r="O8" s="529" t="str">
        <f ca="1">IF(T!$A$4&gt;=O$50,INDEX([2]DS!$B36:$AK36,1,3*MONTH(O$5&amp;$A$3))/1000,"")</f>
        <v/>
      </c>
      <c r="P8" s="589">
        <f t="shared" ref="P8" ca="1" si="0">SUM(D8:O8)</f>
        <v>30282.848480127996</v>
      </c>
    </row>
    <row r="9" spans="1:17" ht="14.1" customHeight="1" x14ac:dyDescent="0.2">
      <c r="A9" s="874"/>
      <c r="B9" s="728" t="s">
        <v>238</v>
      </c>
      <c r="C9" s="729" t="s">
        <v>232</v>
      </c>
      <c r="D9" s="730">
        <f ca="1">IF(T!$A$4&gt;=D$50,D7/D$40,"")</f>
        <v>0.35664386219026406</v>
      </c>
      <c r="E9" s="730">
        <f ca="1">IF(T!$A$4&gt;=E$50,E7/E$40,"")</f>
        <v>0.35695684033317382</v>
      </c>
      <c r="F9" s="731">
        <f ca="1">IF(T!$A$4&gt;=F$50,F7/F$40,"")</f>
        <v>0.4001869268131576</v>
      </c>
      <c r="G9" s="730">
        <f ca="1">IF(T!$A$4&gt;=G$50,G7/G$40,"")</f>
        <v>0.46273929977048311</v>
      </c>
      <c r="H9" s="732">
        <f ca="1">IF(T!$A$4&gt;=H$50,H7/H$40,"")</f>
        <v>0.60696214474447441</v>
      </c>
      <c r="I9" s="733">
        <f ca="1">IF(T!$A$4&gt;=I$50,I7/I$40,"")</f>
        <v>0.70734496784431988</v>
      </c>
      <c r="J9" s="732">
        <f ca="1">IF(T!$A$4&gt;=J$50,J7/J$40,"")</f>
        <v>0.75297715034800816</v>
      </c>
      <c r="K9" s="732">
        <f ca="1">IF(T!$A$4&gt;=K$50,K7/K$40,"")</f>
        <v>0.74120885037466566</v>
      </c>
      <c r="L9" s="733">
        <f ca="1">IF(T!$A$4&gt;=L$50,L7/L$40,"")</f>
        <v>0.6628832249664216</v>
      </c>
      <c r="M9" s="732">
        <f ca="1">IF(T!$A$4&gt;=M$50,M7/M$40,"")</f>
        <v>0.48147259632822431</v>
      </c>
      <c r="N9" s="732" t="str">
        <f ca="1">IF(T!$A$4&gt;=N$50,N7/N$40,"")</f>
        <v/>
      </c>
      <c r="O9" s="732" t="str">
        <f ca="1">IF(T!$A$4&gt;=O$50,O7/O$40,"")</f>
        <v/>
      </c>
      <c r="P9" s="734">
        <f ca="1">P7/P$40</f>
        <v>0.48124932973296342</v>
      </c>
    </row>
    <row r="10" spans="1:17" ht="14.1" customHeight="1" x14ac:dyDescent="0.2">
      <c r="A10" s="874"/>
      <c r="B10" s="98" t="s">
        <v>0</v>
      </c>
      <c r="C10" s="567"/>
      <c r="D10" s="669">
        <f ca="1">IF(T!$A$4&gt;=D$50,INDEX([2]DS!$B36:$AK36,1,3*MONTH(D$5&amp;$A$3)-2),"")</f>
        <v>1590</v>
      </c>
      <c r="E10" s="679">
        <f ca="1">IF(T!$A$4&gt;=E$50,INDEX([2]DS!$B36:$AK36,1,3*MONTH(E$5&amp;$A$3)-2),"")</f>
        <v>1592</v>
      </c>
      <c r="F10" s="670">
        <f ca="1">IF(T!$A$4&gt;=F$50,INDEX([2]DS!$B36:$AK36,1,3*MONTH(F$5&amp;$A$3)-2),"")</f>
        <v>1593</v>
      </c>
      <c r="G10" s="669">
        <f ca="1">IF(T!$A$4&gt;=G$50,INDEX([2]DS!$B36:$AK36,1,3*MONTH(G$5&amp;$A$3)-2),"")</f>
        <v>1589</v>
      </c>
      <c r="H10" s="668">
        <f ca="1">IF(T!$A$4&gt;=H$50,INDEX([2]DS!$B36:$AK36,1,3*MONTH(H$5&amp;$A$3)-2),"")</f>
        <v>1593</v>
      </c>
      <c r="I10" s="671">
        <f ca="1">IF(T!$A$4&gt;=I$50,INDEX([2]DS!$B36:$AK36,1,3*MONTH(I$5&amp;$A$3)-2),"")</f>
        <v>1593</v>
      </c>
      <c r="J10" s="668">
        <f ca="1">IF(T!$A$4&gt;=J$50,INDEX([2]DS!$B36:$AK36,1,3*MONTH(J$5&amp;$A$3)-2),"")</f>
        <v>1591</v>
      </c>
      <c r="K10" s="668">
        <f ca="1">IF(T!$A$4&gt;=K$50,INDEX([2]DS!$B36:$AK36,1,3*MONTH(K$5&amp;$A$3)-2),"")</f>
        <v>1594</v>
      </c>
      <c r="L10" s="671">
        <f ca="1">IF(T!$A$4&gt;=L$50,INDEX([2]DS!$B36:$AK36,1,3*MONTH(L$5&amp;$A$3)-2),"")</f>
        <v>1595</v>
      </c>
      <c r="M10" s="668">
        <f ca="1">IF(T!$A$4&gt;=M$50,INDEX([2]DS!$B36:$AK36,1,3*MONTH(M$5&amp;$A$3)-2),"")</f>
        <v>1600</v>
      </c>
      <c r="N10" s="668" t="str">
        <f ca="1">IF(T!$A$4&gt;=N$50,INDEX([2]DS!$B36:$AK36,1,3*MONTH(N$5&amp;$A$3)-2),"")</f>
        <v/>
      </c>
      <c r="O10" s="668" t="str">
        <f ca="1">IF(T!$A$4&gt;=O$50,INDEX([2]DS!$B36:$AK36,1,3*MONTH(O$5&amp;$A$3)-2),"")</f>
        <v/>
      </c>
      <c r="P10" s="683" t="str">
        <f ca="1">O10</f>
        <v/>
      </c>
    </row>
    <row r="11" spans="1:17" ht="14.1" customHeight="1" x14ac:dyDescent="0.2">
      <c r="A11" s="874"/>
      <c r="B11" s="568" t="s">
        <v>239</v>
      </c>
      <c r="C11" s="567" t="s">
        <v>232</v>
      </c>
      <c r="D11" s="672">
        <f ca="1">IF(T!$A$4&gt;=D$50,D10/D$42,"")</f>
        <v>5.5806156787923972E-4</v>
      </c>
      <c r="E11" s="680">
        <f ca="1">IF(T!$A$4&gt;=E$50,E10/E$42,"")</f>
        <v>5.588321811514892E-4</v>
      </c>
      <c r="F11" s="673">
        <f ca="1">IF(T!$A$4&gt;=F$50,F10/F$42,"")</f>
        <v>5.5946246649546806E-4</v>
      </c>
      <c r="G11" s="672">
        <f ca="1">IF(T!$A$4&gt;=G$50,G10/G$42,"")</f>
        <v>5.583151181122835E-4</v>
      </c>
      <c r="H11" s="387">
        <f ca="1">IF(T!$A$4&gt;=H$50,H10/H$42,"")</f>
        <v>5.5994111655000348E-4</v>
      </c>
      <c r="I11" s="674">
        <f ca="1">IF(T!$A$4&gt;=I$50,I10/I$42,"")</f>
        <v>5.6025167363317756E-4</v>
      </c>
      <c r="J11" s="387">
        <f ca="1">IF(T!$A$4&gt;=J$50,J10/J$42,"")</f>
        <v>5.5991770511868951E-4</v>
      </c>
      <c r="K11" s="387">
        <f ca="1">IF(T!$A$4&gt;=K$50,K10/K$42,"")</f>
        <v>5.6146787568946252E-4</v>
      </c>
      <c r="L11" s="674">
        <f ca="1">IF(T!$A$4&gt;=L$50,L10/L$42,"")</f>
        <v>5.618100215636423E-4</v>
      </c>
      <c r="M11" s="387">
        <f ca="1">IF(T!$A$4&gt;=M$50,M10/M$42,"")</f>
        <v>5.6328646672578831E-4</v>
      </c>
      <c r="N11" s="387" t="str">
        <f ca="1">IF(T!$A$4&gt;=N$50,N10/N$42,"")</f>
        <v/>
      </c>
      <c r="O11" s="387" t="str">
        <f ca="1">IF(T!$A$4&gt;=O$50,O10/O$42,"")</f>
        <v/>
      </c>
      <c r="P11" s="681" t="str">
        <f ca="1">IF(T!$A$4&gt;=O$50,P10/P$42,"")</f>
        <v/>
      </c>
    </row>
    <row r="12" spans="1:17" ht="5.0999999999999996" customHeight="1" x14ac:dyDescent="0.2">
      <c r="A12" s="875"/>
      <c r="B12" s="578"/>
      <c r="C12" s="576"/>
      <c r="D12" s="546"/>
      <c r="E12" s="546"/>
      <c r="F12" s="577"/>
      <c r="G12" s="546"/>
      <c r="H12" s="548"/>
      <c r="I12" s="549"/>
      <c r="J12" s="548"/>
      <c r="K12" s="548"/>
      <c r="L12" s="549"/>
      <c r="M12" s="548"/>
      <c r="N12" s="548"/>
      <c r="O12" s="548"/>
      <c r="P12" s="590"/>
    </row>
    <row r="13" spans="1:17" ht="5.0999999999999996" customHeight="1" x14ac:dyDescent="0.2">
      <c r="A13" s="878" t="s">
        <v>7</v>
      </c>
      <c r="B13" s="518"/>
      <c r="C13" s="519"/>
      <c r="D13" s="498"/>
      <c r="E13" s="498"/>
      <c r="F13" s="520"/>
      <c r="G13" s="498"/>
      <c r="H13" s="498"/>
      <c r="I13" s="520"/>
      <c r="J13" s="498"/>
      <c r="K13" s="498"/>
      <c r="L13" s="520"/>
      <c r="M13" s="498"/>
      <c r="N13" s="498"/>
      <c r="O13" s="682"/>
      <c r="P13" s="588"/>
    </row>
    <row r="14" spans="1:17" ht="14.1" customHeight="1" x14ac:dyDescent="0.2">
      <c r="A14" s="874"/>
      <c r="B14" s="98" t="s">
        <v>240</v>
      </c>
      <c r="C14" s="567" t="s">
        <v>231</v>
      </c>
      <c r="D14" s="542">
        <f ca="1">IF(T!$A$4&gt;=D$50,INDEX([2]DS!$B37:$AK37,1,3*MONTH(D$5&amp;$A$3)-1)/1000,"")</f>
        <v>109.44037237872847</v>
      </c>
      <c r="E14" s="542">
        <f ca="1">IF(T!$A$4&gt;=E$50,INDEX([2]DS!$B37:$AK37,1,3*MONTH(E$5&amp;$A$3)-1)/1000,"")</f>
        <v>101.46819909431994</v>
      </c>
      <c r="F14" s="569">
        <f ca="1">IF(T!$A$4&gt;=F$50,INDEX([2]DS!$B37:$AK37,1,3*MONTH(F$5&amp;$A$3)-1)/1000,"")</f>
        <v>85.97057093222827</v>
      </c>
      <c r="G14" s="542">
        <f ca="1">IF(T!$A$4&gt;=G$50,INDEX([2]DS!$B37:$AK37,1,3*MONTH(G$5&amp;$A$3)-1)/1000,"")</f>
        <v>61.6787553775373</v>
      </c>
      <c r="H14" s="529">
        <f ca="1">IF(T!$A$4&gt;=H$50,INDEX([2]DS!$B37:$AK37,1,3*MONTH(H$5&amp;$A$3)-1)/1000,"")</f>
        <v>35.649345603170651</v>
      </c>
      <c r="I14" s="544">
        <f ca="1">IF(T!$A$4&gt;=I$50,INDEX([2]DS!$B37:$AK37,1,3*MONTH(I$5&amp;$A$3)-1)/1000,"")</f>
        <v>27.487439111932243</v>
      </c>
      <c r="J14" s="529">
        <f ca="1">IF(T!$A$4&gt;=J$50,INDEX([2]DS!$B37:$AK37,1,3*MONTH(J$5&amp;$A$3)-1)/1000,"")</f>
        <v>24.088636561259719</v>
      </c>
      <c r="K14" s="529">
        <f ca="1">IF(T!$A$4&gt;=K$50,INDEX([2]DS!$B37:$AK37,1,3*MONTH(K$5&amp;$A$3)-1)/1000,"")</f>
        <v>22.941962259085244</v>
      </c>
      <c r="L14" s="544">
        <f ca="1">IF(T!$A$4&gt;=L$50,INDEX([2]DS!$B37:$AK37,1,3*MONTH(L$5&amp;$A$3)-1)/1000,"")</f>
        <v>32.39212342452474</v>
      </c>
      <c r="M14" s="529">
        <f ca="1">IF(T!$A$4&gt;=M$50,INDEX([2]DS!$B37:$AK37,1,3*MONTH(M$5&amp;$A$3)-1)/1000,"")</f>
        <v>69.602643999999998</v>
      </c>
      <c r="N14" s="529" t="str">
        <f ca="1">IF(T!$A$4&gt;=N$50,INDEX([2]DS!$B37:$AK37,1,3*MONTH(N$5&amp;$A$3)-1)/1000,"")</f>
        <v/>
      </c>
      <c r="O14" s="529" t="str">
        <f ca="1">IF(T!$A$4&gt;=O$50,INDEX([2]DS!$B37:$AK37,1,3*MONTH(O$5&amp;$A$3)-1)/1000,"")</f>
        <v/>
      </c>
      <c r="P14" s="589">
        <f ca="1">SUM(D14:O14)</f>
        <v>570.72004874278662</v>
      </c>
    </row>
    <row r="15" spans="1:17" ht="14.1" customHeight="1" x14ac:dyDescent="0.2">
      <c r="A15" s="874"/>
      <c r="B15" s="98" t="s">
        <v>240</v>
      </c>
      <c r="C15" s="567" t="s">
        <v>284</v>
      </c>
      <c r="D15" s="542">
        <f ca="1">IF(T!$A$4&gt;=D$50,INDEX([2]DS!$B37:$AK37,1,3*MONTH(D$5&amp;$A$3))/1000,"")</f>
        <v>1162.9244275710003</v>
      </c>
      <c r="E15" s="542">
        <f ca="1">IF(T!$A$4&gt;=E$50,INDEX([2]DS!$B37:$AK37,1,3*MONTH(E$5&amp;$A$3))/1000,"")</f>
        <v>1078.7178574569998</v>
      </c>
      <c r="F15" s="569">
        <f ca="1">IF(T!$A$4&gt;=F$50,INDEX([2]DS!$B37:$AK37,1,3*MONTH(F$5&amp;$A$3))/1000,"")</f>
        <v>913.84377809900013</v>
      </c>
      <c r="G15" s="542">
        <f ca="1">IF(T!$A$4&gt;=G$50,INDEX([2]DS!$B37:$AK37,1,3*MONTH(G$5&amp;$A$3))/1000,"")</f>
        <v>656.13119702499978</v>
      </c>
      <c r="H15" s="529">
        <f ca="1">IF(T!$A$4&gt;=H$50,INDEX([2]DS!$B37:$AK37,1,3*MONTH(H$5&amp;$A$3))/1000,"")</f>
        <v>381.52784663000011</v>
      </c>
      <c r="I15" s="544">
        <f ca="1">IF(T!$A$4&gt;=I$50,INDEX([2]DS!$B37:$AK37,1,3*MONTH(I$5&amp;$A$3))/1000,"")</f>
        <v>294.28688717999995</v>
      </c>
      <c r="J15" s="529">
        <f ca="1">IF(T!$A$4&gt;=J$50,INDEX([2]DS!$B37:$AK37,1,3*MONTH(J$5&amp;$A$3))/1000,"")</f>
        <v>257.07861575400005</v>
      </c>
      <c r="K15" s="529">
        <f ca="1">IF(T!$A$4&gt;=K$50,INDEX([2]DS!$B37:$AK37,1,3*MONTH(K$5&amp;$A$3))/1000,"")</f>
        <v>245.75075500999998</v>
      </c>
      <c r="L15" s="544">
        <f ca="1">IF(T!$A$4&gt;=L$50,INDEX([2]DS!$B37:$AK37,1,3*MONTH(L$5&amp;$A$3))/1000,"")</f>
        <v>346.47301228000009</v>
      </c>
      <c r="M15" s="529">
        <f ca="1">IF(T!$A$4&gt;=M$50,INDEX([2]DS!$B37:$AK37,1,3*MONTH(M$5&amp;$A$3))/1000,"")</f>
        <v>743.38139478000005</v>
      </c>
      <c r="N15" s="529" t="str">
        <f ca="1">IF(T!$A$4&gt;=N$50,INDEX([2]DS!$B37:$AK37,1,3*MONTH(N$5&amp;$A$3))/1000,"")</f>
        <v/>
      </c>
      <c r="O15" s="529" t="str">
        <f ca="1">IF(T!$A$4&gt;=O$50,INDEX([2]DS!$B37:$AK37,1,3*MONTH(O$5&amp;$A$3))/1000,"")</f>
        <v/>
      </c>
      <c r="P15" s="589">
        <f t="shared" ref="P15" ca="1" si="1">SUM(D15:O15)</f>
        <v>6080.1157717859996</v>
      </c>
    </row>
    <row r="16" spans="1:17" ht="14.1" customHeight="1" x14ac:dyDescent="0.2">
      <c r="A16" s="874"/>
      <c r="B16" s="728" t="s">
        <v>238</v>
      </c>
      <c r="C16" s="729" t="s">
        <v>232</v>
      </c>
      <c r="D16" s="730">
        <f ca="1">IF(T!$A$4&gt;=D$50,D14/D$40,"")</f>
        <v>0.10121365198166593</v>
      </c>
      <c r="E16" s="730">
        <f ca="1">IF(T!$A$4&gt;=E$50,E14/E$40,"")</f>
        <v>0.10250690627018599</v>
      </c>
      <c r="F16" s="731">
        <f ca="1">IF(T!$A$4&gt;=F$50,F14/F$40,"")</f>
        <v>9.9326733224239391E-2</v>
      </c>
      <c r="G16" s="730">
        <f ca="1">IF(T!$A$4&gt;=G$50,G14/G$40,"")</f>
        <v>9.9033230417021695E-2</v>
      </c>
      <c r="H16" s="732">
        <f ca="1">IF(T!$A$4&gt;=H$50,H14/H$40,"")</f>
        <v>8.8072706889896143E-2</v>
      </c>
      <c r="I16" s="733">
        <f ca="1">IF(T!$A$4&gt;=I$50,I14/I$40,"")</f>
        <v>8.7426034532749705E-2</v>
      </c>
      <c r="J16" s="732">
        <f ca="1">IF(T!$A$4&gt;=J$50,J14/J$40,"")</f>
        <v>8.0729763288151249E-2</v>
      </c>
      <c r="K16" s="732">
        <f ca="1">IF(T!$A$4&gt;=K$50,K14/K$40,"")</f>
        <v>8.267046632652604E-2</v>
      </c>
      <c r="L16" s="733">
        <f ca="1">IF(T!$A$4&gt;=L$50,L14/L$40,"")</f>
        <v>9.1772569729192496E-2</v>
      </c>
      <c r="M16" s="732">
        <f ca="1">IF(T!$A$4&gt;=M$50,M14/M$40,"")</f>
        <v>0.10052705504125152</v>
      </c>
      <c r="N16" s="732" t="str">
        <f ca="1">IF(T!$A$4&gt;=N$50,N14/N$40,"")</f>
        <v/>
      </c>
      <c r="O16" s="732" t="str">
        <f ca="1">IF(T!$A$4&gt;=O$50,O14/O$40,"")</f>
        <v/>
      </c>
      <c r="P16" s="734">
        <f t="shared" ref="P16" ca="1" si="2">P14/P$40</f>
        <v>9.6733781421323523E-2</v>
      </c>
    </row>
    <row r="17" spans="1:16" ht="14.1" customHeight="1" x14ac:dyDescent="0.2">
      <c r="A17" s="874"/>
      <c r="B17" s="98" t="s">
        <v>0</v>
      </c>
      <c r="C17" s="567"/>
      <c r="D17" s="669">
        <f ca="1">IF(T!$A$4&gt;=D$50,INDEX([2]DS!$B37:$AK37,1,3*MONTH(D$5&amp;$A$3)-2),"")</f>
        <v>6845</v>
      </c>
      <c r="E17" s="669">
        <f ca="1">IF(T!$A$4&gt;=E$50,INDEX([2]DS!$B37:$AK37,1,3*MONTH(E$5&amp;$A$3)-2),"")</f>
        <v>6843</v>
      </c>
      <c r="F17" s="670">
        <f ca="1">IF(T!$A$4&gt;=F$50,INDEX([2]DS!$B37:$AK37,1,3*MONTH(F$5&amp;$A$3)-2),"")</f>
        <v>6746</v>
      </c>
      <c r="G17" s="669">
        <f ca="1">IF(T!$A$4&gt;=G$50,INDEX([2]DS!$B37:$AK37,1,3*MONTH(G$5&amp;$A$3)-2),"")</f>
        <v>6744</v>
      </c>
      <c r="H17" s="668">
        <f ca="1">IF(T!$A$4&gt;=H$50,INDEX([2]DS!$B37:$AK37,1,3*MONTH(H$5&amp;$A$3)-2),"")</f>
        <v>6746</v>
      </c>
      <c r="I17" s="671">
        <f ca="1">IF(T!$A$4&gt;=I$50,INDEX([2]DS!$B37:$AK37,1,3*MONTH(I$5&amp;$A$3)-2),"")</f>
        <v>6758</v>
      </c>
      <c r="J17" s="668">
        <f ca="1">IF(T!$A$4&gt;=J$50,INDEX([2]DS!$B37:$AK37,1,3*MONTH(J$5&amp;$A$3)-2),"")</f>
        <v>6768</v>
      </c>
      <c r="K17" s="668">
        <f ca="1">IF(T!$A$4&gt;=K$50,INDEX([2]DS!$B37:$AK37,1,3*MONTH(K$5&amp;$A$3)-2),"")</f>
        <v>6778</v>
      </c>
      <c r="L17" s="671">
        <f ca="1">IF(T!$A$4&gt;=L$50,INDEX([2]DS!$B37:$AK37,1,3*MONTH(L$5&amp;$A$3)-2),"")</f>
        <v>6792</v>
      </c>
      <c r="M17" s="668">
        <f ca="1">IF(T!$A$4&gt;=M$50,INDEX([2]DS!$B37:$AK37,1,3*MONTH(M$5&amp;$A$3)-2),"")</f>
        <v>6799</v>
      </c>
      <c r="N17" s="668" t="str">
        <f ca="1">IF(T!$A$4&gt;=N$50,INDEX([2]DS!$B37:$AK37,1,3*MONTH(N$5&amp;$A$3)-2),"")</f>
        <v/>
      </c>
      <c r="O17" s="668" t="str">
        <f ca="1">IF(T!$A$4&gt;=O$50,INDEX([2]DS!$B37:$AK37,1,3*MONTH(O$5&amp;$A$3)-2),"")</f>
        <v/>
      </c>
      <c r="P17" s="683" t="str">
        <f ca="1">O17</f>
        <v/>
      </c>
    </row>
    <row r="18" spans="1:16" ht="14.1" customHeight="1" x14ac:dyDescent="0.2">
      <c r="A18" s="874"/>
      <c r="B18" s="568" t="s">
        <v>239</v>
      </c>
      <c r="C18" s="567" t="s">
        <v>232</v>
      </c>
      <c r="D18" s="672">
        <f ca="1">IF(T!$A$4&gt;=D$50,D17/D$42,"")</f>
        <v>2.4024725988260349E-3</v>
      </c>
      <c r="E18" s="680">
        <f ca="1">IF(T!$A$4&gt;=E$50,E17/E$42,"")</f>
        <v>2.4020657133289199E-3</v>
      </c>
      <c r="F18" s="673">
        <f ca="1">IF(T!$A$4&gt;=F$50,F17/F$42,"")</f>
        <v>2.369198869415209E-3</v>
      </c>
      <c r="G18" s="672">
        <f ca="1">IF(T!$A$4&gt;=G$50,G17/G$42,"")</f>
        <v>2.3695891482374072E-3</v>
      </c>
      <c r="H18" s="387">
        <f ca="1">IF(T!$A$4&gt;=H$50,H17/H$42,"")</f>
        <v>2.3712258457290166E-3</v>
      </c>
      <c r="I18" s="674">
        <f ca="1">IF(T!$A$4&gt;=I$50,I17/I$42,"")</f>
        <v>2.3767613373590797E-3</v>
      </c>
      <c r="J18" s="387">
        <f ca="1">IF(T!$A$4&gt;=J$50,J17/J$42,"")</f>
        <v>2.3818497977644818E-3</v>
      </c>
      <c r="K18" s="387">
        <f ca="1">IF(T!$A$4&gt;=K$50,K17/K$42,"")</f>
        <v>2.3874713057861837E-3</v>
      </c>
      <c r="L18" s="674">
        <f ca="1">IF(T!$A$4&gt;=L$50,L17/L$42,"")</f>
        <v>2.392359665492325E-3</v>
      </c>
      <c r="M18" s="387">
        <f ca="1">IF(T!$A$4&gt;=M$50,M17/M$42,"")</f>
        <v>2.3936154295428965E-3</v>
      </c>
      <c r="N18" s="387" t="str">
        <f ca="1">IF(T!$A$4&gt;=N$50,N17/N$42,"")</f>
        <v/>
      </c>
      <c r="O18" s="387" t="str">
        <f ca="1">IF(T!$A$4&gt;=O$50,O17/O$42,"")</f>
        <v/>
      </c>
      <c r="P18" s="681" t="str">
        <f ca="1">IF(T!$A$4&gt;=O$50,P17/P$42,"")</f>
        <v/>
      </c>
    </row>
    <row r="19" spans="1:16" ht="5.0999999999999996" customHeight="1" x14ac:dyDescent="0.2">
      <c r="A19" s="875"/>
      <c r="B19" s="578"/>
      <c r="C19" s="576"/>
      <c r="D19" s="546"/>
      <c r="E19" s="546"/>
      <c r="F19" s="577"/>
      <c r="G19" s="546"/>
      <c r="H19" s="548"/>
      <c r="I19" s="549"/>
      <c r="J19" s="548"/>
      <c r="K19" s="548"/>
      <c r="L19" s="549"/>
      <c r="M19" s="548"/>
      <c r="N19" s="548"/>
      <c r="O19" s="548"/>
      <c r="P19" s="590"/>
    </row>
    <row r="20" spans="1:16" ht="5.0999999999999996" customHeight="1" x14ac:dyDescent="0.2">
      <c r="A20" s="878" t="s">
        <v>8</v>
      </c>
      <c r="B20" s="518"/>
      <c r="C20" s="519"/>
      <c r="D20" s="498"/>
      <c r="E20" s="498"/>
      <c r="F20" s="520"/>
      <c r="G20" s="498"/>
      <c r="H20" s="498"/>
      <c r="I20" s="520"/>
      <c r="J20" s="498"/>
      <c r="K20" s="498"/>
      <c r="L20" s="520"/>
      <c r="M20" s="498"/>
      <c r="N20" s="498"/>
      <c r="O20" s="682"/>
      <c r="P20" s="588"/>
    </row>
    <row r="21" spans="1:16" ht="14.1" customHeight="1" x14ac:dyDescent="0.2">
      <c r="A21" s="874"/>
      <c r="B21" s="98" t="s">
        <v>240</v>
      </c>
      <c r="C21" s="567" t="s">
        <v>231</v>
      </c>
      <c r="D21" s="542">
        <f ca="1">IF(T!$A$4&gt;=D$50,INDEX([2]DS!$B38:$AK38,1,3*MONTH(D$5&amp;$A$3)-1)/1000,"")</f>
        <v>185.45573098381678</v>
      </c>
      <c r="E21" s="542">
        <f ca="1">IF(T!$A$4&gt;=E$50,INDEX([2]DS!$B38:$AK38,1,3*MONTH(E$5&amp;$A$3)-1)/1000,"")</f>
        <v>168.97767665120313</v>
      </c>
      <c r="F21" s="569">
        <f ca="1">IF(T!$A$4&gt;=F$50,INDEX([2]DS!$B38:$AK38,1,3*MONTH(F$5&amp;$A$3)-1)/1000,"")</f>
        <v>136.93737206553737</v>
      </c>
      <c r="G21" s="542">
        <f ca="1">IF(T!$A$4&gt;=G$50,INDEX([2]DS!$B38:$AK38,1,3*MONTH(G$5&amp;$A$3)-1)/1000,"")</f>
        <v>84.908576362727246</v>
      </c>
      <c r="H21" s="529">
        <f ca="1">IF(T!$A$4&gt;=H$50,INDEX([2]DS!$B38:$AK38,1,3*MONTH(H$5&amp;$A$3)-1)/1000,"")</f>
        <v>37.021409665043308</v>
      </c>
      <c r="I21" s="544">
        <f ca="1">IF(T!$A$4&gt;=I$50,INDEX([2]DS!$B38:$AK38,1,3*MONTH(I$5&amp;$A$3)-1)/1000,"")</f>
        <v>18.340041647020101</v>
      </c>
      <c r="J21" s="529">
        <f ca="1">IF(T!$A$4&gt;=J$50,INDEX([2]DS!$B38:$AK38,1,3*MONTH(J$5&amp;$A$3)-1)/1000,"")</f>
        <v>13.582468971809638</v>
      </c>
      <c r="K21" s="529">
        <f ca="1">IF(T!$A$4&gt;=K$50,INDEX([2]DS!$B38:$AK38,1,3*MONTH(K$5&amp;$A$3)-1)/1000,"")</f>
        <v>13.482332620699514</v>
      </c>
      <c r="L21" s="544">
        <f ca="1">IF(T!$A$4&gt;=L$50,INDEX([2]DS!$B38:$AK38,1,3*MONTH(L$5&amp;$A$3)-1)/1000,"")</f>
        <v>25.943329980122488</v>
      </c>
      <c r="M21" s="529">
        <f ca="1">IF(T!$A$4&gt;=M$50,INDEX([2]DS!$B38:$AK38,1,3*MONTH(M$5&amp;$A$3)-1)/1000,"")</f>
        <v>90.214113088000019</v>
      </c>
      <c r="N21" s="529" t="str">
        <f ca="1">IF(T!$A$4&gt;=N$50,INDEX([2]DS!$B38:$AK38,1,3*MONTH(N$5&amp;$A$3)-1)/1000,"")</f>
        <v/>
      </c>
      <c r="O21" s="529" t="str">
        <f ca="1">IF(T!$A$4&gt;=O$50,INDEX([2]DS!$B38:$AK38,1,3*MONTH(O$5&amp;$A$3)-1)/1000,"")</f>
        <v/>
      </c>
      <c r="P21" s="589">
        <f ca="1">SUM(D21:O21)</f>
        <v>774.86305203597942</v>
      </c>
    </row>
    <row r="22" spans="1:16" ht="14.1" customHeight="1" x14ac:dyDescent="0.2">
      <c r="A22" s="874"/>
      <c r="B22" s="98" t="s">
        <v>240</v>
      </c>
      <c r="C22" s="567" t="s">
        <v>284</v>
      </c>
      <c r="D22" s="542">
        <f ca="1">IF(T!$A$4&gt;=D$50,INDEX([2]DS!$B38:$AK38,1,3*MONTH(D$5&amp;$A$3))/1000,"")</f>
        <v>1970.9617956427305</v>
      </c>
      <c r="E22" s="542">
        <f ca="1">IF(T!$A$4&gt;=E$50,INDEX([2]DS!$B38:$AK38,1,3*MONTH(E$5&amp;$A$3))/1000,"")</f>
        <v>1796.5965963848589</v>
      </c>
      <c r="F22" s="569">
        <f ca="1">IF(T!$A$4&gt;=F$50,INDEX([2]DS!$B38:$AK38,1,3*MONTH(F$5&amp;$A$3))/1000,"")</f>
        <v>1455.6892118568792</v>
      </c>
      <c r="G22" s="542">
        <f ca="1">IF(T!$A$4&gt;=G$50,INDEX([2]DS!$B38:$AK38,1,3*MONTH(G$5&amp;$A$3))/1000,"")</f>
        <v>903.30827032261004</v>
      </c>
      <c r="H22" s="529">
        <f ca="1">IF(T!$A$4&gt;=H$50,INDEX([2]DS!$B38:$AK38,1,3*MONTH(H$5&amp;$A$3))/1000,"")</f>
        <v>396.22632977909848</v>
      </c>
      <c r="I22" s="544">
        <f ca="1">IF(T!$A$4&gt;=I$50,INDEX([2]DS!$B38:$AK38,1,3*MONTH(I$5&amp;$A$3))/1000,"")</f>
        <v>196.31039852340263</v>
      </c>
      <c r="J22" s="529">
        <f ca="1">IF(T!$A$4&gt;=J$50,INDEX([2]DS!$B38:$AK38,1,3*MONTH(J$5&amp;$A$3))/1000,"")</f>
        <v>144.91134782842477</v>
      </c>
      <c r="K22" s="529">
        <f ca="1">IF(T!$A$4&gt;=K$50,INDEX([2]DS!$B38:$AK38,1,3*MONTH(K$5&amp;$A$3))/1000,"")</f>
        <v>144.42388025778556</v>
      </c>
      <c r="L22" s="544">
        <f ca="1">IF(T!$A$4&gt;=L$50,INDEX([2]DS!$B38:$AK38,1,3*MONTH(L$5&amp;$A$3))/1000,"")</f>
        <v>277.50072203007676</v>
      </c>
      <c r="M22" s="529">
        <f ca="1">IF(T!$A$4&gt;=M$50,INDEX([2]DS!$B38:$AK38,1,3*MONTH(M$5&amp;$A$3))/1000,"")</f>
        <v>963.56114617889511</v>
      </c>
      <c r="N22" s="529" t="str">
        <f ca="1">IF(T!$A$4&gt;=N$50,INDEX([2]DS!$B38:$AK38,1,3*MONTH(N$5&amp;$A$3))/1000,"")</f>
        <v/>
      </c>
      <c r="O22" s="529" t="str">
        <f ca="1">IF(T!$A$4&gt;=O$50,INDEX([2]DS!$B38:$AK38,1,3*MONTH(O$5&amp;$A$3))/1000,"")</f>
        <v/>
      </c>
      <c r="P22" s="589">
        <f t="shared" ref="P22" ca="1" si="3">SUM(D22:O22)</f>
        <v>8249.4896988047622</v>
      </c>
    </row>
    <row r="23" spans="1:16" ht="14.1" customHeight="1" x14ac:dyDescent="0.2">
      <c r="A23" s="874"/>
      <c r="B23" s="728" t="s">
        <v>238</v>
      </c>
      <c r="C23" s="729" t="s">
        <v>232</v>
      </c>
      <c r="D23" s="730">
        <f ca="1">IF(T!$A$4&gt;=D$50,D21/D$40,"")</f>
        <v>0.17151487523127137</v>
      </c>
      <c r="E23" s="730">
        <f ca="1">IF(T!$A$4&gt;=E$50,E21/E$40,"")</f>
        <v>0.17070746319383825</v>
      </c>
      <c r="F23" s="731">
        <f ca="1">IF(T!$A$4&gt;=F$50,F21/F$40,"")</f>
        <v>0.15821160283214028</v>
      </c>
      <c r="G23" s="730">
        <f ca="1">IF(T!$A$4&gt;=G$50,G21/G$40,"")</f>
        <v>0.13633171674494632</v>
      </c>
      <c r="H23" s="732">
        <f ca="1">IF(T!$A$4&gt;=H$50,H21/H$40,"")</f>
        <v>9.146242958777151E-2</v>
      </c>
      <c r="I23" s="733">
        <f ca="1">IF(T!$A$4&gt;=I$50,I21/I$40,"")</f>
        <v>5.8331993309206298E-2</v>
      </c>
      <c r="J23" s="732">
        <f ca="1">IF(T!$A$4&gt;=J$50,J21/J$40,"")</f>
        <v>4.5519782830976012E-2</v>
      </c>
      <c r="K23" s="732">
        <f ca="1">IF(T!$A$4&gt;=K$50,K21/K$40,"")</f>
        <v>4.8583059824412966E-2</v>
      </c>
      <c r="L23" s="733">
        <f ca="1">IF(T!$A$4&gt;=L$50,L21/L$40,"")</f>
        <v>7.3502006287294627E-2</v>
      </c>
      <c r="M23" s="732">
        <f ca="1">IF(T!$A$4&gt;=M$50,M21/M$40,"")</f>
        <v>0.13029618690771383</v>
      </c>
      <c r="N23" s="732" t="str">
        <f ca="1">IF(T!$A$4&gt;=N$50,N21/N$40,"")</f>
        <v/>
      </c>
      <c r="O23" s="732" t="str">
        <f ca="1">IF(T!$A$4&gt;=O$50,O21/O$40,"")</f>
        <v/>
      </c>
      <c r="P23" s="734">
        <f t="shared" ref="P23" ca="1" si="4">P21/P$40</f>
        <v>0.13133485195101172</v>
      </c>
    </row>
    <row r="24" spans="1:16" ht="14.1" customHeight="1" x14ac:dyDescent="0.2">
      <c r="A24" s="874"/>
      <c r="B24" s="98" t="s">
        <v>0</v>
      </c>
      <c r="C24" s="567"/>
      <c r="D24" s="669">
        <f ca="1">IF(T!$A$4&gt;=D$50,INDEX([2]DS!$B38:$AK38,1,3*MONTH(D$5&amp;$A$3)-2),"")</f>
        <v>197927</v>
      </c>
      <c r="E24" s="669">
        <f ca="1">IF(T!$A$4&gt;=E$50,INDEX([2]DS!$B38:$AK38,1,3*MONTH(E$5&amp;$A$3)-2),"")</f>
        <v>197876</v>
      </c>
      <c r="F24" s="670">
        <f ca="1">IF(T!$A$4&gt;=F$50,INDEX([2]DS!$B38:$AK38,1,3*MONTH(F$5&amp;$A$3)-2),"")</f>
        <v>197840</v>
      </c>
      <c r="G24" s="669">
        <f ca="1">IF(T!$A$4&gt;=G$50,INDEX([2]DS!$B38:$AK38,1,3*MONTH(G$5&amp;$A$3)-2),"")</f>
        <v>197680</v>
      </c>
      <c r="H24" s="668">
        <f ca="1">IF(T!$A$4&gt;=H$50,INDEX([2]DS!$B38:$AK38,1,3*MONTH(H$5&amp;$A$3)-2),"")</f>
        <v>197545</v>
      </c>
      <c r="I24" s="671">
        <f ca="1">IF(T!$A$4&gt;=I$50,INDEX([2]DS!$B38:$AK38,1,3*MONTH(I$5&amp;$A$3)-2),"")</f>
        <v>197387</v>
      </c>
      <c r="J24" s="668">
        <f ca="1">IF(T!$A$4&gt;=J$50,INDEX([2]DS!$B38:$AK38,1,3*MONTH(J$5&amp;$A$3)-2),"")</f>
        <v>197112</v>
      </c>
      <c r="K24" s="668">
        <f ca="1">IF(T!$A$4&gt;=K$50,INDEX([2]DS!$B38:$AK38,1,3*MONTH(K$5&amp;$A$3)-2),"")</f>
        <v>198099</v>
      </c>
      <c r="L24" s="671">
        <f ca="1">IF(T!$A$4&gt;=L$50,INDEX([2]DS!$B38:$AK38,1,3*MONTH(L$5&amp;$A$3)-2),"")</f>
        <v>198280</v>
      </c>
      <c r="M24" s="668">
        <f ca="1">IF(T!$A$4&gt;=M$50,INDEX([2]DS!$B38:$AK38,1,3*MONTH(M$5&amp;$A$3)-2),"")</f>
        <v>198880</v>
      </c>
      <c r="N24" s="668" t="str">
        <f ca="1">IF(T!$A$4&gt;=N$50,INDEX([2]DS!$B38:$AK38,1,3*MONTH(N$5&amp;$A$3)-2),"")</f>
        <v/>
      </c>
      <c r="O24" s="668" t="str">
        <f ca="1">IF(T!$A$4&gt;=O$50,INDEX([2]DS!$B38:$AK38,1,3*MONTH(O$5&amp;$A$3)-2),"")</f>
        <v/>
      </c>
      <c r="P24" s="683" t="str">
        <f ca="1">O24</f>
        <v/>
      </c>
    </row>
    <row r="25" spans="1:16" ht="14.1" customHeight="1" x14ac:dyDescent="0.2">
      <c r="A25" s="874"/>
      <c r="B25" s="568" t="s">
        <v>239</v>
      </c>
      <c r="C25" s="567" t="s">
        <v>232</v>
      </c>
      <c r="D25" s="672">
        <f ca="1">IF(T!$A$4&gt;=D$50,D24/D$42,"")</f>
        <v>6.946883770165678E-2</v>
      </c>
      <c r="E25" s="680">
        <f ca="1">IF(T!$A$4&gt;=E$50,E24/E$42,"")</f>
        <v>6.9459470274831694E-2</v>
      </c>
      <c r="F25" s="673">
        <f ca="1">IF(T!$A$4&gt;=F$50,F24/F$42,"")</f>
        <v>6.9481515612971376E-2</v>
      </c>
      <c r="G25" s="672">
        <f ca="1">IF(T!$A$4&gt;=G$50,G24/G$42,"")</f>
        <v>6.9457352138726378E-2</v>
      </c>
      <c r="H25" s="387">
        <f ca="1">IF(T!$A$4&gt;=H$50,H24/H$42,"")</f>
        <v>6.943726796539261E-2</v>
      </c>
      <c r="I25" s="674">
        <f ca="1">IF(T!$A$4&gt;=I$50,I24/I$42,"")</f>
        <v>6.9420211615462663E-2</v>
      </c>
      <c r="J25" s="387">
        <f ca="1">IF(T!$A$4&gt;=J$50,J24/J$42,"")</f>
        <v>6.9369263790920885E-2</v>
      </c>
      <c r="K25" s="387">
        <f ca="1">IF(T!$A$4&gt;=K$50,K24/K$42,"")</f>
        <v>6.977805815947731E-2</v>
      </c>
      <c r="L25" s="674">
        <f ca="1">IF(T!$A$4&gt;=L$50,L24/L$42,"")</f>
        <v>6.9840558668112229E-2</v>
      </c>
      <c r="M25" s="387">
        <f ca="1">IF(T!$A$4&gt;=M$50,M24/M$42,"")</f>
        <v>7.0016507814015486E-2</v>
      </c>
      <c r="N25" s="387" t="str">
        <f ca="1">IF(T!$A$4&gt;=N$50,N24/N$42,"")</f>
        <v/>
      </c>
      <c r="O25" s="387" t="str">
        <f ca="1">IF(T!$A$4&gt;=O$50,O24/O$42,"")</f>
        <v/>
      </c>
      <c r="P25" s="681" t="str">
        <f ca="1">IF(T!$A$4&gt;=O$50,P24/P$42,"")</f>
        <v/>
      </c>
    </row>
    <row r="26" spans="1:16" ht="5.0999999999999996" customHeight="1" x14ac:dyDescent="0.2">
      <c r="A26" s="875"/>
      <c r="B26" s="578"/>
      <c r="C26" s="576"/>
      <c r="D26" s="546"/>
      <c r="E26" s="546"/>
      <c r="F26" s="577"/>
      <c r="G26" s="546"/>
      <c r="H26" s="548"/>
      <c r="I26" s="549"/>
      <c r="J26" s="548"/>
      <c r="K26" s="548"/>
      <c r="L26" s="549"/>
      <c r="M26" s="548"/>
      <c r="N26" s="548"/>
      <c r="O26" s="548"/>
      <c r="P26" s="590"/>
    </row>
    <row r="27" spans="1:16" ht="5.0999999999999996" customHeight="1" x14ac:dyDescent="0.2">
      <c r="A27" s="878" t="s">
        <v>9</v>
      </c>
      <c r="B27" s="518"/>
      <c r="C27" s="519"/>
      <c r="D27" s="498"/>
      <c r="E27" s="498"/>
      <c r="F27" s="520"/>
      <c r="G27" s="498"/>
      <c r="H27" s="498"/>
      <c r="I27" s="520"/>
      <c r="J27" s="498"/>
      <c r="K27" s="498"/>
      <c r="L27" s="520"/>
      <c r="M27" s="498"/>
      <c r="N27" s="498"/>
      <c r="O27" s="682"/>
      <c r="P27" s="588"/>
    </row>
    <row r="28" spans="1:16" ht="14.1" customHeight="1" x14ac:dyDescent="0.2">
      <c r="A28" s="874"/>
      <c r="B28" s="98" t="s">
        <v>240</v>
      </c>
      <c r="C28" s="567" t="s">
        <v>231</v>
      </c>
      <c r="D28" s="542">
        <f ca="1">IF(T!$A$4&gt;=D$50,INDEX([2]DS!$B39:$AK39,1,3*MONTH(D$5&amp;$A$3)-1)/1000,"")</f>
        <v>380.09252846704175</v>
      </c>
      <c r="E28" s="542">
        <f ca="1">IF(T!$A$4&gt;=E$50,INDEX([2]DS!$B39:$AK39,1,3*MONTH(E$5&amp;$A$3)-1)/1000,"")</f>
        <v>345.72292906950554</v>
      </c>
      <c r="F28" s="569">
        <f ca="1">IF(T!$A$4&gt;=F$50,INDEX([2]DS!$B39:$AK39,1,3*MONTH(F$5&amp;$A$3)-1)/1000,"")</f>
        <v>279.45456243630036</v>
      </c>
      <c r="G28" s="542">
        <f ca="1">IF(T!$A$4&gt;=G$50,INDEX([2]DS!$B39:$AK39,1,3*MONTH(G$5&amp;$A$3)-1)/1000,"")</f>
        <v>174.77195921512549</v>
      </c>
      <c r="H28" s="529">
        <f ca="1">IF(T!$A$4&gt;=H$50,INDEX([2]DS!$B39:$AK39,1,3*MONTH(H$5&amp;$A$3)-1)/1000,"")</f>
        <v>77.136066298959577</v>
      </c>
      <c r="I28" s="544">
        <f ca="1">IF(T!$A$4&gt;=I$50,INDEX([2]DS!$B39:$AK39,1,3*MONTH(I$5&amp;$A$3)-1)/1000,"")</f>
        <v>39.043001396776461</v>
      </c>
      <c r="J28" s="529">
        <f ca="1">IF(T!$A$4&gt;=J$50,INDEX([2]DS!$B39:$AK39,1,3*MONTH(J$5&amp;$A$3)-1)/1000,"")</f>
        <v>29.129814545295432</v>
      </c>
      <c r="K28" s="529">
        <f ca="1">IF(T!$A$4&gt;=K$50,INDEX([2]DS!$B39:$AK39,1,3*MONTH(K$5&amp;$A$3)-1)/1000,"")</f>
        <v>28.914014484539642</v>
      </c>
      <c r="L28" s="544">
        <f ca="1">IF(T!$A$4&gt;=L$50,INDEX([2]DS!$B39:$AK39,1,3*MONTH(L$5&amp;$A$3)-1)/1000,"")</f>
        <v>53.366764975053222</v>
      </c>
      <c r="M28" s="529">
        <f ca="1">IF(T!$A$4&gt;=M$50,INDEX([2]DS!$B39:$AK39,1,3*MONTH(M$5&amp;$A$3)-1)/1000,"")</f>
        <v>185.52726591199999</v>
      </c>
      <c r="N28" s="529" t="str">
        <f ca="1">IF(T!$A$4&gt;=N$50,INDEX([2]DS!$B39:$AK39,1,3*MONTH(N$5&amp;$A$3)-1)/1000,"")</f>
        <v/>
      </c>
      <c r="O28" s="529" t="str">
        <f ca="1">IF(T!$A$4&gt;=O$50,INDEX([2]DS!$B39:$AK39,1,3*MONTH(O$5&amp;$A$3)-1)/1000,"")</f>
        <v/>
      </c>
      <c r="P28" s="589">
        <f ca="1">SUM(D28:O28)</f>
        <v>1593.1589068005974</v>
      </c>
    </row>
    <row r="29" spans="1:16" ht="14.1" customHeight="1" x14ac:dyDescent="0.2">
      <c r="A29" s="874"/>
      <c r="B29" s="98" t="s">
        <v>240</v>
      </c>
      <c r="C29" s="567" t="s">
        <v>284</v>
      </c>
      <c r="D29" s="542">
        <f ca="1">IF(T!$A$4&gt;=D$50,INDEX([2]DS!$B39:$AK39,1,3*MONTH(D$5&amp;$A$3))/1000,"")</f>
        <v>4040.0918949251254</v>
      </c>
      <c r="E29" s="542">
        <f ca="1">IF(T!$A$4&gt;=E$50,INDEX([2]DS!$B39:$AK39,1,3*MONTH(E$5&amp;$A$3))/1000,"")</f>
        <v>3676.2133806149886</v>
      </c>
      <c r="F29" s="569">
        <f ca="1">IF(T!$A$4&gt;=F$50,INDEX([2]DS!$B39:$AK39,1,3*MONTH(F$5&amp;$A$3))/1000,"")</f>
        <v>2970.9536981429555</v>
      </c>
      <c r="G29" s="542">
        <f ca="1">IF(T!$A$4&gt;=G$50,INDEX([2]DS!$B39:$AK39,1,3*MONTH(G$5&amp;$A$3))/1000,"")</f>
        <v>1859.4300816773416</v>
      </c>
      <c r="H29" s="529">
        <f ca="1">IF(T!$A$4&gt;=H$50,INDEX([2]DS!$B39:$AK39,1,3*MONTH(H$5&amp;$A$3))/1000,"")</f>
        <v>825.57538601090027</v>
      </c>
      <c r="I29" s="544">
        <f ca="1">IF(T!$A$4&gt;=I$50,INDEX([2]DS!$B39:$AK39,1,3*MONTH(I$5&amp;$A$3))/1000,"")</f>
        <v>417.97597447660297</v>
      </c>
      <c r="J29" s="529">
        <f ca="1">IF(T!$A$4&gt;=J$50,INDEX([2]DS!$B39:$AK39,1,3*MONTH(J$5&amp;$A$3))/1000,"")</f>
        <v>310.81410196012069</v>
      </c>
      <c r="K29" s="529">
        <f ca="1">IF(T!$A$4&gt;=K$50,INDEX([2]DS!$B39:$AK39,1,3*MONTH(K$5&amp;$A$3))/1000,"")</f>
        <v>309.73479730122267</v>
      </c>
      <c r="L29" s="544">
        <f ca="1">IF(T!$A$4&gt;=L$50,INDEX([2]DS!$B39:$AK39,1,3*MONTH(L$5&amp;$A$3))/1000,"")</f>
        <v>570.83982296990575</v>
      </c>
      <c r="M29" s="529">
        <f ca="1">IF(T!$A$4&gt;=M$50,INDEX([2]DS!$B39:$AK39,1,3*MONTH(M$5&amp;$A$3))/1000,"")</f>
        <v>1981.6876088210665</v>
      </c>
      <c r="N29" s="529" t="str">
        <f ca="1">IF(T!$A$4&gt;=N$50,INDEX([2]DS!$B39:$AK39,1,3*MONTH(N$5&amp;$A$3))/1000,"")</f>
        <v/>
      </c>
      <c r="O29" s="529" t="str">
        <f ca="1">IF(T!$A$4&gt;=O$50,INDEX([2]DS!$B39:$AK39,1,3*MONTH(O$5&amp;$A$3))/1000,"")</f>
        <v/>
      </c>
      <c r="P29" s="589">
        <f t="shared" ref="P29" ca="1" si="5">SUM(D29:O29)</f>
        <v>16963.316746900229</v>
      </c>
    </row>
    <row r="30" spans="1:16" ht="14.1" customHeight="1" x14ac:dyDescent="0.2">
      <c r="A30" s="874"/>
      <c r="B30" s="728" t="s">
        <v>238</v>
      </c>
      <c r="C30" s="729" t="s">
        <v>232</v>
      </c>
      <c r="D30" s="730">
        <f ca="1">IF(T!$A$4&gt;=D$50,D28/D$40,"")</f>
        <v>0.35152066884388633</v>
      </c>
      <c r="E30" s="730">
        <f ca="1">IF(T!$A$4&gt;=E$50,E28/E$40,"")</f>
        <v>0.34926201708418608</v>
      </c>
      <c r="F30" s="731">
        <f ca="1">IF(T!$A$4&gt;=F$50,F28/F$40,"")</f>
        <v>0.32286988989858412</v>
      </c>
      <c r="G30" s="730">
        <f ca="1">IF(T!$A$4&gt;=G$50,G28/G$40,"")</f>
        <v>0.28061901705768372</v>
      </c>
      <c r="H30" s="732">
        <f ca="1">IF(T!$A$4&gt;=H$50,H28/H$40,"")</f>
        <v>0.1905668124573833</v>
      </c>
      <c r="I30" s="733">
        <f ca="1">IF(T!$A$4&gt;=I$50,I28/I$40,"")</f>
        <v>0.1241794397243443</v>
      </c>
      <c r="J30" s="732">
        <f ca="1">IF(T!$A$4&gt;=J$50,J28/J$40,"")</f>
        <v>9.7624580240936051E-2</v>
      </c>
      <c r="K30" s="732">
        <f ca="1">IF(T!$A$4&gt;=K$50,K28/K$40,"")</f>
        <v>0.10419052362716814</v>
      </c>
      <c r="L30" s="733">
        <f ca="1">IF(T!$A$4&gt;=L$50,L28/L$40,"")</f>
        <v>0.15119740980569438</v>
      </c>
      <c r="M30" s="732">
        <f ca="1">IF(T!$A$4&gt;=M$50,M28/M$40,"")</f>
        <v>0.26795691370558467</v>
      </c>
      <c r="N30" s="732" t="str">
        <f ca="1">IF(T!$A$4&gt;=N$50,N28/N$40,"")</f>
        <v/>
      </c>
      <c r="O30" s="732" t="str">
        <f ca="1">IF(T!$A$4&gt;=O$50,O28/O$40,"")</f>
        <v/>
      </c>
      <c r="P30" s="734">
        <f t="shared" ref="P30" ca="1" si="6">P28/P$40</f>
        <v>0.27003131535219532</v>
      </c>
    </row>
    <row r="31" spans="1:16" ht="14.1" customHeight="1" x14ac:dyDescent="0.2">
      <c r="A31" s="874"/>
      <c r="B31" s="98" t="s">
        <v>0</v>
      </c>
      <c r="C31" s="567"/>
      <c r="D31" s="669">
        <f ca="1">IF(T!$A$4&gt;=D$50,INDEX([2]DS!$B39:$AK39,1,3*MONTH(D$5&amp;$A$3)-2),"")</f>
        <v>2642786</v>
      </c>
      <c r="E31" s="669">
        <f ca="1">IF(T!$A$4&gt;=E$50,INDEX([2]DS!$B39:$AK39,1,3*MONTH(E$5&amp;$A$3)-2),"")</f>
        <v>2642487</v>
      </c>
      <c r="F31" s="670">
        <f ca="1">IF(T!$A$4&gt;=F$50,INDEX([2]DS!$B39:$AK39,1,3*MONTH(F$5&amp;$A$3)-2),"")</f>
        <v>2641197</v>
      </c>
      <c r="G31" s="669">
        <f ca="1">IF(T!$A$4&gt;=G$50,INDEX([2]DS!$B39:$AK39,1,3*MONTH(G$5&amp;$A$3)-2),"")</f>
        <v>2640050</v>
      </c>
      <c r="H31" s="668">
        <f ca="1">IF(T!$A$4&gt;=H$50,INDEX([2]DS!$B39:$AK39,1,3*MONTH(H$5&amp;$A$3)-2),"")</f>
        <v>2639058</v>
      </c>
      <c r="I31" s="671">
        <f ca="1">IF(T!$A$4&gt;=I$50,INDEX([2]DS!$B39:$AK39,1,3*MONTH(I$5&amp;$A$3)-2),"")</f>
        <v>2637627</v>
      </c>
      <c r="J31" s="668">
        <f ca="1">IF(T!$A$4&gt;=J$50,INDEX([2]DS!$B39:$AK39,1,3*MONTH(J$5&amp;$A$3)-2),"")</f>
        <v>2636018</v>
      </c>
      <c r="K31" s="668">
        <f ca="1">IF(T!$A$4&gt;=K$50,INDEX([2]DS!$B39:$AK39,1,3*MONTH(K$5&amp;$A$3)-2),"")</f>
        <v>2632516</v>
      </c>
      <c r="L31" s="671">
        <f ca="1">IF(T!$A$4&gt;=L$50,INDEX([2]DS!$B39:$AK39,1,3*MONTH(L$5&amp;$A$3)-2),"")</f>
        <v>2632371</v>
      </c>
      <c r="M31" s="668">
        <f ca="1">IF(T!$A$4&gt;=M$50,INDEX([2]DS!$B39:$AK39,1,3*MONTH(M$5&amp;$A$3)-2),"")</f>
        <v>2633194</v>
      </c>
      <c r="N31" s="668" t="str">
        <f ca="1">IF(T!$A$4&gt;=N$50,INDEX([2]DS!$B39:$AK39,1,3*MONTH(N$5&amp;$A$3)-2),"")</f>
        <v/>
      </c>
      <c r="O31" s="668" t="str">
        <f ca="1">IF(T!$A$4&gt;=O$50,INDEX([2]DS!$B39:$AK39,1,3*MONTH(O$5&amp;$A$3)-2),"")</f>
        <v/>
      </c>
      <c r="P31" s="683" t="str">
        <f ca="1">O31</f>
        <v/>
      </c>
    </row>
    <row r="32" spans="1:16" ht="14.1" customHeight="1" x14ac:dyDescent="0.2">
      <c r="A32" s="874"/>
      <c r="B32" s="568" t="s">
        <v>239</v>
      </c>
      <c r="C32" s="567" t="s">
        <v>232</v>
      </c>
      <c r="D32" s="672">
        <f ca="1">IF(T!$A$4&gt;=D$50,D31/D$42,"")</f>
        <v>0.92757062813163793</v>
      </c>
      <c r="E32" s="680">
        <f ca="1">IF(T!$A$4&gt;=E$50,E31/E$42,"")</f>
        <v>0.92757963183068792</v>
      </c>
      <c r="F32" s="673">
        <f ca="1">IF(T!$A$4&gt;=F$50,F31/F$42,"")</f>
        <v>0.92758982305111792</v>
      </c>
      <c r="G32" s="672">
        <f ca="1">IF(T!$A$4&gt;=G$50,G31/G$42,"")</f>
        <v>0.92761474359492391</v>
      </c>
      <c r="H32" s="387">
        <f ca="1">IF(T!$A$4&gt;=H$50,H31/H$42,"")</f>
        <v>0.92763156507232836</v>
      </c>
      <c r="I32" s="674">
        <f ca="1">IF(T!$A$4&gt;=I$50,I31/I$42,"")</f>
        <v>0.92764277537354511</v>
      </c>
      <c r="J32" s="387">
        <f ca="1">IF(T!$A$4&gt;=J$50,J31/J$42,"")</f>
        <v>0.92768896870619599</v>
      </c>
      <c r="K32" s="387">
        <f ca="1">IF(T!$A$4&gt;=K$50,K31/K$42,"")</f>
        <v>0.927273002659047</v>
      </c>
      <c r="L32" s="674">
        <f ca="1">IF(T!$A$4&gt;=L$50,L31/L$42,"")</f>
        <v>0.9272052716448318</v>
      </c>
      <c r="M32" s="387">
        <f ca="1">IF(T!$A$4&gt;=M$50,M31/M$42,"")</f>
        <v>0.92702659028971579</v>
      </c>
      <c r="N32" s="387" t="str">
        <f ca="1">IF(T!$A$4&gt;=N$50,N31/N$42,"")</f>
        <v/>
      </c>
      <c r="O32" s="387" t="str">
        <f ca="1">IF(T!$A$4&gt;=O$50,O31/O$42,"")</f>
        <v/>
      </c>
      <c r="P32" s="681" t="str">
        <f ca="1">IF(T!$A$4&gt;=O$50,P31/P$42,"")</f>
        <v/>
      </c>
    </row>
    <row r="33" spans="1:16" ht="5.0999999999999996" customHeight="1" x14ac:dyDescent="0.2">
      <c r="A33" s="875"/>
      <c r="B33" s="578"/>
      <c r="C33" s="576"/>
      <c r="D33" s="546"/>
      <c r="E33" s="546"/>
      <c r="F33" s="577"/>
      <c r="G33" s="546"/>
      <c r="H33" s="548"/>
      <c r="I33" s="549"/>
      <c r="J33" s="548"/>
      <c r="K33" s="548"/>
      <c r="L33" s="549"/>
      <c r="M33" s="548"/>
      <c r="N33" s="548"/>
      <c r="O33" s="548"/>
      <c r="P33" s="590"/>
    </row>
    <row r="34" spans="1:16" ht="5.0999999999999996" customHeight="1" x14ac:dyDescent="0.2">
      <c r="A34" s="881" t="s">
        <v>162</v>
      </c>
      <c r="B34" s="518"/>
      <c r="C34" s="580"/>
      <c r="D34" s="581"/>
      <c r="E34" s="581"/>
      <c r="F34" s="582"/>
      <c r="G34" s="581"/>
      <c r="H34" s="581"/>
      <c r="I34" s="582"/>
      <c r="J34" s="581"/>
      <c r="K34" s="581"/>
      <c r="L34" s="582"/>
      <c r="M34" s="581"/>
      <c r="N34" s="581"/>
      <c r="O34" s="581"/>
      <c r="P34" s="591"/>
    </row>
    <row r="35" spans="1:16" ht="14.1" customHeight="1" x14ac:dyDescent="0.2">
      <c r="A35" s="882"/>
      <c r="B35" s="98" t="s">
        <v>240</v>
      </c>
      <c r="C35" s="567" t="s">
        <v>231</v>
      </c>
      <c r="D35" s="542">
        <f ca="1">IF(T!$A$4&gt;=D$50,INDEX([2]DS!$B40:$AK40,1,3*MONTH(D$5&amp;$A$3)-1)/1000,"")</f>
        <v>20.659968092408928</v>
      </c>
      <c r="E35" s="542">
        <f ca="1">IF(T!$A$4&gt;=E$50,INDEX([2]DS!$B40:$AK40,1,3*MONTH(E$5&amp;$A$3)-1)/1000,"")</f>
        <v>20.358369064683973</v>
      </c>
      <c r="F35" s="569">
        <f ca="1">IF(T!$A$4&gt;=F$50,INDEX([2]DS!$B40:$AK40,1,3*MONTH(F$5&amp;$A$3)-1)/1000,"")</f>
        <v>16.79553672233488</v>
      </c>
      <c r="G35" s="542">
        <f ca="1">IF(T!$A$4&gt;=G$50,INDEX([2]DS!$B40:$AK40,1,3*MONTH(G$5&amp;$A$3)-1)/1000,"")</f>
        <v>13.251335840089334</v>
      </c>
      <c r="H35" s="529">
        <f ca="1">IF(T!$A$4&gt;=H$50,INDEX([2]DS!$B40:$AK40,1,3*MONTH(H$5&amp;$A$3)-1)/1000,"")</f>
        <v>9.2838074360848868</v>
      </c>
      <c r="I35" s="544">
        <f ca="1">IF(T!$A$4&gt;=I$50,INDEX([2]DS!$B40:$AK40,1,3*MONTH(I$5&amp;$A$3)-1)/1000,"")</f>
        <v>7.1425826043619889</v>
      </c>
      <c r="J35" s="529">
        <f ca="1">IF(T!$A$4&gt;=J$50,INDEX([2]DS!$B40:$AK40,1,3*MONTH(J$5&amp;$A$3)-1)/1000,"")</f>
        <v>6.9072565002587893</v>
      </c>
      <c r="K35" s="529">
        <f ca="1">IF(T!$A$4&gt;=K$50,INDEX([2]DS!$B40:$AK40,1,3*MONTH(K$5&amp;$A$3)-1)/1000,"")</f>
        <v>6.4790765959707768</v>
      </c>
      <c r="L35" s="544">
        <f ca="1">IF(T!$A$4&gt;=L$50,INDEX([2]DS!$B40:$AK40,1,3*MONTH(L$5&amp;$A$3)-1)/1000,"")</f>
        <v>7.2868021695609935</v>
      </c>
      <c r="M35" s="529">
        <f ca="1">IF(T!$A$4&gt;=M$50,INDEX([2]DS!$B40:$AK40,1,3*MONTH(M$5&amp;$A$3)-1)/1000,"")</f>
        <v>13.672544900063428</v>
      </c>
      <c r="N35" s="529" t="str">
        <f ca="1">IF(T!$A$4&gt;=N$50,INDEX([2]DS!$B40:$AK40,1,3*MONTH(N$5&amp;$A$3)-1)/1000,"")</f>
        <v/>
      </c>
      <c r="O35" s="529" t="str">
        <f ca="1">IF(T!$A$4&gt;=O$50,INDEX([2]DS!$B40:$AK40,1,3*MONTH(O$5&amp;$A$3)-1)/1000,"")</f>
        <v/>
      </c>
      <c r="P35" s="589">
        <f ca="1">SUM(D35:O35)</f>
        <v>121.83727992581798</v>
      </c>
    </row>
    <row r="36" spans="1:16" ht="14.1" customHeight="1" x14ac:dyDescent="0.2">
      <c r="A36" s="882"/>
      <c r="B36" s="98" t="s">
        <v>240</v>
      </c>
      <c r="C36" s="567" t="s">
        <v>284</v>
      </c>
      <c r="D36" s="542">
        <f ca="1">IF(T!$A$4&gt;=D$50,INDEX([2]DS!$B40:$AK40,1,3*MONTH(D$5&amp;$A$3))/1000,"")</f>
        <v>219.62695818</v>
      </c>
      <c r="E36" s="542">
        <f ca="1">IF(T!$A$4&gt;=E$50,INDEX([2]DS!$B40:$AK40,1,3*MONTH(E$5&amp;$A$3))/1000,"")</f>
        <v>216.47732603215218</v>
      </c>
      <c r="F36" s="569">
        <f ca="1">IF(T!$A$4&gt;=F$50,INDEX([2]DS!$B40:$AK40,1,3*MONTH(F$5&amp;$A$3))/1000,"")</f>
        <v>178.82983849000001</v>
      </c>
      <c r="G36" s="542">
        <f ca="1">IF(T!$A$4&gt;=G$50,INDEX([2]DS!$B40:$AK40,1,3*MONTH(G$5&amp;$A$3))/1000,"")</f>
        <v>141.00974815999996</v>
      </c>
      <c r="H36" s="529">
        <f ca="1">IF(T!$A$4&gt;=H$50,INDEX([2]DS!$B40:$AK40,1,3*MONTH(H$5&amp;$A$3))/1000,"")</f>
        <v>99.303309700000014</v>
      </c>
      <c r="I36" s="544">
        <f ca="1">IF(T!$A$4&gt;=I$50,INDEX([2]DS!$B40:$AK40,1,3*MONTH(I$5&amp;$A$3))/1000,"")</f>
        <v>76.709236539999992</v>
      </c>
      <c r="J36" s="529">
        <f ca="1">IF(T!$A$4&gt;=J$50,INDEX([2]DS!$B40:$AK40,1,3*MONTH(J$5&amp;$A$3))/1000,"")</f>
        <v>73.796232690000025</v>
      </c>
      <c r="K36" s="529">
        <f ca="1">IF(T!$A$4&gt;=K$50,INDEX([2]DS!$B40:$AK40,1,3*MONTH(K$5&amp;$A$3))/1000,"")</f>
        <v>69.558928849999972</v>
      </c>
      <c r="L36" s="544">
        <f ca="1">IF(T!$A$4&gt;=L$50,INDEX([2]DS!$B40:$AK40,1,3*MONTH(L$5&amp;$A$3))/1000,"")</f>
        <v>78.156489599999958</v>
      </c>
      <c r="M36" s="529">
        <f ca="1">IF(T!$A$4&gt;=M$50,INDEX([2]DS!$B40:$AK40,1,3*MONTH(M$5&amp;$A$3))/1000,"")</f>
        <v>146.29219937000002</v>
      </c>
      <c r="N36" s="529" t="str">
        <f ca="1">IF(T!$A$4&gt;=N$50,INDEX([2]DS!$B40:$AK40,1,3*MONTH(N$5&amp;$A$3))/1000,"")</f>
        <v/>
      </c>
      <c r="O36" s="529" t="str">
        <f ca="1">IF(T!$A$4&gt;=O$50,INDEX([2]DS!$B40:$AK40,1,3*MONTH(O$5&amp;$A$3))/1000,"")</f>
        <v/>
      </c>
      <c r="P36" s="589">
        <f ca="1">SUM(D36:O36)</f>
        <v>1299.7602676121521</v>
      </c>
    </row>
    <row r="37" spans="1:16" ht="14.1" customHeight="1" x14ac:dyDescent="0.2">
      <c r="A37" s="882"/>
      <c r="B37" s="568" t="s">
        <v>238</v>
      </c>
      <c r="C37" s="575" t="s">
        <v>232</v>
      </c>
      <c r="D37" s="672">
        <f ca="1">IF(T!$A$4&gt;=D$50,D35/D$40,"")</f>
        <v>1.9106941752912325E-2</v>
      </c>
      <c r="E37" s="672">
        <f ca="1">IF(T!$A$4&gt;=E$50,E35/E$40,"")</f>
        <v>2.0566773118615787E-2</v>
      </c>
      <c r="F37" s="673">
        <f ca="1">IF(T!$A$4&gt;=F$50,F35/F$40,"")</f>
        <v>1.9404847231878602E-2</v>
      </c>
      <c r="G37" s="672">
        <f ca="1">IF(T!$A$4&gt;=G$50,G35/G$40,"")</f>
        <v>2.1276736009865037E-2</v>
      </c>
      <c r="H37" s="387">
        <f ca="1">IF(T!$A$4&gt;=H$50,H35/H$40,"")</f>
        <v>2.2935906320474524E-2</v>
      </c>
      <c r="I37" s="674">
        <f ca="1">IF(T!$A$4&gt;=I$50,I35/I$40,"")</f>
        <v>2.2717564589379919E-2</v>
      </c>
      <c r="J37" s="387">
        <f ca="1">IF(T!$A$4&gt;=J$50,J35/J$40,"")</f>
        <v>2.3148723291928616E-2</v>
      </c>
      <c r="K37" s="387">
        <f ca="1">IF(T!$A$4&gt;=K$50,K35/K$40,"")</f>
        <v>2.3347099847227364E-2</v>
      </c>
      <c r="L37" s="674">
        <f ca="1">IF(T!$A$4&gt;=L$50,L35/L$40,"")</f>
        <v>2.064478921139697E-2</v>
      </c>
      <c r="M37" s="387">
        <f ca="1">IF(T!$A$4&gt;=M$50,M35/M$40,"")</f>
        <v>1.9747248017225598E-2</v>
      </c>
      <c r="N37" s="387" t="str">
        <f ca="1">IF(T!$A$4&gt;=N$50,N35/N$40,"")</f>
        <v/>
      </c>
      <c r="O37" s="387" t="str">
        <f ca="1">IF(T!$A$4&gt;=O$50,O35/O$40,"")</f>
        <v/>
      </c>
      <c r="P37" s="681">
        <f t="shared" ref="P37" ca="1" si="7">P35/P$40</f>
        <v>2.0650721542505905E-2</v>
      </c>
    </row>
    <row r="38" spans="1:16" ht="5.0999999999999996" customHeight="1" thickBot="1" x14ac:dyDescent="0.25">
      <c r="A38" s="883"/>
      <c r="B38" s="583"/>
      <c r="C38" s="584"/>
      <c r="D38" s="585"/>
      <c r="E38" s="585"/>
      <c r="F38" s="585"/>
      <c r="G38" s="583"/>
      <c r="H38" s="585"/>
      <c r="I38" s="586"/>
      <c r="J38" s="585"/>
      <c r="K38" s="585"/>
      <c r="L38" s="585"/>
      <c r="M38" s="583"/>
      <c r="N38" s="585"/>
      <c r="O38" s="585"/>
      <c r="P38" s="592"/>
    </row>
    <row r="39" spans="1:16" ht="5.0999999999999996" customHeight="1" thickTop="1" x14ac:dyDescent="0.2">
      <c r="A39" s="884" t="s">
        <v>5</v>
      </c>
      <c r="B39" s="597"/>
      <c r="C39" s="598"/>
      <c r="D39" s="599"/>
      <c r="E39" s="599"/>
      <c r="F39" s="600"/>
      <c r="G39" s="599"/>
      <c r="H39" s="599"/>
      <c r="I39" s="600"/>
      <c r="J39" s="599"/>
      <c r="K39" s="599"/>
      <c r="L39" s="600"/>
      <c r="M39" s="599"/>
      <c r="N39" s="599"/>
      <c r="O39" s="599"/>
      <c r="P39" s="601"/>
    </row>
    <row r="40" spans="1:16" x14ac:dyDescent="0.2">
      <c r="A40" s="884"/>
      <c r="B40" s="563" t="s">
        <v>240</v>
      </c>
      <c r="C40" s="565" t="s">
        <v>231</v>
      </c>
      <c r="D40" s="521">
        <f ca="1">IF(T!$A$4&gt;=D$50,D7+D14+D21+D28+D35,"")</f>
        <v>1081.2807386749837</v>
      </c>
      <c r="E40" s="522">
        <f ca="1">IF(T!$A$4&gt;=E$50,E7+E14+E21+E28+E35,"")</f>
        <v>989.86695420181502</v>
      </c>
      <c r="F40" s="523">
        <f ca="1">IF(T!$A$4&gt;=F$50,F7+F14+F21+F28+F35,"")</f>
        <v>865.53305582034659</v>
      </c>
      <c r="G40" s="522">
        <f ca="1">IF(T!$A$4&gt;=G$50,G7+G14+G21+G28+G35,"")</f>
        <v>622.80867864061963</v>
      </c>
      <c r="H40" s="521">
        <f ca="1">IF(T!$A$4&gt;=H$50,H7+H14+H21+H28+H35,"")</f>
        <v>404.77177166517185</v>
      </c>
      <c r="I40" s="524">
        <f ca="1">IF(T!$A$4&gt;=I$50,I7+I14+I21+I28+I35,"")</f>
        <v>314.40793647841224</v>
      </c>
      <c r="J40" s="521">
        <f ca="1">IF(T!$A$4&gt;=J$50,J7+J14+J21+J28+J35,"")</f>
        <v>298.38606704790402</v>
      </c>
      <c r="K40" s="521">
        <f ca="1">IF(T!$A$4&gt;=K$50,K7+K14+K21+K28+K35,"")</f>
        <v>277.51098159372515</v>
      </c>
      <c r="L40" s="524">
        <f ca="1">IF(T!$A$4&gt;=L$50,L7+L14+L21+L28+L35,"")</f>
        <v>352.96084135062563</v>
      </c>
      <c r="M40" s="521">
        <f ca="1">IF(T!$A$4&gt;=M$50,M7+M14+M21+M28+M35,"")</f>
        <v>692.37723090006352</v>
      </c>
      <c r="N40" s="521" t="str">
        <f ca="1">IF(T!$A$4&gt;=N$50,N7+N14+N21+N28+N35,"")</f>
        <v/>
      </c>
      <c r="O40" s="521" t="str">
        <f ca="1">IF(T!$A$4&gt;=O$50,O7+O14+O21+O28+O35,"")</f>
        <v/>
      </c>
      <c r="P40" s="594">
        <f ca="1">SUM(D40:O40)</f>
        <v>5899.9042563736675</v>
      </c>
    </row>
    <row r="41" spans="1:16" x14ac:dyDescent="0.2">
      <c r="A41" s="884"/>
      <c r="B41" s="735" t="s">
        <v>240</v>
      </c>
      <c r="C41" s="736" t="s">
        <v>284</v>
      </c>
      <c r="D41" s="737">
        <f ca="1">IF(T!$A$4&gt;=D$50,D8+D15+D22+D29+D36,"")</f>
        <v>11492.758327891857</v>
      </c>
      <c r="E41" s="737">
        <f ca="1">IF(T!$A$4&gt;=E$50,E8+E15+E22+E29+E36,"")</f>
        <v>10525.401374383</v>
      </c>
      <c r="F41" s="738">
        <f ca="1">IF(T!$A$4&gt;=F$50,F8+F15+F22+F29+F36,"")</f>
        <v>9201.9028527498376</v>
      </c>
      <c r="G41" s="737">
        <f ca="1">IF(T!$A$4&gt;=G$50,G8+G15+G22+G29+G36,"")</f>
        <v>6626.1086613249508</v>
      </c>
      <c r="H41" s="739">
        <f ca="1">IF(T!$A$4&gt;=H$50,H8+H15+H22+H29+H36,"")</f>
        <v>4332.1303739099976</v>
      </c>
      <c r="I41" s="740">
        <f ca="1">IF(T!$A$4&gt;=I$50,I8+I15+I22+I29+I36,"")</f>
        <v>3367.313609410005</v>
      </c>
      <c r="J41" s="739">
        <f ca="1">IF(T!$A$4&gt;=J$50,J8+J15+J22+J29+J36,"")</f>
        <v>3186.204207822545</v>
      </c>
      <c r="K41" s="739">
        <f ca="1">IF(T!$A$4&gt;=K$50,K8+K15+K22+K29+K36,"")</f>
        <v>2973.0213756390081</v>
      </c>
      <c r="L41" s="740">
        <f ca="1">IF(T!$A$4&gt;=L$50,L8+L15+L22+L29+L36,"")</f>
        <v>3775.5576242699826</v>
      </c>
      <c r="M41" s="739">
        <f ca="1">IF(T!$A$4&gt;=M$50,M8+M15+M22+M29+M36,"")</f>
        <v>7395.1325578299611</v>
      </c>
      <c r="N41" s="739" t="str">
        <f ca="1">IF(T!$A$4&gt;=N$50,N8+N15+N22+N29+N36,"")</f>
        <v/>
      </c>
      <c r="O41" s="739" t="str">
        <f ca="1">IF(T!$A$4&gt;=O$50,O8+O15+O22+O29+O36,"")</f>
        <v/>
      </c>
      <c r="P41" s="741">
        <f t="shared" ref="P41" ca="1" si="8">SUM(D41:O41)</f>
        <v>62875.530965231141</v>
      </c>
    </row>
    <row r="42" spans="1:16" x14ac:dyDescent="0.2">
      <c r="A42" s="884"/>
      <c r="B42" s="563" t="s">
        <v>0</v>
      </c>
      <c r="C42" s="565"/>
      <c r="D42" s="675">
        <f ca="1">IF(T!$A$4&gt;=D$50,SUM(D10+D17+D24+D31),"")</f>
        <v>2849148</v>
      </c>
      <c r="E42" s="675">
        <f ca="1">IF(T!$A$4&gt;=E$50,SUM(E10+E17+E24+E31),"")</f>
        <v>2848798</v>
      </c>
      <c r="F42" s="676">
        <f ca="1">IF(T!$A$4&gt;=F$50,SUM(F10+F17+F24+F31),"")</f>
        <v>2847376</v>
      </c>
      <c r="G42" s="675">
        <f ca="1">IF(T!$A$4&gt;=G$50,SUM(G10+G17+G24+G31),"")</f>
        <v>2846063</v>
      </c>
      <c r="H42" s="677">
        <f ca="1">IF(T!$A$4&gt;=H$50,SUM(H10+H17+H24+H31),"")</f>
        <v>2844942</v>
      </c>
      <c r="I42" s="678">
        <f ca="1">IF(T!$A$4&gt;=I$50,SUM(I10+I17+I24+I31),"")</f>
        <v>2843365</v>
      </c>
      <c r="J42" s="677">
        <f ca="1">IF(T!$A$4&gt;=J$50,SUM(J10+J17+J24+J31),"")</f>
        <v>2841489</v>
      </c>
      <c r="K42" s="677">
        <f ca="1">IF(T!$A$4&gt;=K$50,SUM(K10+K17+K24+K31),"")</f>
        <v>2838987</v>
      </c>
      <c r="L42" s="678">
        <f ca="1">IF(T!$A$4&gt;=L$50,SUM(L10+L17+L24+L31),"")</f>
        <v>2839038</v>
      </c>
      <c r="M42" s="677">
        <f ca="1">IF(T!$A$4&gt;=M$50,SUM(M10+M17+M24+M31),"")</f>
        <v>2840473</v>
      </c>
      <c r="N42" s="677" t="str">
        <f ca="1">IF(T!$A$4&gt;=N$50,SUM(N10+N17+N24+N31),"")</f>
        <v/>
      </c>
      <c r="O42" s="677" t="str">
        <f ca="1">IF(T!$A$4&gt;=O$50,SUM(O10+O17+O24+O31),"")</f>
        <v/>
      </c>
      <c r="P42" s="684" t="str">
        <f ca="1">O42</f>
        <v/>
      </c>
    </row>
    <row r="43" spans="1:16" ht="5.0999999999999996" customHeight="1" x14ac:dyDescent="0.2">
      <c r="A43" s="885"/>
      <c r="B43" s="608"/>
      <c r="C43" s="609"/>
      <c r="D43" s="603"/>
      <c r="E43" s="603"/>
      <c r="F43" s="604"/>
      <c r="G43" s="603"/>
      <c r="H43" s="605"/>
      <c r="I43" s="606"/>
      <c r="J43" s="605"/>
      <c r="K43" s="605"/>
      <c r="L43" s="606"/>
      <c r="M43" s="605"/>
      <c r="N43" s="605"/>
      <c r="O43" s="605"/>
      <c r="P43" s="607"/>
    </row>
    <row r="44" spans="1:16" ht="5.0999999999999996" customHeight="1" x14ac:dyDescent="0.2">
      <c r="B44" s="509"/>
      <c r="C44" s="579"/>
      <c r="G44" s="509"/>
      <c r="H44" s="504"/>
      <c r="I44" s="503"/>
      <c r="M44" s="509"/>
      <c r="N44" s="504"/>
      <c r="O44" s="504"/>
      <c r="P44" s="593"/>
    </row>
    <row r="45" spans="1:16" x14ac:dyDescent="0.2">
      <c r="P45" s="39"/>
    </row>
    <row r="46" spans="1:16" ht="5.0999999999999996" customHeight="1" x14ac:dyDescent="0.2">
      <c r="A46" s="39"/>
      <c r="B46" s="39"/>
      <c r="C46" s="760"/>
      <c r="D46" s="761"/>
      <c r="E46" s="39"/>
      <c r="F46" s="762"/>
      <c r="G46" s="39"/>
      <c r="H46" s="39"/>
      <c r="I46" s="39"/>
      <c r="J46" s="761"/>
      <c r="K46" s="39"/>
      <c r="L46" s="762"/>
      <c r="M46" s="39"/>
      <c r="N46" s="39"/>
      <c r="O46" s="39"/>
      <c r="P46" s="763"/>
    </row>
    <row r="47" spans="1:16" x14ac:dyDescent="0.2">
      <c r="A47" s="879" t="s">
        <v>285</v>
      </c>
      <c r="B47" s="879"/>
      <c r="C47" s="764" t="s">
        <v>286</v>
      </c>
      <c r="D47" s="768">
        <f ca="1">IF(T!$A$4&gt;=D$50,INDEX('[9]2015'!$B$6:$AW$6,1,4*D$50-3)/1000,"")</f>
        <v>32.793244577459717</v>
      </c>
      <c r="E47" s="770">
        <f ca="1">IF(T!$A$4&gt;=E$50,INDEX('[9]2015'!$B$6:$AW$6,1,4*E$50-3)/1000,"")</f>
        <v>26.878824805038349</v>
      </c>
      <c r="F47" s="771">
        <f ca="1">IF(T!$A$4&gt;=F$50,INDEX('[9]2015'!$B$6:$AW$6,1,4*F$50-3)/1000,"")</f>
        <v>20.451244841267822</v>
      </c>
      <c r="G47" s="770">
        <f ca="1">IF(T!$A$4&gt;=G$50,INDEX('[9]2015'!$B$6:$AW$6,1,4*G$50-3)/1000,"")</f>
        <v>15.537596976853051</v>
      </c>
      <c r="H47" s="770">
        <f ca="1">IF(T!$A$4&gt;=H$50,INDEX('[9]2015'!$B$6:$AW$6,1,4*H$50-3)/1000,"")</f>
        <v>11.702739657456808</v>
      </c>
      <c r="I47" s="770">
        <f ca="1">IF(T!$A$4&gt;=I$50,INDEX('[9]2015'!$B$6:$AW$6,1,4*I$50-3)/1000,"")</f>
        <v>9.6252015760092089</v>
      </c>
      <c r="J47" s="768">
        <f ca="1">IF(T!$A$4&gt;=J$50,INDEX('[9]2015'!$B$6:$AW$6,1,4*J$50-3)/1000,"")</f>
        <v>20.303423771116329</v>
      </c>
      <c r="K47" s="770">
        <f ca="1">IF(T!$A$4&gt;=K$50,INDEX('[9]2015'!$B$6:$AW$6,1,4*K$50-3)/1000,"")</f>
        <v>15.328584565608491</v>
      </c>
      <c r="L47" s="771">
        <f ca="1">IF(T!$A$4&gt;=L$50,INDEX('[9]2015'!$B$6:$AW$6,1,4*L$50-3)/1000,"")</f>
        <v>18.940350651885581</v>
      </c>
      <c r="M47" s="770">
        <f ca="1">IF(T!$A$4&gt;=M$50,INDEX('[9]2015'!$B$6:$AW$6,1,4*M$50-3)/1000,"")</f>
        <v>46.779489094400844</v>
      </c>
      <c r="N47" s="770" t="str">
        <f ca="1">IF(T!$A$4&gt;=N$50,INDEX('[9]2015'!$B$6:$AW$6,1,4*N$50-3)/1000,"")</f>
        <v/>
      </c>
      <c r="O47" s="770" t="str">
        <f ca="1">IF(T!$A$4&gt;=O$50,INDEX('[9]2015'!$B$6:$AW$6,1,4*O$50-3)/1000,"")</f>
        <v/>
      </c>
      <c r="P47" s="765">
        <f ca="1">SUM(D47:O47)</f>
        <v>218.3407005170962</v>
      </c>
    </row>
    <row r="48" spans="1:16" x14ac:dyDescent="0.2">
      <c r="A48" s="880" t="s">
        <v>285</v>
      </c>
      <c r="B48" s="880"/>
      <c r="C48" s="766" t="s">
        <v>284</v>
      </c>
      <c r="D48" s="769">
        <f ca="1">IF(T!$A$4&gt;=D$50,INDEX('[9]2015'!$B$6:$AW$6,1,4*D$50-2)/1000,"")</f>
        <v>348.5541000000004</v>
      </c>
      <c r="E48" s="772">
        <f ca="1">IF(T!$A$4&gt;=E$50,INDEX('[9]2015'!$B$6:$AW$6,1,4*E$50-2)/1000,"")</f>
        <v>285.80650999999995</v>
      </c>
      <c r="F48" s="773">
        <f ca="1">IF(T!$A$4&gt;=F$50,INDEX('[9]2015'!$B$6:$AW$6,1,4*F$50-2)/1000,"")</f>
        <v>217.42712999999995</v>
      </c>
      <c r="G48" s="772">
        <f ca="1">IF(T!$A$4&gt;=G$50,INDEX('[9]2015'!$B$6:$AW$6,1,4*G$50-2)/1000,"")</f>
        <v>165.30567000000008</v>
      </c>
      <c r="H48" s="772">
        <f ca="1">IF(T!$A$4&gt;=H$50,INDEX('[9]2015'!$B$6:$AW$6,1,4*H$50-2)/1000,"")</f>
        <v>125.25032000000007</v>
      </c>
      <c r="I48" s="772">
        <f ca="1">IF(T!$A$4&gt;=I$50,INDEX('[9]2015'!$B$6:$AW$6,1,4*I$50-2)/1000,"")</f>
        <v>103.08605000000003</v>
      </c>
      <c r="J48" s="769">
        <f ca="1">IF(T!$A$4&gt;=J$50,INDEX('[9]2015'!$B$6:$AW$6,1,4*J$50-2)/1000,"")</f>
        <v>216.80252999999968</v>
      </c>
      <c r="K48" s="772">
        <f ca="1">IF(T!$A$4&gt;=K$50,INDEX('[9]2015'!$B$6:$AW$6,1,4*K$50-2)/1000,"")</f>
        <v>164.21767999999989</v>
      </c>
      <c r="L48" s="773">
        <f ca="1">IF(T!$A$4&gt;=L$50,INDEX('[9]2015'!$B$6:$AW$6,1,4*L$50-2)/1000,"")</f>
        <v>202.60146999999998</v>
      </c>
      <c r="M48" s="772">
        <f ca="1">IF(T!$A$4&gt;=M$50,INDEX('[9]2015'!$B$6:$AW$6,1,4*M$50-2)/1000,"")</f>
        <v>499.64167999999978</v>
      </c>
      <c r="N48" s="772" t="str">
        <f ca="1">IF(T!$A$4&gt;=N$50,INDEX('[9]2015'!$B$6:$AW$6,1,4*N$50-2)/1000,"")</f>
        <v/>
      </c>
      <c r="O48" s="772" t="str">
        <f ca="1">IF(T!$A$4&gt;=O$50,INDEX('[9]2015'!$B$6:$AW$6,1,4*O$50-2)/1000,"")</f>
        <v/>
      </c>
      <c r="P48" s="767">
        <f ca="1">SUM(D48:O48)</f>
        <v>2328.6931400000003</v>
      </c>
    </row>
    <row r="49" spans="1:16" ht="5.0999999999999996" customHeight="1" x14ac:dyDescent="0.2">
      <c r="A49" s="39"/>
      <c r="B49" s="39"/>
      <c r="C49" s="760"/>
      <c r="D49" s="761"/>
      <c r="E49" s="39"/>
      <c r="F49" s="762"/>
      <c r="G49" s="39"/>
      <c r="H49" s="39"/>
      <c r="I49" s="39"/>
      <c r="J49" s="761"/>
      <c r="K49" s="39"/>
      <c r="L49" s="762"/>
      <c r="M49" s="39"/>
      <c r="N49" s="39"/>
      <c r="O49" s="39"/>
      <c r="P49" s="763"/>
    </row>
    <row r="50" spans="1:16" x14ac:dyDescent="0.2">
      <c r="D50" s="686">
        <v>1</v>
      </c>
      <c r="E50" s="686">
        <v>2</v>
      </c>
      <c r="F50" s="686">
        <v>3</v>
      </c>
      <c r="G50" s="686">
        <v>4</v>
      </c>
      <c r="H50" s="686">
        <v>5</v>
      </c>
      <c r="I50" s="686">
        <v>6</v>
      </c>
      <c r="J50" s="686">
        <v>7</v>
      </c>
      <c r="K50" s="686">
        <v>8</v>
      </c>
      <c r="L50" s="686">
        <v>9</v>
      </c>
      <c r="M50" s="686">
        <v>10</v>
      </c>
      <c r="N50" s="686">
        <v>11</v>
      </c>
      <c r="O50" s="686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0" t="s">
        <v>55</v>
      </c>
      <c r="P1" s="820"/>
    </row>
    <row r="2" spans="1:17" ht="15.95" customHeight="1" x14ac:dyDescent="0.25">
      <c r="A2" s="876" t="s">
        <v>169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</row>
    <row r="3" spans="1:17" ht="14.1" customHeight="1" x14ac:dyDescent="0.25">
      <c r="A3" s="877">
        <f>T!$I$21</f>
        <v>2015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" customHeight="1" x14ac:dyDescent="0.2">
      <c r="A6" s="878" t="s">
        <v>160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4"/>
      <c r="B7" s="98" t="s">
        <v>135</v>
      </c>
      <c r="C7" s="567" t="s">
        <v>231</v>
      </c>
      <c r="D7" s="529">
        <f ca="1">IF(T!$A$4&gt;=D$42,(INDEX('[1]Přepravní soustava'!$C$13:$AL$13,1,MATCH(D$5,'[1]Přepravní soustava'!$C$1:$AL$1,0))+INDEX('[2]Z ZDS'!$C$31:$BB$31,1,MATCH(D$5,'[2]Z ZDS'!$C$1:$AX$1,0)))/1000,"")</f>
        <v>3284.8473382798379</v>
      </c>
      <c r="E7" s="542">
        <f ca="1">IF(T!$A$4&gt;=E$42,(INDEX('[1]Přepravní soustava'!$C$13:$AL$13,1,MATCH(E$5,'[1]Přepravní soustava'!$C$1:$AL$1,0))+INDEX('[2]Z ZDS'!$C$31:$BB$31,1,MATCH(E$5,'[2]Z ZDS'!$C$1:$AX$1,0)))/1000,"")</f>
        <v>2481.910466691224</v>
      </c>
      <c r="F7" s="569">
        <f ca="1">IF(T!$A$4&gt;=F$42,(INDEX('[1]Přepravní soustava'!$C$13:$AL$13,1,MATCH(F$5,'[1]Přepravní soustava'!$C$1:$AL$1,0))+INDEX('[2]Z ZDS'!$C$31:$BB$31,1,MATCH(F$5,'[2]Z ZDS'!$C$1:$AX$1,0)))/1000,"")</f>
        <v>3307.8947704633943</v>
      </c>
      <c r="G7" s="542">
        <f ca="1">IF(T!$A$4&gt;=G$42,(INDEX('[1]Přepravní soustava'!$C$13:$AL$13,1,MATCH(G$5,'[1]Přepravní soustava'!$C$1:$AL$1,0))+INDEX('[2]Z ZDS'!$C$31:$BB$31,1,MATCH(G$5,'[2]Z ZDS'!$C$1:$AX$1,0)))/1000,"")</f>
        <v>3359.6992668793901</v>
      </c>
      <c r="H7" s="529">
        <f ca="1">IF(T!$A$4&gt;=H$42,(INDEX('[1]Přepravní soustava'!$C$13:$AL$13,1,MATCH(H$5,'[1]Přepravní soustava'!$C$1:$AL$1,0))+INDEX('[2]Z ZDS'!$C$31:$BB$31,1,MATCH(H$5,'[2]Z ZDS'!$C$1:$AX$1,0)))/1000,"")</f>
        <v>3473.5485915948293</v>
      </c>
      <c r="I7" s="544">
        <f ca="1">IF(T!$A$4&gt;=I$42,(INDEX('[1]Přepravní soustava'!$C$13:$AL$13,1,MATCH(I$5,'[1]Přepravní soustava'!$C$1:$AL$1,0))+INDEX('[2]Z ZDS'!$C$31:$BB$31,1,MATCH(I$5,'[2]Z ZDS'!$C$1:$AX$1,0)))/1000,"")</f>
        <v>3085.6129205509801</v>
      </c>
      <c r="J7" s="529">
        <f ca="1">IF(T!$A$4&gt;=J$42,(INDEX('[1]Přepravní soustava'!$C$13:$AL$13,1,MATCH(J$5,'[1]Přepravní soustava'!$C$1:$AL$1,0))+INDEX('[2]Z ZDS'!$C$31:$BB$31,1,MATCH(J$5,'[2]Z ZDS'!$C$1:$AX$1,0)))/1000,"")</f>
        <v>2758.9885849240659</v>
      </c>
      <c r="K7" s="529">
        <f ca="1">IF(T!$A$4&gt;=K$42,(INDEX('[1]Přepravní soustava'!$C$13:$AL$13,1,MATCH(K$5,'[1]Přepravní soustava'!$C$1:$AL$1,0))+INDEX('[2]Z ZDS'!$C$31:$BB$31,1,MATCH(K$5,'[2]Z ZDS'!$C$1:$AX$1,0)))/1000,"")</f>
        <v>2526.8667075603475</v>
      </c>
      <c r="L7" s="544">
        <f ca="1">IF(T!$A$4&gt;=L$42,(INDEX('[1]Přepravní soustava'!$C$13:$AL$13,1,MATCH(L$5,'[1]Přepravní soustava'!$C$1:$AL$1,0))+INDEX('[2]Z ZDS'!$C$31:$BB$31,1,MATCH(L$5,'[2]Z ZDS'!$C$1:$AX$1,0)))/1000,"")</f>
        <v>2822.6575416679966</v>
      </c>
      <c r="M7" s="529">
        <f ca="1">IF(T!$A$4&gt;=M$42,(INDEX('[1]Přepravní soustava'!$C$13:$AL$13,1,MATCH(M$5,'[1]Přepravní soustava'!$C$1:$AL$1,0))+INDEX('[2]Z ZDS'!$C$31:$BB$31,1,MATCH(M$5,'[2]Z ZDS'!$C$1:$AX$1,0)))/1000,"")</f>
        <v>2973.0942169758187</v>
      </c>
      <c r="N7" s="529" t="str">
        <f ca="1">IF(T!$A$4&gt;=N$42,(INDEX('[1]Přepravní soustava'!$C$13:$AL$13,1,MATCH(N$5,'[1]Přepravní soustava'!$C$1:$AL$1,0))+INDEX('[2]Z ZDS'!$C$31:$BB$31,1,MATCH(N$5,'[2]Z ZDS'!$C$1:$AX$1,0)))/1000,"")</f>
        <v/>
      </c>
      <c r="O7" s="529" t="str">
        <f ca="1">IF(T!$A$4&gt;=O$42,(INDEX('[1]Přepravní soustava'!$C$13:$AL$13,1,MATCH(O$5,'[1]Přepravní soustava'!$C$1:$AL$1,0))+INDEX('[2]Z ZDS'!$C$31:$BB$31,1,MATCH(O$5,'[2]Z ZDS'!$C$1:$AX$1,0)))/1000,"")</f>
        <v/>
      </c>
      <c r="P7" s="589">
        <f ca="1">SUM(D7:O7)</f>
        <v>30075.120405587884</v>
      </c>
    </row>
    <row r="8" spans="1:17" ht="18" customHeight="1" x14ac:dyDescent="0.2">
      <c r="A8" s="874"/>
      <c r="B8" s="98" t="s">
        <v>136</v>
      </c>
      <c r="C8" s="567" t="s">
        <v>231</v>
      </c>
      <c r="D8" s="529">
        <f ca="1">IF(T!$A$4&gt;=D$42,-(INDEX('[1]Přepravní soustava'!$C$22:$AL$22,1,MATCH(D$5,'[1]Přepravní soustava'!$C$1:$AL$1,0))+INDEX('[2]Do ZDS'!$C$32:$BB$32,1,MATCH(D$5,'[2]Do ZDS'!$C$1:$AX$1,0)))/1000,"")</f>
        <v>-2846.2107347634569</v>
      </c>
      <c r="E8" s="542">
        <f ca="1">IF(T!$A$4&gt;=E$42,-(INDEX('[1]Přepravní soustava'!$C$22:$AL$22,1,MATCH(E$5,'[1]Přepravní soustava'!$C$1:$AL$1,0))+INDEX('[2]Do ZDS'!$C$32:$BB$32,1,MATCH(E$5,'[2]Do ZDS'!$C$1:$AX$1,0)))/1000,"")</f>
        <v>-2213.9183811394978</v>
      </c>
      <c r="F8" s="569">
        <f ca="1">IF(T!$A$4&gt;=F$42,-(INDEX('[1]Přepravní soustava'!$C$22:$AL$22,1,MATCH(F$5,'[1]Přepravní soustava'!$C$1:$AL$1,0))+INDEX('[2]Do ZDS'!$C$32:$BB$32,1,MATCH(F$5,'[2]Do ZDS'!$C$1:$AX$1,0)))/1000,"")</f>
        <v>-2973.2821365479299</v>
      </c>
      <c r="G8" s="542">
        <f ca="1">IF(T!$A$4&gt;=G$42,-(INDEX('[1]Přepravní soustava'!$C$22:$AL$22,1,MATCH(G$5,'[1]Přepravní soustava'!$C$1:$AL$1,0))+INDEX('[2]Do ZDS'!$C$32:$BB$32,1,MATCH(G$5,'[2]Do ZDS'!$C$1:$AX$1,0)))/1000,"")</f>
        <v>-2717.2271621158748</v>
      </c>
      <c r="H8" s="529">
        <f ca="1">IF(T!$A$4&gt;=H$42,-(INDEX('[1]Přepravní soustava'!$C$22:$AL$22,1,MATCH(H$5,'[1]Přepravní soustava'!$C$1:$AL$1,0))+INDEX('[2]Do ZDS'!$C$32:$BB$32,1,MATCH(H$5,'[2]Do ZDS'!$C$1:$AX$1,0)))/1000,"")</f>
        <v>-2660.5040382198185</v>
      </c>
      <c r="I8" s="544">
        <f ca="1">IF(T!$A$4&gt;=I$42,-(INDEX('[1]Přepravní soustava'!$C$22:$AL$22,1,MATCH(I$5,'[1]Přepravní soustava'!$C$1:$AL$1,0))+INDEX('[2]Do ZDS'!$C$32:$BB$32,1,MATCH(I$5,'[2]Do ZDS'!$C$1:$AX$1,0)))/1000,"")</f>
        <v>-2207.6789693017681</v>
      </c>
      <c r="J8" s="529">
        <f ca="1">IF(T!$A$4&gt;=J$42,-(INDEX('[1]Přepravní soustava'!$C$22:$AL$22,1,MATCH(J$5,'[1]Přepravní soustava'!$C$1:$AL$1,0))+INDEX('[2]Do ZDS'!$C$32:$BB$32,1,MATCH(J$5,'[2]Do ZDS'!$C$1:$AX$1,0)))/1000,"")</f>
        <v>-1962.725291978041</v>
      </c>
      <c r="K8" s="529">
        <f ca="1">IF(T!$A$4&gt;=K$42,-(INDEX('[1]Přepravní soustava'!$C$22:$AL$22,1,MATCH(K$5,'[1]Přepravní soustava'!$C$1:$AL$1,0))+INDEX('[2]Do ZDS'!$C$32:$BB$32,1,MATCH(K$5,'[2]Do ZDS'!$C$1:$AX$1,0)))/1000,"")</f>
        <v>-1586.7007068893549</v>
      </c>
      <c r="L8" s="544">
        <f ca="1">IF(T!$A$4&gt;=L$42,-(INDEX('[1]Přepravní soustava'!$C$22:$AL$22,1,MATCH(L$5,'[1]Přepravní soustava'!$C$1:$AL$1,0))+INDEX('[2]Do ZDS'!$C$32:$BB$32,1,MATCH(L$5,'[2]Do ZDS'!$C$1:$AX$1,0)))/1000,"")</f>
        <v>-2117.9895279574953</v>
      </c>
      <c r="M8" s="529">
        <f ca="1">IF(T!$A$4&gt;=M$42,-(INDEX('[1]Přepravní soustava'!$C$22:$AL$22,1,MATCH(M$5,'[1]Přepravní soustava'!$C$1:$AL$1,0))+INDEX('[2]Do ZDS'!$C$32:$BB$32,1,MATCH(M$5,'[2]Do ZDS'!$C$1:$AX$1,0)))/1000,"")</f>
        <v>-2415.9297911246013</v>
      </c>
      <c r="N8" s="529" t="str">
        <f ca="1">IF(T!$A$4&gt;=N$42,-(INDEX('[1]Přepravní soustava'!$C$22:$AL$22,1,MATCH(N$5,'[1]Přepravní soustava'!$C$1:$AL$1,0))+INDEX('[2]Do ZDS'!$C$32:$BB$32,1,MATCH(N$5,'[2]Do ZDS'!$C$1:$AX$1,0)))/1000,"")</f>
        <v/>
      </c>
      <c r="O8" s="529" t="str">
        <f ca="1">IF(T!$A$4&gt;=O$42,-(INDEX('[1]Přepravní soustava'!$C$22:$AL$22,1,MATCH(O$5,'[1]Přepravní soustava'!$C$1:$AL$1,0))+INDEX('[2]Do ZDS'!$C$32:$BB$32,1,MATCH(O$5,'[2]Do ZDS'!$C$1:$AX$1,0)))/1000,"")</f>
        <v/>
      </c>
      <c r="P8" s="589">
        <f t="shared" ref="P8:P34" ca="1" si="0">SUM(D8:O8)</f>
        <v>-23702.166740037836</v>
      </c>
    </row>
    <row r="9" spans="1:17" ht="18" customHeight="1" x14ac:dyDescent="0.2">
      <c r="A9" s="874"/>
      <c r="B9" s="753" t="s">
        <v>137</v>
      </c>
      <c r="C9" s="754" t="s">
        <v>231</v>
      </c>
      <c r="D9" s="755">
        <f ca="1">IF(T!$A$4&gt;=D$42,D7+D8,"")</f>
        <v>438.636603516381</v>
      </c>
      <c r="E9" s="755">
        <f ca="1">IF(T!$A$4&gt;=E$42,E7+E8,"")</f>
        <v>267.99208555172618</v>
      </c>
      <c r="F9" s="756">
        <f ca="1">IF(T!$A$4&gt;=F$42,F7+F8,"")</f>
        <v>334.61263391546436</v>
      </c>
      <c r="G9" s="755">
        <f ca="1">IF(T!$A$4&gt;=G$42,G7+G8,"")</f>
        <v>642.47210476351529</v>
      </c>
      <c r="H9" s="757">
        <f ca="1">IF(T!$A$4&gt;=H$42,H7+H8,"")</f>
        <v>813.04455337501076</v>
      </c>
      <c r="I9" s="758">
        <f ca="1">IF(T!$A$4&gt;=I$42,I7+I8,"")</f>
        <v>877.93395124921199</v>
      </c>
      <c r="J9" s="757">
        <f ca="1">IF(T!$A$4&gt;=J$42,J7+J8,"")</f>
        <v>796.26329294602488</v>
      </c>
      <c r="K9" s="757">
        <f ca="1">IF(T!$A$4&gt;=K$42,K7+K8,"")</f>
        <v>940.16600067099262</v>
      </c>
      <c r="L9" s="758">
        <f ca="1">IF(T!$A$4&gt;=L$42,L7+L8,"")</f>
        <v>704.66801371050133</v>
      </c>
      <c r="M9" s="757">
        <f ca="1">IF(T!$A$4&gt;=M$42,M7+M8,"")</f>
        <v>557.1644258512174</v>
      </c>
      <c r="N9" s="757" t="str">
        <f ca="1">IF(T!$A$4&gt;=N$42,N7+N8,"")</f>
        <v/>
      </c>
      <c r="O9" s="757" t="str">
        <f ca="1">IF(T!$A$4&gt;=O$42,O7+O8,"")</f>
        <v/>
      </c>
      <c r="P9" s="759">
        <f t="shared" ca="1" si="0"/>
        <v>6372.9536655500451</v>
      </c>
    </row>
    <row r="10" spans="1:17" ht="18" customHeight="1" x14ac:dyDescent="0.2">
      <c r="A10" s="874"/>
      <c r="B10" s="98" t="s">
        <v>135</v>
      </c>
      <c r="C10" s="567" t="s">
        <v>284</v>
      </c>
      <c r="D10" s="542">
        <f ca="1">IF(T!$A$4&gt;=D$42,(INDEX('[1]Přepravní soustava'!$C$13:$AL$13,1,MATCH(D$5,'[1]Přepravní soustava'!$C$1:$AL$1,0)+1)+INDEX('[2]Z ZDS'!$C$31:$BB$31,1,MATCH(D$5,'[2]Z ZDS'!$C$1:$AX$1,0)+1))/1000,"")</f>
        <v>34911.49827801199</v>
      </c>
      <c r="E10" s="542">
        <f ca="1">IF(T!$A$4&gt;=E$42,(INDEX('[1]Přepravní soustava'!$C$13:$AL$13,1,MATCH(E$5,'[1]Přepravní soustava'!$C$1:$AL$1,0)+1)+INDEX('[2]Z ZDS'!$C$31:$BB$31,1,MATCH(E$5,'[2]Z ZDS'!$C$1:$AX$1,0)+1))/1000,"")</f>
        <v>26391.708507347004</v>
      </c>
      <c r="F10" s="569">
        <f ca="1">IF(T!$A$4&gt;=F$42,(INDEX('[1]Přepravní soustava'!$C$13:$AL$13,1,MATCH(F$5,'[1]Přepravní soustava'!$C$1:$AL$1,0)+1)+INDEX('[2]Z ZDS'!$C$31:$BB$31,1,MATCH(F$5,'[2]Z ZDS'!$C$1:$AX$1,0)+1))/1000,"")</f>
        <v>35184.059510377992</v>
      </c>
      <c r="G10" s="542">
        <f ca="1">IF(T!$A$4&gt;=G$42,(INDEX('[1]Přepravní soustava'!$C$13:$AL$13,1,MATCH(G$5,'[1]Přepravní soustava'!$C$1:$AL$1,0)+1)+INDEX('[2]Z ZDS'!$C$31:$BB$31,1,MATCH(G$5,'[2]Z ZDS'!$C$1:$AX$1,0)+1))/1000,"")</f>
        <v>35762.949495565001</v>
      </c>
      <c r="H10" s="529">
        <f ca="1">IF(T!$A$4&gt;=H$42,(INDEX('[1]Přepravní soustava'!$C$13:$AL$13,1,MATCH(H$5,'[1]Přepravní soustava'!$C$1:$AL$1,0)+1)+INDEX('[2]Z ZDS'!$C$31:$BB$31,1,MATCH(H$5,'[2]Z ZDS'!$C$1:$AX$1,0)+1))/1000,"")</f>
        <v>37111.255682891991</v>
      </c>
      <c r="I10" s="544">
        <f ca="1">IF(T!$A$4&gt;=I$42,(INDEX('[1]Přepravní soustava'!$C$13:$AL$13,1,MATCH(I$5,'[1]Přepravní soustava'!$C$1:$AL$1,0)+1)+INDEX('[2]Z ZDS'!$C$31:$BB$31,1,MATCH(I$5,'[2]Z ZDS'!$C$1:$AX$1,0)+1))/1000,"")</f>
        <v>33002.955940426</v>
      </c>
      <c r="J10" s="529">
        <f ca="1">IF(T!$A$4&gt;=J$42,(INDEX('[1]Přepravní soustava'!$C$13:$AL$13,1,MATCH(J$5,'[1]Přepravní soustava'!$C$1:$AL$1,0)+1)+INDEX('[2]Z ZDS'!$C$31:$BB$31,1,MATCH(J$5,'[2]Z ZDS'!$C$1:$AX$1,0)+1))/1000,"")</f>
        <v>29461.640454332999</v>
      </c>
      <c r="K10" s="529">
        <f ca="1">IF(T!$A$4&gt;=K$42,(INDEX('[1]Přepravní soustava'!$C$13:$AL$13,1,MATCH(K$5,'[1]Přepravní soustava'!$C$1:$AL$1,0)+1)+INDEX('[2]Z ZDS'!$C$31:$BB$31,1,MATCH(K$5,'[2]Z ZDS'!$C$1:$AX$1,0)+1))/1000,"")</f>
        <v>27012.324774560999</v>
      </c>
      <c r="L10" s="544">
        <f ca="1">IF(T!$A$4&gt;=L$42,(INDEX('[1]Přepravní soustava'!$C$13:$AL$13,1,MATCH(L$5,'[1]Přepravní soustava'!$C$1:$AL$1,0)+1)+INDEX('[2]Z ZDS'!$C$31:$BB$31,1,MATCH(L$5,'[2]Z ZDS'!$C$1:$AX$1,0)+1))/1000,"")</f>
        <v>30150.124858183</v>
      </c>
      <c r="M10" s="529">
        <f ca="1">IF(T!$A$4&gt;=M$42,(INDEX('[1]Přepravní soustava'!$C$13:$AL$13,1,MATCH(M$5,'[1]Přepravní soustava'!$C$1:$AL$1,0)+1)+INDEX('[2]Z ZDS'!$C$31:$BB$31,1,MATCH(M$5,'[2]Z ZDS'!$C$1:$AX$1,0)+1))/1000,"")</f>
        <v>31717.108683520997</v>
      </c>
      <c r="N10" s="529" t="str">
        <f ca="1">IF(T!$A$4&gt;=N$42,(INDEX('[1]Přepravní soustava'!$C$13:$AL$13,1,MATCH(N$5,'[1]Přepravní soustava'!$C$1:$AL$1,0)+1)+INDEX('[2]Z ZDS'!$C$31:$BB$31,1,MATCH(N$5,'[2]Z ZDS'!$C$1:$AX$1,0)+1))/1000,"")</f>
        <v/>
      </c>
      <c r="O10" s="529" t="str">
        <f ca="1">IF(T!$A$4&gt;=O$42,(INDEX('[1]Přepravní soustava'!$C$13:$AL$13,1,MATCH(O$5,'[1]Přepravní soustava'!$C$1:$AL$1,0)+1)+INDEX('[2]Z ZDS'!$C$31:$BB$31,1,MATCH(O$5,'[2]Z ZDS'!$C$1:$AX$1,0)+1))/1000,"")</f>
        <v/>
      </c>
      <c r="P10" s="589">
        <f t="shared" ca="1" si="0"/>
        <v>320705.62618521793</v>
      </c>
    </row>
    <row r="11" spans="1:17" ht="18" customHeight="1" x14ac:dyDescent="0.2">
      <c r="A11" s="874"/>
      <c r="B11" s="98" t="s">
        <v>136</v>
      </c>
      <c r="C11" s="567" t="s">
        <v>284</v>
      </c>
      <c r="D11" s="542">
        <f ca="1">IF(T!$A$4&gt;=D$42,-(INDEX('[1]Přepravní soustava'!$C$22:$AL$22,1,MATCH(D$5,'[1]Přepravní soustava'!$C$1:$AL$1,0)+1)+INDEX('[2]Do ZDS'!$C$32:$BB$32,1,MATCH(D$5,'[2]Do ZDS'!$C$1:$AX$1,0)+1))/1000,"")</f>
        <v>-30277.984505658602</v>
      </c>
      <c r="E11" s="542">
        <f ca="1">IF(T!$A$4&gt;=E$42,-(INDEX('[1]Přepravní soustava'!$C$22:$AL$22,1,MATCH(E$5,'[1]Přepravní soustava'!$C$1:$AL$1,0)+1)+INDEX('[2]Do ZDS'!$C$32:$BB$32,1,MATCH(E$5,'[2]Do ZDS'!$C$1:$AX$1,0)+1))/1000,"")</f>
        <v>-23561.472929644297</v>
      </c>
      <c r="F11" s="569">
        <f ca="1">IF(T!$A$4&gt;=F$42,-(INDEX('[1]Přepravní soustava'!$C$22:$AL$22,1,MATCH(F$5,'[1]Přepravní soustava'!$C$1:$AL$1,0)+1)+INDEX('[2]Do ZDS'!$C$32:$BB$32,1,MATCH(F$5,'[2]Do ZDS'!$C$1:$AX$1,0)+1))/1000,"")</f>
        <v>-31637.376971170001</v>
      </c>
      <c r="G11" s="542">
        <f ca="1">IF(T!$A$4&gt;=G$42,-(INDEX('[1]Přepravní soustava'!$C$22:$AL$22,1,MATCH(G$5,'[1]Přepravní soustava'!$C$1:$AL$1,0)+1)+INDEX('[2]Do ZDS'!$C$32:$BB$32,1,MATCH(G$5,'[2]Do ZDS'!$C$1:$AX$1,0)+1))/1000,"")</f>
        <v>-28932.560779750002</v>
      </c>
      <c r="H11" s="529">
        <f ca="1">IF(T!$A$4&gt;=H$42,-(INDEX('[1]Přepravní soustava'!$C$22:$AL$22,1,MATCH(H$5,'[1]Přepravní soustava'!$C$1:$AL$1,0)+1)+INDEX('[2]Do ZDS'!$C$32:$BB$32,1,MATCH(H$5,'[2]Do ZDS'!$C$1:$AX$1,0)+1))/1000,"")</f>
        <v>-28414.832526760001</v>
      </c>
      <c r="I11" s="544">
        <f ca="1">IF(T!$A$4&gt;=I$42,-(INDEX('[1]Přepravní soustava'!$C$22:$AL$22,1,MATCH(I$5,'[1]Přepravní soustava'!$C$1:$AL$1,0)+1)+INDEX('[2]Do ZDS'!$C$32:$BB$32,1,MATCH(I$5,'[2]Do ZDS'!$C$1:$AX$1,0)+1))/1000,"")</f>
        <v>-23609.495381262001</v>
      </c>
      <c r="J11" s="529">
        <f ca="1">IF(T!$A$4&gt;=J$42,-(INDEX('[1]Přepravní soustava'!$C$22:$AL$22,1,MATCH(J$5,'[1]Přepravní soustava'!$C$1:$AL$1,0)+1)+INDEX('[2]Do ZDS'!$C$32:$BB$32,1,MATCH(J$5,'[2]Do ZDS'!$C$1:$AX$1,0)+1))/1000,"")</f>
        <v>-20952.435529431106</v>
      </c>
      <c r="K11" s="529">
        <f ca="1">IF(T!$A$4&gt;=K$42,-(INDEX('[1]Přepravní soustava'!$C$22:$AL$22,1,MATCH(K$5,'[1]Přepravní soustava'!$C$1:$AL$1,0)+1)+INDEX('[2]Do ZDS'!$C$32:$BB$32,1,MATCH(K$5,'[2]Do ZDS'!$C$1:$AX$1,0)+1))/1000,"")</f>
        <v>-16960.0314063552</v>
      </c>
      <c r="L11" s="544">
        <f ca="1">IF(T!$A$4&gt;=L$42,-(INDEX('[1]Přepravní soustava'!$C$22:$AL$22,1,MATCH(L$5,'[1]Přepravní soustava'!$C$1:$AL$1,0)+1)+INDEX('[2]Do ZDS'!$C$32:$BB$32,1,MATCH(L$5,'[2]Do ZDS'!$C$1:$AX$1,0)+1))/1000,"")</f>
        <v>-22618.074816473403</v>
      </c>
      <c r="M11" s="529">
        <f ca="1">IF(T!$A$4&gt;=M$42,-(INDEX('[1]Přepravní soustava'!$C$22:$AL$22,1,MATCH(M$5,'[1]Přepravní soustava'!$C$1:$AL$1,0)+1)+INDEX('[2]Do ZDS'!$C$32:$BB$32,1,MATCH(M$5,'[2]Do ZDS'!$C$1:$AX$1,0)+1))/1000,"")</f>
        <v>-25777.563879594501</v>
      </c>
      <c r="N11" s="529" t="str">
        <f ca="1">IF(T!$A$4&gt;=N$42,-(INDEX('[1]Přepravní soustava'!$C$22:$AL$22,1,MATCH(N$5,'[1]Přepravní soustava'!$C$1:$AL$1,0)+1)+INDEX('[2]Do ZDS'!$C$32:$BB$32,1,MATCH(N$5,'[2]Do ZDS'!$C$1:$AX$1,0)+1))/1000,"")</f>
        <v/>
      </c>
      <c r="O11" s="529" t="str">
        <f ca="1">IF(T!$A$4&gt;=O$42,-(INDEX('[1]Přepravní soustava'!$C$22:$AL$22,1,MATCH(O$5,'[1]Přepravní soustava'!$C$1:$AL$1,0)+1)+INDEX('[2]Do ZDS'!$C$32:$BB$32,1,MATCH(O$5,'[2]Do ZDS'!$C$1:$AX$1,0)+1))/1000,"")</f>
        <v/>
      </c>
      <c r="P11" s="589">
        <f t="shared" ca="1" si="0"/>
        <v>-252741.82872609913</v>
      </c>
    </row>
    <row r="12" spans="1:17" ht="18" customHeight="1" x14ac:dyDescent="0.2">
      <c r="A12" s="874"/>
      <c r="B12" s="610" t="s">
        <v>137</v>
      </c>
      <c r="C12" s="567" t="s">
        <v>284</v>
      </c>
      <c r="D12" s="542">
        <f ca="1">IF(T!$A$4&gt;=D$42,D10+D11,"")</f>
        <v>4633.513772353388</v>
      </c>
      <c r="E12" s="542">
        <f ca="1">IF(T!$A$4&gt;=E$42,E10+E11,"")</f>
        <v>2830.2355777027078</v>
      </c>
      <c r="F12" s="569">
        <f ca="1">IF(T!$A$4&gt;=F$42,F10+F11,"")</f>
        <v>3546.6825392079918</v>
      </c>
      <c r="G12" s="542">
        <f ca="1">IF(T!$A$4&gt;=G$42,G10+G11,"")</f>
        <v>6830.3887158149992</v>
      </c>
      <c r="H12" s="529">
        <f ca="1">IF(T!$A$4&gt;=H$42,H10+H11,"")</f>
        <v>8696.4231561319903</v>
      </c>
      <c r="I12" s="544">
        <f ca="1">IF(T!$A$4&gt;=I$42,I10+I11,"")</f>
        <v>9393.4605591639993</v>
      </c>
      <c r="J12" s="529">
        <f ca="1">IF(T!$A$4&gt;=J$42,J10+J11,"")</f>
        <v>8509.2049249018928</v>
      </c>
      <c r="K12" s="529">
        <f ca="1">IF(T!$A$4&gt;=K$42,K10+K11,"")</f>
        <v>10052.293368205799</v>
      </c>
      <c r="L12" s="544">
        <f ca="1">IF(T!$A$4&gt;=L$42,L10+L11,"")</f>
        <v>7532.0500417095973</v>
      </c>
      <c r="M12" s="529">
        <f ca="1">IF(T!$A$4&gt;=M$42,M10+M11,"")</f>
        <v>5939.5448039264957</v>
      </c>
      <c r="N12" s="529" t="str">
        <f ca="1">IF(T!$A$4&gt;=N$42,N10+N11,"")</f>
        <v/>
      </c>
      <c r="O12" s="529" t="str">
        <f ca="1">IF(T!$A$4&gt;=O$42,O10+O11,"")</f>
        <v/>
      </c>
      <c r="P12" s="589">
        <f t="shared" ca="1" si="0"/>
        <v>67963.797459118854</v>
      </c>
    </row>
    <row r="13" spans="1:17" ht="9" customHeight="1" x14ac:dyDescent="0.2">
      <c r="A13" s="875"/>
      <c r="B13" s="513"/>
      <c r="C13" s="501"/>
      <c r="D13" s="546"/>
      <c r="E13" s="546"/>
      <c r="F13" s="577"/>
      <c r="G13" s="546"/>
      <c r="H13" s="548"/>
      <c r="I13" s="549"/>
      <c r="J13" s="548"/>
      <c r="K13" s="548"/>
      <c r="L13" s="549"/>
      <c r="M13" s="548"/>
      <c r="N13" s="548"/>
      <c r="O13" s="548"/>
      <c r="P13" s="590"/>
    </row>
    <row r="14" spans="1:17" ht="9" customHeight="1" x14ac:dyDescent="0.2">
      <c r="A14" s="878" t="s">
        <v>166</v>
      </c>
      <c r="B14" s="518"/>
      <c r="C14" s="519"/>
      <c r="D14" s="498"/>
      <c r="E14" s="498"/>
      <c r="F14" s="520"/>
      <c r="G14" s="498"/>
      <c r="H14" s="498"/>
      <c r="I14" s="520"/>
      <c r="J14" s="498"/>
      <c r="K14" s="498"/>
      <c r="L14" s="520"/>
      <c r="M14" s="498"/>
      <c r="N14" s="498"/>
      <c r="O14" s="498"/>
      <c r="P14" s="589"/>
    </row>
    <row r="15" spans="1:17" ht="18" customHeight="1" x14ac:dyDescent="0.2">
      <c r="A15" s="874"/>
      <c r="B15" s="98" t="s">
        <v>142</v>
      </c>
      <c r="C15" s="567" t="s">
        <v>231</v>
      </c>
      <c r="D15" s="529">
        <f ca="1">IF(T!$A$4&gt;=D$42,INDEX('[1]Přepravní soustava'!$C$41:$AL$41,1,MATCH(D$5,'[1]Přepravní soustava'!$C$1:$AL$1,0))/1000,"")</f>
        <v>663.07631100000003</v>
      </c>
      <c r="E15" s="542">
        <f ca="1">IF(T!$A$4&gt;=E$42,INDEX('[1]Přepravní soustava'!$C$41:$AL$41,1,MATCH(E$5,'[1]Přepravní soustava'!$C$1:$AL$1,0))/1000,"")</f>
        <v>730.844382</v>
      </c>
      <c r="F15" s="569">
        <f ca="1">IF(T!$A$4&gt;=F$42,INDEX('[1]Přepravní soustava'!$C$41:$AL$41,1,MATCH(F$5,'[1]Přepravní soustava'!$C$1:$AL$1,0))/1000,"")</f>
        <v>531.26270799999998</v>
      </c>
      <c r="G15" s="542">
        <f ca="1">IF(T!$A$4&gt;=G$42,INDEX('[1]Přepravní soustava'!$C$41:$AL$41,1,MATCH(G$5,'[1]Přepravní soustava'!$C$1:$AL$1,0))/1000,"")</f>
        <v>40.534314999999999</v>
      </c>
      <c r="H15" s="529">
        <f ca="1">IF(T!$A$4&gt;=H$42,INDEX('[1]Přepravní soustava'!$C$41:$AL$41,1,MATCH(H$5,'[1]Přepravní soustava'!$C$1:$AL$1,0))/1000,"")</f>
        <v>0.36129300000000003</v>
      </c>
      <c r="I15" s="544">
        <f ca="1">IF(T!$A$4&gt;=I$42,INDEX('[1]Přepravní soustava'!$C$41:$AL$41,1,MATCH(I$5,'[1]Přepravní soustava'!$C$1:$AL$1,0))/1000,"")</f>
        <v>0.13611899999999999</v>
      </c>
      <c r="J15" s="529">
        <f ca="1">IF(T!$A$4&gt;=J$42,INDEX('[1]Přepravní soustava'!$C$41:$AL$41,1,MATCH(J$5,'[1]Přepravní soustava'!$C$1:$AL$1,0))/1000,"")</f>
        <v>0.27523999999999998</v>
      </c>
      <c r="K15" s="529">
        <f ca="1">IF(T!$A$4&gt;=K$42,INDEX('[1]Přepravní soustava'!$C$41:$AL$41,1,MATCH(K$5,'[1]Přepravní soustava'!$C$1:$AL$1,0))/1000,"")</f>
        <v>0</v>
      </c>
      <c r="L15" s="544">
        <f ca="1">IF(T!$A$4&gt;=L$42,INDEX('[1]Přepravní soustava'!$C$41:$AL$41,1,MATCH(L$5,'[1]Přepravní soustava'!$C$1:$AL$1,0))/1000,"")</f>
        <v>0.26440799999999998</v>
      </c>
      <c r="M15" s="529">
        <f ca="1">IF(T!$A$4&gt;=M$42,INDEX('[1]Přepravní soustava'!$C$41:$AL$41,1,MATCH(M$5,'[1]Přepravní soustava'!$C$1:$AL$1,0))/1000,"")</f>
        <v>171.67832999999999</v>
      </c>
      <c r="N15" s="529" t="str">
        <f ca="1">IF(T!$A$4&gt;=N$42,INDEX('[1]Přepravní soustava'!$C$41:$AL$41,1,MATCH(N$5,'[1]Přepravní soustava'!$C$1:$AL$1,0))/1000,"")</f>
        <v/>
      </c>
      <c r="O15" s="529" t="str">
        <f ca="1">IF(T!$A$4&gt;=O$42,INDEX('[1]Přepravní soustava'!$C$41:$AL$41,1,MATCH(O$5,'[1]Přepravní soustava'!$C$1:$AL$1,0))/1000,"")</f>
        <v/>
      </c>
      <c r="P15" s="589">
        <f t="shared" ca="1" si="0"/>
        <v>2138.433106</v>
      </c>
    </row>
    <row r="16" spans="1:17" ht="18" customHeight="1" x14ac:dyDescent="0.2">
      <c r="A16" s="874"/>
      <c r="B16" s="98" t="s">
        <v>143</v>
      </c>
      <c r="C16" s="567" t="s">
        <v>231</v>
      </c>
      <c r="D16" s="542">
        <f ca="1">IF(T!$A$4&gt;=D$42,-INDEX('[1]Přepravní soustava'!$C$45:$AL$45,1,MATCH(D$5,'[1]Přepravní soustava'!$C$1:$AL$1,0))/1000,"")</f>
        <v>-16.494135</v>
      </c>
      <c r="E16" s="542">
        <f ca="1">IF(T!$A$4&gt;=E$42,-INDEX('[1]Přepravní soustava'!$C$45:$AL$45,1,MATCH(E$5,'[1]Přepravní soustava'!$C$1:$AL$1,0))/1000,"")</f>
        <v>-9.5552060000000001</v>
      </c>
      <c r="F16" s="569">
        <f ca="1">IF(T!$A$4&gt;=F$42,-INDEX('[1]Přepravní soustava'!$C$45:$AL$45,1,MATCH(F$5,'[1]Přepravní soustava'!$C$1:$AL$1,0))/1000,"")</f>
        <v>-9.0375149999999991</v>
      </c>
      <c r="G16" s="542">
        <f ca="1">IF(T!$A$4&gt;=G$42,-INDEX('[1]Přepravní soustava'!$C$45:$AL$45,1,MATCH(G$5,'[1]Přepravní soustava'!$C$1:$AL$1,0))/1000,"")</f>
        <v>-52.046067999999998</v>
      </c>
      <c r="H16" s="529">
        <f ca="1">IF(T!$A$4&gt;=H$42,-INDEX('[1]Přepravní soustava'!$C$45:$AL$45,1,MATCH(H$5,'[1]Přepravní soustava'!$C$1:$AL$1,0))/1000,"")</f>
        <v>-406.77318200000002</v>
      </c>
      <c r="I16" s="544">
        <f ca="1">IF(T!$A$4&gt;=I$42,-INDEX('[1]Přepravní soustava'!$C$45:$AL$45,1,MATCH(I$5,'[1]Přepravní soustava'!$C$1:$AL$1,0))/1000,"")</f>
        <v>-560.69673699999998</v>
      </c>
      <c r="J16" s="529">
        <f ca="1">IF(T!$A$4&gt;=J$42,-INDEX('[1]Přepravní soustava'!$C$45:$AL$45,1,MATCH(J$5,'[1]Přepravní soustava'!$C$1:$AL$1,0))/1000,"")</f>
        <v>-503.12326200000001</v>
      </c>
      <c r="K16" s="529">
        <f ca="1">IF(T!$A$4&gt;=K$42,-INDEX('[1]Přepravní soustava'!$C$45:$AL$45,1,MATCH(K$5,'[1]Přepravní soustava'!$C$1:$AL$1,0))/1000,"")</f>
        <v>-663.18025499999999</v>
      </c>
      <c r="L16" s="544">
        <f ca="1">IF(T!$A$4&gt;=L$42,-INDEX('[1]Přepravní soustava'!$C$45:$AL$45,1,MATCH(L$5,'[1]Přepravní soustava'!$C$1:$AL$1,0))/1000,"")</f>
        <v>-350.663657</v>
      </c>
      <c r="M16" s="529">
        <f ca="1">IF(T!$A$4&gt;=M$42,-INDEX('[1]Přepravní soustava'!$C$45:$AL$45,1,MATCH(M$5,'[1]Přepravní soustava'!$C$1:$AL$1,0))/1000,"")</f>
        <v>-31.605976999999999</v>
      </c>
      <c r="N16" s="529" t="str">
        <f ca="1">IF(T!$A$4&gt;=N$42,-INDEX('[1]Přepravní soustava'!$C$45:$AL$45,1,MATCH(N$5,'[1]Přepravní soustava'!$C$1:$AL$1,0))/1000,"")</f>
        <v/>
      </c>
      <c r="O16" s="529" t="str">
        <f ca="1">IF(T!$A$4&gt;=O$42,-INDEX('[1]Přepravní soustava'!$C$45:$AL$45,1,MATCH(O$5,'[1]Přepravní soustava'!$C$1:$AL$1,0))/1000,"")</f>
        <v/>
      </c>
      <c r="P16" s="589">
        <f t="shared" ca="1" si="0"/>
        <v>-2603.1759940000002</v>
      </c>
    </row>
    <row r="17" spans="1:19" ht="18" customHeight="1" x14ac:dyDescent="0.2">
      <c r="A17" s="874"/>
      <c r="B17" s="610" t="s">
        <v>144</v>
      </c>
      <c r="C17" s="567" t="s">
        <v>231</v>
      </c>
      <c r="D17" s="542">
        <f ca="1">IF(T!$A$4&gt;=D$42,D15+D16,"")</f>
        <v>646.582176</v>
      </c>
      <c r="E17" s="542">
        <f ca="1">IF(T!$A$4&gt;=E$42,E15+E16,"")</f>
        <v>721.289176</v>
      </c>
      <c r="F17" s="569">
        <f ca="1">IF(T!$A$4&gt;=F$42,F15+F16,"")</f>
        <v>522.22519299999999</v>
      </c>
      <c r="G17" s="542">
        <f ca="1">IF(T!$A$4&gt;=G$42,G15+G16,"")</f>
        <v>-11.511752999999999</v>
      </c>
      <c r="H17" s="529">
        <f ca="1">IF(T!$A$4&gt;=H$42,H15+H16,"")</f>
        <v>-406.41188900000003</v>
      </c>
      <c r="I17" s="544">
        <f ca="1">IF(T!$A$4&gt;=I$42,I15+I16,"")</f>
        <v>-560.56061799999998</v>
      </c>
      <c r="J17" s="529">
        <f ca="1">IF(T!$A$4&gt;=J$42,J15+J16,"")</f>
        <v>-502.84802200000001</v>
      </c>
      <c r="K17" s="529">
        <f ca="1">IF(T!$A$4&gt;=K$42,K15+K16,"")</f>
        <v>-663.18025499999999</v>
      </c>
      <c r="L17" s="544">
        <f ca="1">IF(T!$A$4&gt;=L$42,L15+L16,"")</f>
        <v>-350.399249</v>
      </c>
      <c r="M17" s="529">
        <f ca="1">IF(T!$A$4&gt;=M$42,M15+M16,"")</f>
        <v>140.07235299999999</v>
      </c>
      <c r="N17" s="529" t="str">
        <f ca="1">IF(T!$A$4&gt;=N$42,N15+N16,"")</f>
        <v/>
      </c>
      <c r="O17" s="529" t="str">
        <f ca="1">IF(T!$A$4&gt;=O$42,O15+O16,"")</f>
        <v/>
      </c>
      <c r="P17" s="589">
        <f ca="1">SUM(D17:O17)</f>
        <v>-464.74288799999977</v>
      </c>
      <c r="R17" s="66"/>
      <c r="S17" s="66"/>
    </row>
    <row r="18" spans="1:19" ht="18" customHeight="1" x14ac:dyDescent="0.2">
      <c r="A18" s="874"/>
      <c r="B18" s="753" t="s">
        <v>279</v>
      </c>
      <c r="C18" s="754" t="s">
        <v>231</v>
      </c>
      <c r="D18" s="755">
        <f ca="1">IF(T!$A$4&gt;=D$42,'[10]Stav zásob ČR'!C3,"")</f>
        <v>1506.0067398421697</v>
      </c>
      <c r="E18" s="755">
        <f ca="1">IF(T!$A$4&gt;=E$42,'[10]Stav zásob ČR'!D3,"")</f>
        <v>784.71756384216962</v>
      </c>
      <c r="F18" s="756">
        <f ca="1">IF(T!$A$4&gt;=F$42,'[10]Stav zásob ČR'!E3,"")</f>
        <v>262.49237084216952</v>
      </c>
      <c r="G18" s="755">
        <f ca="1">IF(T!$A$4&gt;=G$42,'[10]Stav zásob ČR'!F3,"")</f>
        <v>274.00412384216952</v>
      </c>
      <c r="H18" s="757">
        <f ca="1">IF(T!$A$4&gt;=H$42,'[10]Stav zásob ČR'!G3,"")</f>
        <v>680.41601284216961</v>
      </c>
      <c r="I18" s="758">
        <f ca="1">IF(T!$A$4&gt;=I$42,'[10]Stav zásob ČR'!H3,"")</f>
        <v>1240.9766308421695</v>
      </c>
      <c r="J18" s="757">
        <f ca="1">IF(T!$A$4&gt;=J$42,'[10]Stav zásob ČR'!I3,"")</f>
        <v>1743.8246528421696</v>
      </c>
      <c r="K18" s="757">
        <f ca="1">IF(T!$A$4&gt;=K$42,'[10]Stav zásob ČR'!J3,"")</f>
        <v>2407.0049078421694</v>
      </c>
      <c r="L18" s="758">
        <f ca="1">IF(T!$A$4&gt;=L$42,'[10]Stav zásob ČR'!K3,"")</f>
        <v>2757.4041568421703</v>
      </c>
      <c r="M18" s="757">
        <f ca="1">IF(T!$A$4&gt;=M$42,'[10]Stav zásob ČR'!L3,"")</f>
        <v>2617.3318038421703</v>
      </c>
      <c r="N18" s="757" t="str">
        <f ca="1">IF(T!$A$4&gt;=N$42,'[10]Stav zásob ČR'!M3,"")</f>
        <v/>
      </c>
      <c r="O18" s="757" t="str">
        <f ca="1">IF(T!$A$4&gt;=O$42,'[10]Stav zásob ČR'!N3,"")</f>
        <v/>
      </c>
      <c r="P18" s="759">
        <f ca="1">INDEX(D18:O18,,T!$A$4)</f>
        <v>2617.3318038421703</v>
      </c>
    </row>
    <row r="19" spans="1:19" ht="18" customHeight="1" x14ac:dyDescent="0.2">
      <c r="A19" s="874"/>
      <c r="B19" s="98" t="s">
        <v>142</v>
      </c>
      <c r="C19" s="567" t="s">
        <v>284</v>
      </c>
      <c r="D19" s="542">
        <f ca="1">IF(T!$A$4&gt;=D$42,INDEX('[1]Přepravní soustava'!$C$41:$AL$41,1,MATCH(D$5,'[1]Přepravní soustava'!$C$1:$AL$1,0)+1)/1000,"")</f>
        <v>7059.919245</v>
      </c>
      <c r="E19" s="542">
        <f ca="1">IF(T!$A$4&gt;=E$42,INDEX('[1]Přepravní soustava'!$C$41:$AL$41,1,MATCH(E$5,'[1]Přepravní soustava'!$C$1:$AL$1,0)+1)/1000,"")</f>
        <v>7781.4639450000004</v>
      </c>
      <c r="F19" s="569">
        <f ca="1">IF(T!$A$4&gt;=F$42,INDEX('[1]Přepravní soustava'!$C$41:$AL$41,1,MATCH(F$5,'[1]Přepravní soustava'!$C$1:$AL$1,0)+1)/1000,"")</f>
        <v>5653.0803719999994</v>
      </c>
      <c r="G19" s="542">
        <f ca="1">IF(T!$A$4&gt;=G$42,INDEX('[1]Přepravní soustava'!$C$41:$AL$41,1,MATCH(G$5,'[1]Přepravní soustava'!$C$1:$AL$1,0)+1)/1000,"")</f>
        <v>432.63230599999997</v>
      </c>
      <c r="H19" s="529">
        <f ca="1">IF(T!$A$4&gt;=H$42,INDEX('[1]Přepravní soustava'!$C$41:$AL$41,1,MATCH(H$5,'[1]Přepravní soustava'!$C$1:$AL$1,0)+1)/1000,"")</f>
        <v>3.8729299999999998</v>
      </c>
      <c r="I19" s="544">
        <f ca="1">IF(T!$A$4&gt;=I$42,INDEX('[1]Přepravní soustava'!$C$41:$AL$41,1,MATCH(I$5,'[1]Přepravní soustava'!$C$1:$AL$1,0)+1)/1000,"")</f>
        <v>1.4613450000000001</v>
      </c>
      <c r="J19" s="529">
        <f ca="1">IF(T!$A$4&gt;=J$42,INDEX('[1]Přepravní soustava'!$C$41:$AL$41,1,MATCH(J$5,'[1]Přepravní soustava'!$C$1:$AL$1,0)+1)/1000,"")</f>
        <v>2.9395630000000001</v>
      </c>
      <c r="K19" s="529">
        <f ca="1">IF(T!$A$4&gt;=K$42,INDEX('[1]Přepravní soustava'!$C$41:$AL$41,1,MATCH(K$5,'[1]Přepravní soustava'!$C$1:$AL$1,0)+1)/1000,"")</f>
        <v>0</v>
      </c>
      <c r="L19" s="544">
        <f ca="1">IF(T!$A$4&gt;=L$42,INDEX('[1]Přepravní soustava'!$C$41:$AL$41,1,MATCH(L$5,'[1]Přepravní soustava'!$C$1:$AL$1,0)+1)/1000,"")</f>
        <v>2.8285170000000002</v>
      </c>
      <c r="M19" s="529">
        <f ca="1">IF(T!$A$4&gt;=M$42,INDEX('[1]Přepravní soustava'!$C$41:$AL$41,1,MATCH(M$5,'[1]Přepravní soustava'!$C$1:$AL$1,0)+1)/1000,"")</f>
        <v>1834.3315910000001</v>
      </c>
      <c r="N19" s="529" t="str">
        <f ca="1">IF(T!$A$4&gt;=N$42,INDEX('[1]Přepravní soustava'!$C$41:$AL$41,1,MATCH(N$5,'[1]Přepravní soustava'!$C$1:$AL$1,0)+1)/1000,"")</f>
        <v/>
      </c>
      <c r="O19" s="529" t="str">
        <f ca="1">IF(T!$A$4&gt;=O$42,INDEX('[1]Přepravní soustava'!$C$41:$AL$41,1,MATCH(O$5,'[1]Přepravní soustava'!$C$1:$AL$1,0)+1)/1000,"")</f>
        <v/>
      </c>
      <c r="P19" s="589">
        <f t="shared" ca="1" si="0"/>
        <v>22772.529814000001</v>
      </c>
    </row>
    <row r="20" spans="1:19" ht="18" customHeight="1" x14ac:dyDescent="0.2">
      <c r="A20" s="874"/>
      <c r="B20" s="98" t="s">
        <v>143</v>
      </c>
      <c r="C20" s="567" t="s">
        <v>284</v>
      </c>
      <c r="D20" s="542">
        <f ca="1">IF(T!$A$4&gt;=D$42,-INDEX('[1]Přepravní soustava'!$C$45:$AL$45,1,MATCH(D$5,'[1]Přepravní soustava'!$C$1:$AL$1,0)+1)/1000,"")</f>
        <v>-175.246745</v>
      </c>
      <c r="E20" s="542">
        <f ca="1">IF(T!$A$4&gt;=E$42,-INDEX('[1]Přepravní soustava'!$C$45:$AL$45,1,MATCH(E$5,'[1]Přepravní soustava'!$C$1:$AL$1,0)+1)/1000,"")</f>
        <v>-101.32244299999999</v>
      </c>
      <c r="F20" s="569">
        <f ca="1">IF(T!$A$4&gt;=F$42,-INDEX('[1]Přepravní soustava'!$C$45:$AL$45,1,MATCH(F$5,'[1]Přepravní soustava'!$C$1:$AL$1,0)+1)/1000,"")</f>
        <v>-95.956741000000008</v>
      </c>
      <c r="G20" s="542">
        <f ca="1">IF(T!$A$4&gt;=G$42,-INDEX('[1]Přepravní soustava'!$C$45:$AL$45,1,MATCH(G$5,'[1]Přepravní soustava'!$C$1:$AL$1,0)+1)/1000,"")</f>
        <v>-553.96945600000004</v>
      </c>
      <c r="H20" s="529">
        <f ca="1">IF(T!$A$4&gt;=H$42,-INDEX('[1]Přepravní soustava'!$C$45:$AL$45,1,MATCH(H$5,'[1]Přepravní soustava'!$C$1:$AL$1,0)+1)/1000,"")</f>
        <v>-4350.3506279999992</v>
      </c>
      <c r="I20" s="544">
        <f ca="1">IF(T!$A$4&gt;=I$42,-INDEX('[1]Přepravní soustava'!$C$45:$AL$45,1,MATCH(I$5,'[1]Přepravní soustava'!$C$1:$AL$1,0)+1)/1000,"")</f>
        <v>-6007.5311279999996</v>
      </c>
      <c r="J20" s="529">
        <f ca="1">IF(T!$A$4&gt;=J$42,-INDEX('[1]Přepravní soustava'!$C$45:$AL$45,1,MATCH(J$5,'[1]Přepravní soustava'!$C$1:$AL$1,0)+1)/1000,"")</f>
        <v>-5376.3324070000008</v>
      </c>
      <c r="K20" s="529">
        <f ca="1">IF(T!$A$4&gt;=K$42,-INDEX('[1]Přepravní soustava'!$C$45:$AL$45,1,MATCH(K$5,'[1]Přepravní soustava'!$C$1:$AL$1,0)+1)/1000,"")</f>
        <v>-7095.650619</v>
      </c>
      <c r="L20" s="544">
        <f ca="1">IF(T!$A$4&gt;=L$42,-INDEX('[1]Přepravní soustava'!$C$45:$AL$45,1,MATCH(L$5,'[1]Přepravní soustava'!$C$1:$AL$1,0)+1)/1000,"")</f>
        <v>-3748.1244029999998</v>
      </c>
      <c r="M20" s="529">
        <f ca="1">IF(T!$A$4&gt;=M$42,-INDEX('[1]Přepravní soustava'!$C$45:$AL$45,1,MATCH(M$5,'[1]Přepravní soustava'!$C$1:$AL$1,0)+1)/1000,"")</f>
        <v>-338.063063</v>
      </c>
      <c r="N20" s="529" t="str">
        <f ca="1">IF(T!$A$4&gt;=N$42,-INDEX('[1]Přepravní soustava'!$C$45:$AL$45,1,MATCH(N$5,'[1]Přepravní soustava'!$C$1:$AL$1,0)+1)/1000,"")</f>
        <v/>
      </c>
      <c r="O20" s="529" t="str">
        <f ca="1">IF(T!$A$4&gt;=O$42,-INDEX('[1]Přepravní soustava'!$C$45:$AL$45,1,MATCH(O$5,'[1]Přepravní soustava'!$C$1:$AL$1,0)+1)/1000,"")</f>
        <v/>
      </c>
      <c r="P20" s="589">
        <f t="shared" ca="1" si="0"/>
        <v>-27842.547633000002</v>
      </c>
    </row>
    <row r="21" spans="1:19" ht="18" customHeight="1" x14ac:dyDescent="0.2">
      <c r="A21" s="874"/>
      <c r="B21" s="610" t="s">
        <v>144</v>
      </c>
      <c r="C21" s="567" t="s">
        <v>284</v>
      </c>
      <c r="D21" s="542">
        <f ca="1">IF(T!$A$4&gt;=D$42,D19+D20,"")</f>
        <v>6884.6724999999997</v>
      </c>
      <c r="E21" s="542">
        <f ca="1">IF(T!$A$4&gt;=E$42,E19+E20,"")</f>
        <v>7680.1415020000004</v>
      </c>
      <c r="F21" s="569">
        <f ca="1">IF(T!$A$4&gt;=F$42,F19+F20,"")</f>
        <v>5557.1236309999995</v>
      </c>
      <c r="G21" s="542">
        <f ca="1">IF(T!$A$4&gt;=G$42,G19+G20,"")</f>
        <v>-121.33715000000007</v>
      </c>
      <c r="H21" s="529">
        <f ca="1">IF(T!$A$4&gt;=H$42,H19+H20,"")</f>
        <v>-4346.4776979999988</v>
      </c>
      <c r="I21" s="544">
        <f ca="1">IF(T!$A$4&gt;=I$42,I19+I20,"")</f>
        <v>-6006.0697829999999</v>
      </c>
      <c r="J21" s="529">
        <f ca="1">IF(T!$A$4&gt;=J$42,J19+J20,"")</f>
        <v>-5373.3928440000009</v>
      </c>
      <c r="K21" s="529">
        <f ca="1">IF(T!$A$4&gt;=K$42,K19+K20,"")</f>
        <v>-7095.650619</v>
      </c>
      <c r="L21" s="544">
        <f ca="1">IF(T!$A$4&gt;=L$42,L19+L20,"")</f>
        <v>-3745.2958859999999</v>
      </c>
      <c r="M21" s="529">
        <f ca="1">IF(T!$A$4&gt;=M$42,M19+M20,"")</f>
        <v>1496.2685280000001</v>
      </c>
      <c r="N21" s="529" t="str">
        <f ca="1">IF(T!$A$4&gt;=N$42,N19+N20,"")</f>
        <v/>
      </c>
      <c r="O21" s="529" t="str">
        <f ca="1">IF(T!$A$4&gt;=O$42,O19+O20,"")</f>
        <v/>
      </c>
      <c r="P21" s="589">
        <f t="shared" ca="1" si="0"/>
        <v>-5070.0178190000006</v>
      </c>
    </row>
    <row r="22" spans="1:19" ht="18" customHeight="1" x14ac:dyDescent="0.2">
      <c r="A22" s="874"/>
      <c r="B22" s="610" t="s">
        <v>279</v>
      </c>
      <c r="C22" s="567" t="s">
        <v>284</v>
      </c>
      <c r="D22" s="542">
        <f ca="1">IF(T!$A$4&gt;=D$42,'[10]Stav zásob ČR'!C4,"")</f>
        <v>16158.764895715989</v>
      </c>
      <c r="E22" s="542">
        <f ca="1">IF(T!$A$4&gt;=E$42,'[10]Stav zásob ČR'!D4,"")</f>
        <v>8478.6233937159905</v>
      </c>
      <c r="F22" s="569">
        <f ca="1">IF(T!$A$4&gt;=F$42,'[10]Stav zásob ČR'!E4,"")</f>
        <v>2921.4997627159905</v>
      </c>
      <c r="G22" s="542">
        <f ca="1">IF(T!$A$4&gt;=G$42,'[10]Stav zásob ČR'!F4,"")</f>
        <v>3042.8369127159904</v>
      </c>
      <c r="H22" s="529">
        <f ca="1">IF(T!$A$4&gt;=H$42,'[10]Stav zásob ČR'!G4,"")</f>
        <v>7389.314610715991</v>
      </c>
      <c r="I22" s="544">
        <f ca="1">IF(T!$A$4&gt;=I$42,'[10]Stav zásob ČR'!H4,"")</f>
        <v>13395.384393715993</v>
      </c>
      <c r="J22" s="529">
        <f ca="1">IF(T!$A$4&gt;=J$42,'[10]Stav zásob ČR'!I4,"")</f>
        <v>18768.777237715993</v>
      </c>
      <c r="K22" s="529">
        <f ca="1">IF(T!$A$4&gt;=K$42,'[10]Stav zásob ČR'!J4,"")</f>
        <v>25864.427856715996</v>
      </c>
      <c r="L22" s="544">
        <f ca="1">IF(T!$A$4&gt;=L$42,'[10]Stav zásob ČR'!K4,"")</f>
        <v>29609.723742405993</v>
      </c>
      <c r="M22" s="529">
        <f ca="1">IF(T!$A$4&gt;=M$42,'[10]Stav zásob ČR'!L4,"")</f>
        <v>28113.455214405993</v>
      </c>
      <c r="N22" s="529" t="str">
        <f ca="1">IF(T!$A$4&gt;=N$42,'[10]Stav zásob ČR'!M4,"")</f>
        <v/>
      </c>
      <c r="O22" s="529" t="str">
        <f ca="1">IF(T!$A$4&gt;=O$42,'[10]Stav zásob ČR'!N4,"")</f>
        <v/>
      </c>
      <c r="P22" s="589">
        <f ca="1">INDEX(D22:O22,,T!$A$4)</f>
        <v>28113.455214405993</v>
      </c>
    </row>
    <row r="23" spans="1:19" ht="9" customHeight="1" x14ac:dyDescent="0.2">
      <c r="A23" s="875"/>
      <c r="B23" s="513"/>
      <c r="C23" s="501"/>
      <c r="D23" s="546"/>
      <c r="E23" s="546"/>
      <c r="F23" s="577"/>
      <c r="G23" s="546"/>
      <c r="H23" s="548"/>
      <c r="I23" s="549"/>
      <c r="J23" s="548"/>
      <c r="K23" s="548"/>
      <c r="L23" s="549"/>
      <c r="M23" s="548"/>
      <c r="N23" s="548"/>
      <c r="O23" s="548"/>
      <c r="P23" s="590"/>
    </row>
    <row r="24" spans="1:19" ht="9" customHeight="1" x14ac:dyDescent="0.2">
      <c r="A24" s="506"/>
      <c r="B24" s="464"/>
      <c r="C24" s="519"/>
      <c r="D24" s="498"/>
      <c r="E24" s="498"/>
      <c r="F24" s="520"/>
      <c r="G24" s="498"/>
      <c r="H24" s="498"/>
      <c r="I24" s="520"/>
      <c r="J24" s="498"/>
      <c r="K24" s="498"/>
      <c r="L24" s="520"/>
      <c r="M24" s="498"/>
      <c r="N24" s="498"/>
      <c r="O24" s="498"/>
      <c r="P24" s="589"/>
    </row>
    <row r="25" spans="1:19" ht="18" customHeight="1" x14ac:dyDescent="0.2">
      <c r="A25" s="819" t="s">
        <v>242</v>
      </c>
      <c r="B25" s="819"/>
      <c r="C25" s="567" t="s">
        <v>231</v>
      </c>
      <c r="D25" s="529">
        <f ca="1">IF(T!$A$4&gt;=D$42,INDEX('[3]Poklady MZ'!$C$17:$Z$17,1,MATCH(D$5,'[3]Poklady MZ'!$C$1:$Z$1,0))/1000,"")</f>
        <v>14.180403000000002</v>
      </c>
      <c r="E25" s="542">
        <f ca="1">IF(T!$A$4&gt;=E$42,INDEX('[3]Poklady MZ'!$C$17:$Z$17,1,MATCH(E$5,'[3]Poklady MZ'!$C$1:$Z$1,0))/1000,"")</f>
        <v>13.270028</v>
      </c>
      <c r="F25" s="569">
        <f ca="1">IF(T!$A$4&gt;=F$42,INDEX('[3]Poklady MZ'!$C$17:$Z$17,1,MATCH(F$5,'[3]Poklady MZ'!$C$1:$Z$1,0))/1000,"")</f>
        <v>14.707849999999999</v>
      </c>
      <c r="G25" s="542">
        <f ca="1">IF(T!$A$4&gt;=G$42,INDEX('[3]Poklady MZ'!$C$17:$Z$17,1,MATCH(G$5,'[3]Poklady MZ'!$C$1:$Z$1,0))/1000,"")</f>
        <v>13.986095999999998</v>
      </c>
      <c r="H25" s="529">
        <f ca="1">IF(T!$A$4&gt;=H$42,INDEX('[3]Poklady MZ'!$C$17:$Z$17,1,MATCH(H$5,'[3]Poklady MZ'!$C$1:$Z$1,0))/1000,"")</f>
        <v>14.309644999999996</v>
      </c>
      <c r="I25" s="544">
        <f ca="1">IF(T!$A$4&gt;=I$42,INDEX('[3]Poklady MZ'!$C$17:$Z$17,1,MATCH(I$5,'[3]Poklady MZ'!$C$1:$Z$1,0))/1000,"")</f>
        <v>13.031152000000001</v>
      </c>
      <c r="J25" s="529">
        <f ca="1">IF(T!$A$4&gt;=J$42,INDEX('[3]Poklady MZ'!$C$17:$Z$17,1,MATCH(J$5,'[3]Poklady MZ'!$C$1:$Z$1,0))/1000,"")</f>
        <v>13.117135999999999</v>
      </c>
      <c r="K25" s="529">
        <f ca="1">IF(T!$A$4&gt;=K$42,INDEX('[3]Poklady MZ'!$C$17:$Z$17,1,MATCH(K$5,'[3]Poklady MZ'!$C$1:$Z$1,0))/1000,"")</f>
        <v>12.971734</v>
      </c>
      <c r="L25" s="544">
        <f ca="1">IF(T!$A$4&gt;=L$42,INDEX('[3]Poklady MZ'!$C$17:$Z$17,1,MATCH(L$5,'[3]Poklady MZ'!$C$1:$Z$1,0))/1000,"")</f>
        <v>12.490767999999997</v>
      </c>
      <c r="M25" s="529">
        <f ca="1">IF(T!$A$4&gt;=M$42,INDEX('[3]Poklady MZ'!$C$17:$Z$17,1,MATCH(M$5,'[3]Poklady MZ'!$C$1:$Z$1,0))/1000,"")</f>
        <v>13.057844999999999</v>
      </c>
      <c r="N25" s="529" t="str">
        <f ca="1">IF(T!$A$4&gt;=N$42,INDEX('[3]Poklady MZ'!$C$17:$Z$17,1,MATCH(N$5,'[3]Poklady MZ'!$C$1:$Z$1,0))/1000,"")</f>
        <v/>
      </c>
      <c r="O25" s="529" t="str">
        <f ca="1">IF(T!$A$4&gt;=O$42,INDEX('[3]Poklady MZ'!$C$17:$Z$17,1,MATCH(O$5,'[3]Poklady MZ'!$C$1:$Z$1,0))/1000,"")</f>
        <v/>
      </c>
      <c r="P25" s="589">
        <f t="shared" ca="1" si="0"/>
        <v>135.122657</v>
      </c>
    </row>
    <row r="26" spans="1:19" ht="18" customHeight="1" x14ac:dyDescent="0.2">
      <c r="A26" s="819" t="s">
        <v>242</v>
      </c>
      <c r="B26" s="819"/>
      <c r="C26" s="567" t="s">
        <v>284</v>
      </c>
      <c r="D26" s="542">
        <f ca="1">IF(T!$A$4&gt;=D$42,INDEX('[3]Poklady MZ'!$C$17:$Z$17,1,MATCH(D$5,'[3]Poklady MZ'!$C$1:$Z$1,0)+1)/1000,"")</f>
        <v>154.08155320000003</v>
      </c>
      <c r="E26" s="542">
        <f ca="1">IF(T!$A$4&gt;=E$42,INDEX('[3]Poklady MZ'!$C$17:$Z$17,1,MATCH(E$5,'[3]Poklady MZ'!$C$1:$Z$1,0)+1)/1000,"")</f>
        <v>144.12608200000003</v>
      </c>
      <c r="F26" s="569">
        <f ca="1">IF(T!$A$4&gt;=F$42,INDEX('[3]Poklady MZ'!$C$17:$Z$17,1,MATCH(F$5,'[3]Poklady MZ'!$C$1:$Z$1,0)+1)/1000,"")</f>
        <v>159.14952839489999</v>
      </c>
      <c r="G26" s="542">
        <f ca="1">IF(T!$A$4&gt;=G$42,INDEX('[3]Poklady MZ'!$C$17:$Z$17,1,MATCH(G$5,'[3]Poklady MZ'!$C$1:$Z$1,0)+1)/1000,"")</f>
        <v>151.93253561999998</v>
      </c>
      <c r="H26" s="529">
        <f ca="1">IF(T!$A$4&gt;=H$42,INDEX('[3]Poklady MZ'!$C$17:$Z$17,1,MATCH(H$5,'[3]Poklady MZ'!$C$1:$Z$1,0)+1)/1000,"")</f>
        <v>156.03802252</v>
      </c>
      <c r="I26" s="544">
        <f ca="1">IF(T!$A$4&gt;=I$42,INDEX('[3]Poklady MZ'!$C$17:$Z$17,1,MATCH(I$5,'[3]Poklady MZ'!$C$1:$Z$1,0)+1)/1000,"")</f>
        <v>142.2199755</v>
      </c>
      <c r="J26" s="529">
        <f ca="1">IF(T!$A$4&gt;=J$42,INDEX('[3]Poklady MZ'!$C$17:$Z$17,1,MATCH(J$5,'[3]Poklady MZ'!$C$1:$Z$1,0)+1)/1000,"")</f>
        <v>143.09325754400001</v>
      </c>
      <c r="K26" s="529">
        <f ca="1">IF(T!$A$4&gt;=K$42,INDEX('[3]Poklady MZ'!$C$17:$Z$17,1,MATCH(K$5,'[3]Poklady MZ'!$C$1:$Z$1,0)+1)/1000,"")</f>
        <v>141.49217164999999</v>
      </c>
      <c r="L26" s="544">
        <f ca="1">IF(T!$A$4&gt;=L$42,INDEX('[3]Poklady MZ'!$C$17:$Z$17,1,MATCH(L$5,'[3]Poklady MZ'!$C$1:$Z$1,0)+1)/1000,"")</f>
        <v>135.65991910379998</v>
      </c>
      <c r="M26" s="529">
        <f ca="1">IF(T!$A$4&gt;=M$42,INDEX('[3]Poklady MZ'!$C$17:$Z$17,1,MATCH(M$5,'[3]Poklady MZ'!$C$1:$Z$1,0)+1)/1000,"")</f>
        <v>141.78206535200002</v>
      </c>
      <c r="N26" s="529" t="str">
        <f ca="1">IF(T!$A$4&gt;=N$42,INDEX('[3]Poklady MZ'!$C$17:$Z$17,1,MATCH(N$5,'[3]Poklady MZ'!$C$1:$Z$1,0)+1)/1000,"")</f>
        <v/>
      </c>
      <c r="O26" s="529" t="str">
        <f ca="1">IF(T!$A$4&gt;=O$42,INDEX('[3]Poklady MZ'!$C$17:$Z$17,1,MATCH(O$5,'[3]Poklady MZ'!$C$1:$Z$1,0)+1)/1000,"")</f>
        <v/>
      </c>
      <c r="P26" s="589">
        <f t="shared" ca="1" si="0"/>
        <v>1469.5751108847001</v>
      </c>
    </row>
    <row r="27" spans="1:19" ht="9" customHeight="1" x14ac:dyDescent="0.2">
      <c r="A27" s="505"/>
      <c r="B27" s="612"/>
      <c r="C27" s="572"/>
      <c r="D27" s="546"/>
      <c r="E27" s="546"/>
      <c r="F27" s="577"/>
      <c r="G27" s="546"/>
      <c r="H27" s="548"/>
      <c r="I27" s="549"/>
      <c r="J27" s="548"/>
      <c r="K27" s="548"/>
      <c r="L27" s="549"/>
      <c r="M27" s="548"/>
      <c r="N27" s="548"/>
      <c r="O27" s="548"/>
      <c r="P27" s="590"/>
    </row>
    <row r="28" spans="1:19" ht="9" customHeight="1" x14ac:dyDescent="0.2">
      <c r="A28" s="506"/>
      <c r="B28" s="464"/>
      <c r="C28" s="519"/>
      <c r="D28" s="498"/>
      <c r="E28" s="498"/>
      <c r="F28" s="520"/>
      <c r="G28" s="498"/>
      <c r="H28" s="498"/>
      <c r="I28" s="520"/>
      <c r="J28" s="498"/>
      <c r="K28" s="498"/>
      <c r="L28" s="520"/>
      <c r="M28" s="498"/>
      <c r="N28" s="498"/>
      <c r="O28" s="498"/>
      <c r="P28" s="589"/>
    </row>
    <row r="29" spans="1:19" ht="18" customHeight="1" x14ac:dyDescent="0.2">
      <c r="A29" s="819" t="s">
        <v>241</v>
      </c>
      <c r="B29" s="819"/>
      <c r="C29" s="567" t="s">
        <v>231</v>
      </c>
      <c r="D29" s="529">
        <f ca="1">IF(T!$A$4&gt;=D$42,-INDEX('[1]Přepravní soustava'!$C$49:$AL$49,1,MATCH(D$5,'[1]Přepravní soustava'!$C$1:$AL$1,0))/1000,"")</f>
        <v>-18.117960132158839</v>
      </c>
      <c r="E29" s="542">
        <f ca="1">IF(T!$A$4&gt;=E$42,-INDEX('[1]Přepravní soustava'!$C$49:$AL$49,1,MATCH(E$5,'[1]Přepravní soustava'!$C$1:$AL$1,0))/1000,"")</f>
        <v>-12.684402622247585</v>
      </c>
      <c r="F29" s="569">
        <f ca="1">IF(T!$A$4&gt;=F$42,-INDEX('[1]Přepravní soustava'!$C$49:$AL$49,1,MATCH(F$5,'[1]Přepravní soustava'!$C$1:$AL$1,0))/1000,"")</f>
        <v>-6.0139529915014425</v>
      </c>
      <c r="G29" s="542">
        <f ca="1">IF(T!$A$4&gt;=G$42,-INDEX('[1]Přepravní soustava'!$C$49:$AL$49,1,MATCH(G$5,'[1]Přepravní soustava'!$C$1:$AL$1,0))/1000,"")</f>
        <v>-22.13701290711484</v>
      </c>
      <c r="H29" s="529">
        <f ca="1">IF(T!$A$4&gt;=H$42,-INDEX('[1]Přepravní soustava'!$C$49:$AL$49,1,MATCH(H$5,'[1]Přepravní soustava'!$C$1:$AL$1,0))/1000,"")</f>
        <v>-16.169176930368703</v>
      </c>
      <c r="I29" s="544">
        <f ca="1">IF(T!$A$4&gt;=I$42,-INDEX('[1]Přepravní soustava'!$C$49:$AL$49,1,MATCH(I$5,'[1]Přepravní soustava'!$C$1:$AL$1,0))/1000,"")</f>
        <v>-15.995512653756887</v>
      </c>
      <c r="J29" s="529">
        <f ca="1">IF(T!$A$4&gt;=J$42,-INDEX('[1]Přepravní soustava'!$C$49:$AL$49,1,MATCH(J$5,'[1]Přepravní soustava'!$C$1:$AL$1,0))/1000,"")</f>
        <v>-8.1451462685563012</v>
      </c>
      <c r="K29" s="529">
        <f ca="1">IF(T!$A$4&gt;=K$42,-INDEX('[1]Přepravní soustava'!$C$49:$AL$49,1,MATCH(K$5,'[1]Přepravní soustava'!$C$1:$AL$1,0))/1000,"")</f>
        <v>-12.446211500637698</v>
      </c>
      <c r="L29" s="544">
        <f ca="1">IF(T!$A$4&gt;=L$42,-INDEX('[1]Přepravní soustava'!$C$49:$AL$49,1,MATCH(L$5,'[1]Přepravní soustava'!$C$1:$AL$1,0))/1000,"")</f>
        <v>-13.798279558220063</v>
      </c>
      <c r="M29" s="529">
        <f ca="1">IF(T!$A$4&gt;=M$42,-INDEX('[1]Přepravní soustava'!$C$49:$AL$49,1,MATCH(M$5,'[1]Přepravní soustava'!$C$1:$AL$1,0))/1000,"")</f>
        <v>-17.919107084652861</v>
      </c>
      <c r="N29" s="529" t="str">
        <f ca="1">IF(T!$A$4&gt;=N$42,-INDEX('[1]Přepravní soustava'!$C$49:$AL$49,1,MATCH(N$5,'[1]Přepravní soustava'!$C$1:$AL$1,0))/1000,"")</f>
        <v/>
      </c>
      <c r="O29" s="529" t="str">
        <f ca="1">IF(T!$A$4&gt;=O$42,-INDEX('[1]Přepravní soustava'!$C$49:$AL$49,1,MATCH(O$5,'[1]Přepravní soustava'!$C$1:$AL$1,0))/1000,"")</f>
        <v/>
      </c>
      <c r="P29" s="589">
        <f t="shared" ca="1" si="0"/>
        <v>-143.42676264921522</v>
      </c>
    </row>
    <row r="30" spans="1:19" ht="18" customHeight="1" x14ac:dyDescent="0.2">
      <c r="A30" s="819" t="s">
        <v>241</v>
      </c>
      <c r="B30" s="819"/>
      <c r="C30" s="567" t="s">
        <v>284</v>
      </c>
      <c r="D30" s="542">
        <f ca="1">IF(T!$A$4&gt;=D$42,-INDEX('[1]Přepravní soustava'!$C$49:$AL$49,1,MATCH(D$5,'[1]Přepravní soustava'!$C$1:$AL$1,0)+1)/1000,"")</f>
        <v>-179.50949799999512</v>
      </c>
      <c r="E30" s="542">
        <f ca="1">IF(T!$A$4&gt;=E$42,-INDEX('[1]Přepravní soustava'!$C$49:$AL$49,1,MATCH(E$5,'[1]Přepravní soustava'!$C$1:$AL$1,0)+1)/1000,"")</f>
        <v>-129.10178000000303</v>
      </c>
      <c r="F30" s="569">
        <f ca="1">IF(T!$A$4&gt;=F$42,-INDEX('[1]Přepravní soustava'!$C$49:$AL$49,1,MATCH(F$5,'[1]Přepravní soustava'!$C$1:$AL$1,0)+1)/1000,"")</f>
        <v>-61.052843999995297</v>
      </c>
      <c r="G30" s="542">
        <f ca="1">IF(T!$A$4&gt;=G$42,-INDEX('[1]Přepravní soustava'!$C$49:$AL$49,1,MATCH(G$5,'[1]Přepravní soustava'!$C$1:$AL$1,0)+1)/1000,"")</f>
        <v>-234.87534299999791</v>
      </c>
      <c r="H30" s="529">
        <f ca="1">IF(T!$A$4&gt;=H$42,-INDEX('[1]Přepravní soustava'!$C$49:$AL$49,1,MATCH(H$5,'[1]Přepravní soustava'!$C$1:$AL$1,0)+1)/1000,"")</f>
        <v>-173.85355899999476</v>
      </c>
      <c r="I30" s="544">
        <f ca="1">IF(T!$A$4&gt;=I$42,-INDEX('[1]Přepravní soustava'!$C$49:$AL$49,1,MATCH(I$5,'[1]Přepravní soustava'!$C$1:$AL$1,0)+1)/1000,"")</f>
        <v>-162.29760973799975</v>
      </c>
      <c r="J30" s="529">
        <f ca="1">IF(T!$A$4&gt;=J$42,-INDEX('[1]Přepravní soustava'!$C$49:$AL$49,1,MATCH(J$5,'[1]Přepravní soustava'!$C$1:$AL$1,0)+1)/1000,"")</f>
        <v>-92.700816999996078</v>
      </c>
      <c r="K30" s="529">
        <f ca="1">IF(T!$A$4&gt;=K$42,-INDEX('[1]Přepravní soustava'!$C$49:$AL$49,1,MATCH(K$5,'[1]Přepravní soustava'!$C$1:$AL$1,0)+1)/1000,"")</f>
        <v>-125.44286900000181</v>
      </c>
      <c r="L30" s="544">
        <f ca="1">IF(T!$A$4&gt;=L$42,-INDEX('[1]Přepravní soustava'!$C$49:$AL$49,1,MATCH(L$5,'[1]Přepravní soustava'!$C$1:$AL$1,0)+1)/1000,"")</f>
        <v>-146.85614100000029</v>
      </c>
      <c r="M30" s="529">
        <f ca="1">IF(T!$A$4&gt;=M$42,-INDEX('[1]Přepravní soustava'!$C$49:$AL$49,1,MATCH(M$5,'[1]Přepravní soustava'!$C$1:$AL$1,0)+1)/1000,"")</f>
        <v>-182.46283699999941</v>
      </c>
      <c r="N30" s="529" t="str">
        <f ca="1">IF(T!$A$4&gt;=N$42,-INDEX('[1]Přepravní soustava'!$C$49:$AL$49,1,MATCH(N$5,'[1]Přepravní soustava'!$C$1:$AL$1,0)+1)/1000,"")</f>
        <v/>
      </c>
      <c r="O30" s="529" t="str">
        <f ca="1">IF(T!$A$4&gt;=O$42,-INDEX('[1]Přepravní soustava'!$C$49:$AL$49,1,MATCH(O$5,'[1]Přepravní soustava'!$C$1:$AL$1,0)+1)/1000,"")</f>
        <v/>
      </c>
      <c r="P30" s="589">
        <f t="shared" ca="1" si="0"/>
        <v>-1488.1532977379834</v>
      </c>
    </row>
    <row r="31" spans="1:19" ht="9" customHeight="1" x14ac:dyDescent="0.2">
      <c r="A31" s="505"/>
      <c r="B31" s="612"/>
      <c r="C31" s="572"/>
      <c r="D31" s="546"/>
      <c r="E31" s="546"/>
      <c r="F31" s="577"/>
      <c r="G31" s="546"/>
      <c r="H31" s="548"/>
      <c r="I31" s="549"/>
      <c r="J31" s="548"/>
      <c r="K31" s="548"/>
      <c r="L31" s="549"/>
      <c r="M31" s="548"/>
      <c r="N31" s="548"/>
      <c r="O31" s="548"/>
      <c r="P31" s="590"/>
    </row>
    <row r="32" spans="1:19" ht="9" customHeight="1" x14ac:dyDescent="0.2">
      <c r="A32" s="888"/>
      <c r="B32" s="613"/>
      <c r="C32" s="598"/>
      <c r="D32" s="599"/>
      <c r="E32" s="599"/>
      <c r="F32" s="600"/>
      <c r="G32" s="599"/>
      <c r="H32" s="599"/>
      <c r="I32" s="600"/>
      <c r="J32" s="599"/>
      <c r="K32" s="599"/>
      <c r="L32" s="600"/>
      <c r="M32" s="599"/>
      <c r="N32" s="599"/>
      <c r="O32" s="599"/>
      <c r="P32" s="594"/>
    </row>
    <row r="33" spans="1:16" ht="18" customHeight="1" x14ac:dyDescent="0.2">
      <c r="A33" s="884"/>
      <c r="B33" s="614" t="s">
        <v>85</v>
      </c>
      <c r="C33" s="565" t="s">
        <v>231</v>
      </c>
      <c r="D33" s="521">
        <f ca="1">IF(T!$A$4&gt;=D$42,D9+D17+D25+D29,"")</f>
        <v>1081.281222384222</v>
      </c>
      <c r="E33" s="522">
        <f ca="1">IF(T!$A$4&gt;=E$42,E9+E17+E25+E29,"")</f>
        <v>989.8668869294786</v>
      </c>
      <c r="F33" s="523">
        <f ca="1">IF(T!$A$4&gt;=F$42,F9+F17+F25+F29,"")</f>
        <v>865.53172392396289</v>
      </c>
      <c r="G33" s="522">
        <f ca="1">IF(T!$A$4&gt;=G$42,G9+G17+G25+G29,"")</f>
        <v>622.80943485640046</v>
      </c>
      <c r="H33" s="521">
        <f ca="1">IF(T!$A$4&gt;=H$42,H9+H17+H25+H29,"")</f>
        <v>404.77313244464204</v>
      </c>
      <c r="I33" s="524">
        <f ca="1">IF(T!$A$4&gt;=I$42,I9+I17+I25+I29,"")</f>
        <v>314.40897259545517</v>
      </c>
      <c r="J33" s="521">
        <f ca="1">IF(T!$A$4&gt;=J$42,J9+J17+J25+J29,"")</f>
        <v>298.38726067746859</v>
      </c>
      <c r="K33" s="521">
        <f ca="1">IF(T!$A$4&gt;=K$42,K9+K17+K25+K29,"")</f>
        <v>277.51126817035498</v>
      </c>
      <c r="L33" s="524">
        <f ca="1">IF(T!$A$4&gt;=L$42,L9+L17+L25+L29,"")</f>
        <v>352.96125315228124</v>
      </c>
      <c r="M33" s="521">
        <f ca="1">IF(T!$A$4&gt;=M$42,M9+M17+M25+M29,"")</f>
        <v>692.3755167665646</v>
      </c>
      <c r="N33" s="521" t="str">
        <f ca="1">IF(T!$A$4&gt;=N$42,N9+N17+N25+N29,"")</f>
        <v/>
      </c>
      <c r="O33" s="521" t="str">
        <f ca="1">IF(T!$A$4&gt;=O$42,O9+O17+O25+O29,"")</f>
        <v/>
      </c>
      <c r="P33" s="594">
        <f t="shared" ca="1" si="0"/>
        <v>5899.9066719008315</v>
      </c>
    </row>
    <row r="34" spans="1:16" ht="18" customHeight="1" x14ac:dyDescent="0.2">
      <c r="A34" s="884"/>
      <c r="B34" s="614" t="s">
        <v>85</v>
      </c>
      <c r="C34" s="565" t="s">
        <v>284</v>
      </c>
      <c r="D34" s="522">
        <f ca="1">IF(T!$A$4&gt;=D$42,D12+D21+D26+D30,"")</f>
        <v>11492.758327553393</v>
      </c>
      <c r="E34" s="522">
        <f ca="1">IF(T!$A$4&gt;=E$42,E12+E21+E26+E30,"")</f>
        <v>10525.401381702706</v>
      </c>
      <c r="F34" s="523">
        <f ca="1">IF(T!$A$4&gt;=F$42,F12+F21+F26+F30,"")</f>
        <v>9201.9028546028949</v>
      </c>
      <c r="G34" s="522">
        <f ca="1">IF(T!$A$4&gt;=G$42,G12+G21+G26+G30,"")</f>
        <v>6626.1087584350007</v>
      </c>
      <c r="H34" s="521">
        <f ca="1">IF(T!$A$4&gt;=H$42,H12+H21+H26+H30,"")</f>
        <v>4332.1299216519965</v>
      </c>
      <c r="I34" s="524">
        <f ca="1">IF(T!$A$4&gt;=I$42,I12+I21+I26+I30,"")</f>
        <v>3367.3131419259998</v>
      </c>
      <c r="J34" s="521">
        <f ca="1">IF(T!$A$4&gt;=J$42,J12+J21+J26+J30,"")</f>
        <v>3186.2045214458958</v>
      </c>
      <c r="K34" s="521">
        <f ca="1">IF(T!$A$4&gt;=K$42,K12+K21+K26+K30,"")</f>
        <v>2972.6920518557972</v>
      </c>
      <c r="L34" s="524">
        <f ca="1">IF(T!$A$4&gt;=L$42,L12+L21+L26+L30,"")</f>
        <v>3775.5579338133971</v>
      </c>
      <c r="M34" s="521">
        <f ca="1">IF(T!$A$4&gt;=M$42,M12+M21+M26+M30,"")</f>
        <v>7395.1325602784973</v>
      </c>
      <c r="N34" s="521" t="str">
        <f ca="1">IF(T!$A$4&gt;=N$42,N12+N21+N26+N30,"")</f>
        <v/>
      </c>
      <c r="O34" s="521" t="str">
        <f ca="1">IF(T!$A$4&gt;=O$42,O12+O21+O26+O30,"")</f>
        <v/>
      </c>
      <c r="P34" s="594">
        <f t="shared" ca="1" si="0"/>
        <v>62875.201453265588</v>
      </c>
    </row>
    <row r="35" spans="1:16" ht="9" customHeight="1" x14ac:dyDescent="0.2">
      <c r="A35" s="885"/>
      <c r="B35" s="615"/>
      <c r="C35" s="602"/>
      <c r="D35" s="603"/>
      <c r="E35" s="603"/>
      <c r="F35" s="604"/>
      <c r="G35" s="603"/>
      <c r="H35" s="605"/>
      <c r="I35" s="606"/>
      <c r="J35" s="605"/>
      <c r="K35" s="605"/>
      <c r="L35" s="606"/>
      <c r="M35" s="605"/>
      <c r="N35" s="605"/>
      <c r="O35" s="605"/>
      <c r="P35" s="607"/>
    </row>
    <row r="36" spans="1:16" x14ac:dyDescent="0.2">
      <c r="A36" s="39"/>
      <c r="B36" s="504"/>
      <c r="C36" s="579"/>
      <c r="G36" s="509"/>
      <c r="H36" s="504"/>
      <c r="I36" s="503"/>
      <c r="M36" s="509"/>
      <c r="N36" s="504"/>
      <c r="O36" s="504"/>
      <c r="P36" s="611"/>
    </row>
    <row r="37" spans="1:16" x14ac:dyDescent="0.2">
      <c r="P37" s="593"/>
    </row>
    <row r="42" spans="1:16" x14ac:dyDescent="0.2">
      <c r="E42" s="686">
        <v>2</v>
      </c>
      <c r="F42" s="686">
        <v>3</v>
      </c>
      <c r="G42" s="686">
        <v>4</v>
      </c>
      <c r="H42" s="686">
        <v>5</v>
      </c>
      <c r="I42" s="686">
        <v>6</v>
      </c>
      <c r="J42" s="686">
        <v>7</v>
      </c>
      <c r="K42" s="686">
        <v>8</v>
      </c>
      <c r="L42" s="686">
        <v>9</v>
      </c>
      <c r="M42" s="686">
        <v>10</v>
      </c>
      <c r="N42" s="686">
        <v>11</v>
      </c>
      <c r="O42" s="686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0" t="s">
        <v>56</v>
      </c>
      <c r="Q1" s="820"/>
    </row>
    <row r="2" spans="1:18" ht="15" customHeight="1" x14ac:dyDescent="0.25">
      <c r="A2" s="889" t="s">
        <v>48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</row>
    <row r="3" spans="1:18" ht="15" customHeight="1" x14ac:dyDescent="0.25">
      <c r="A3" s="892">
        <f>T!$I$21</f>
        <v>2015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0"/>
      <c r="P5" s="890" t="s">
        <v>78</v>
      </c>
      <c r="Q5" s="54"/>
    </row>
    <row r="6" spans="1:18" ht="15" customHeight="1" thickBot="1" x14ac:dyDescent="0.25">
      <c r="A6" s="118" t="s">
        <v>119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1"/>
      <c r="Q6" s="111" t="s">
        <v>79</v>
      </c>
      <c r="R6" s="16"/>
    </row>
    <row r="7" spans="1:18" ht="15" customHeight="1" x14ac:dyDescent="0.2">
      <c r="A7" s="633" t="s">
        <v>6</v>
      </c>
      <c r="B7" s="634">
        <f ca="1">IF(T!$A$4&gt;=MONTH(B$6&amp;$A$3),'[11]Podklady MZ'!B3,"")</f>
        <v>281</v>
      </c>
      <c r="C7" s="635">
        <f ca="1">IF(T!$A$4&gt;=MONTH(C$6&amp;$A$3),'[11]Podklady MZ'!C3,"")</f>
        <v>10</v>
      </c>
      <c r="D7" s="635">
        <f ca="1">IF(T!$A$4&gt;=MONTH(D$6&amp;$A$3),'[11]Podklady MZ'!D3,"")</f>
        <v>3</v>
      </c>
      <c r="E7" s="635">
        <f ca="1">IF(T!$A$4&gt;=MONTH(E$6&amp;$A$3),'[11]Podklady MZ'!E3,"")</f>
        <v>2</v>
      </c>
      <c r="F7" s="635">
        <f ca="1">IF(T!$A$4&gt;=MONTH(F$6&amp;$A$3),'[11]Podklady MZ'!F3,"")</f>
        <v>1</v>
      </c>
      <c r="G7" s="635">
        <f ca="1">IF(T!$A$4&gt;=MONTH(G$6&amp;$A$3),'[11]Podklady MZ'!G3,"")</f>
        <v>3</v>
      </c>
      <c r="H7" s="635">
        <f ca="1">IF(T!$A$4&gt;=MONTH(H$6&amp;$A$3),'[11]Podklady MZ'!H3,"")</f>
        <v>6</v>
      </c>
      <c r="I7" s="635">
        <f ca="1">IF(T!$A$4&gt;=MONTH(I$6&amp;$A$3),'[11]Podklady MZ'!I3,"")</f>
        <v>2</v>
      </c>
      <c r="J7" s="635">
        <f ca="1">IF(T!$A$4&gt;=MONTH(J$6&amp;$A$3),'[11]Podklady MZ'!J3,"")</f>
        <v>2</v>
      </c>
      <c r="K7" s="635">
        <f ca="1">IF(T!$A$4&gt;=MONTH(K$6&amp;$A$3),'[11]Podklady MZ'!K3,"")</f>
        <v>6</v>
      </c>
      <c r="L7" s="635" t="str">
        <f ca="1">IF(T!$A$4&gt;=MONTH(L$6&amp;$A$3),'[11]Podklady MZ'!L3,"")</f>
        <v/>
      </c>
      <c r="M7" s="636" t="str">
        <f ca="1">IF(T!$A$4&gt;=MONTH(M$6&amp;$A$3),'[11]Podklady MZ'!M3,"")</f>
        <v/>
      </c>
      <c r="N7" s="637">
        <f ca="1">SUM(B7:M7)</f>
        <v>316</v>
      </c>
      <c r="O7" s="53"/>
      <c r="P7" s="638">
        <f ca="1">'5'!D11</f>
        <v>1600</v>
      </c>
      <c r="Q7" s="639">
        <f ca="1">N7/P7</f>
        <v>0.19750000000000001</v>
      </c>
    </row>
    <row r="8" spans="1:18" ht="15" customHeight="1" x14ac:dyDescent="0.2">
      <c r="A8" s="633" t="s">
        <v>7</v>
      </c>
      <c r="B8" s="634">
        <f ca="1">IF(T!$A$4&gt;=MONTH(B$6&amp;$A$3),'[11]Podklady MZ'!B4,"")</f>
        <v>1043</v>
      </c>
      <c r="C8" s="635">
        <f ca="1">IF(T!$A$4&gt;=MONTH(C$6&amp;$A$3),'[11]Podklady MZ'!C4,"")</f>
        <v>27</v>
      </c>
      <c r="D8" s="635">
        <f ca="1">IF(T!$A$4&gt;=MONTH(D$6&amp;$A$3),'[11]Podklady MZ'!D4,"")</f>
        <v>19</v>
      </c>
      <c r="E8" s="635">
        <f ca="1">IF(T!$A$4&gt;=MONTH(E$6&amp;$A$3),'[11]Podklady MZ'!E4,"")</f>
        <v>33</v>
      </c>
      <c r="F8" s="635">
        <f ca="1">IF(T!$A$4&gt;=MONTH(F$6&amp;$A$3),'[11]Podklady MZ'!F4,"")</f>
        <v>20</v>
      </c>
      <c r="G8" s="635">
        <f ca="1">IF(T!$A$4&gt;=MONTH(G$6&amp;$A$3),'[11]Podklady MZ'!G4,"")</f>
        <v>18</v>
      </c>
      <c r="H8" s="635">
        <f ca="1">IF(T!$A$4&gt;=MONTH(H$6&amp;$A$3),'[11]Podklady MZ'!H4,"")</f>
        <v>59</v>
      </c>
      <c r="I8" s="635">
        <f ca="1">IF(T!$A$4&gt;=MONTH(I$6&amp;$A$3),'[11]Podklady MZ'!I4,"")</f>
        <v>19</v>
      </c>
      <c r="J8" s="635">
        <f ca="1">IF(T!$A$4&gt;=MONTH(J$6&amp;$A$3),'[11]Podklady MZ'!J4,"")</f>
        <v>28</v>
      </c>
      <c r="K8" s="635">
        <f ca="1">IF(T!$A$4&gt;=MONTH(K$6&amp;$A$3),'[11]Podklady MZ'!K4,"")</f>
        <v>18</v>
      </c>
      <c r="L8" s="635" t="str">
        <f ca="1">IF(T!$A$4&gt;=MONTH(L$6&amp;$A$3),'[11]Podklady MZ'!L4,"")</f>
        <v/>
      </c>
      <c r="M8" s="636" t="str">
        <f ca="1">IF(T!$A$4&gt;=MONTH(M$6&amp;$A$3),'[11]Podklady MZ'!M4,"")</f>
        <v/>
      </c>
      <c r="N8" s="637">
        <f t="shared" ref="N8:N10" ca="1" si="0">SUM(B8:M8)</f>
        <v>1284</v>
      </c>
      <c r="O8" s="53"/>
      <c r="P8" s="638">
        <f ca="1">'5'!D12</f>
        <v>6799</v>
      </c>
      <c r="Q8" s="639">
        <f ca="1">N8/P8</f>
        <v>0.18885130166200911</v>
      </c>
    </row>
    <row r="9" spans="1:18" ht="15" customHeight="1" x14ac:dyDescent="0.2">
      <c r="A9" s="633" t="s">
        <v>8</v>
      </c>
      <c r="B9" s="634">
        <f ca="1">IF(T!$A$4&gt;=MONTH(B$6&amp;$A$3),'[11]Podklady MZ'!B5,"")</f>
        <v>10986</v>
      </c>
      <c r="C9" s="635">
        <f ca="1">IF(T!$A$4&gt;=MONTH(C$6&amp;$A$3),'[11]Podklady MZ'!C5,"")</f>
        <v>829</v>
      </c>
      <c r="D9" s="635">
        <f ca="1">IF(T!$A$4&gt;=MONTH(D$6&amp;$A$3),'[11]Podklady MZ'!D5,"")</f>
        <v>873</v>
      </c>
      <c r="E9" s="635">
        <f ca="1">IF(T!$A$4&gt;=MONTH(E$6&amp;$A$3),'[11]Podklady MZ'!E5,"")</f>
        <v>840</v>
      </c>
      <c r="F9" s="635">
        <f ca="1">IF(T!$A$4&gt;=MONTH(F$6&amp;$A$3),'[11]Podklady MZ'!F5,"")</f>
        <v>1284</v>
      </c>
      <c r="G9" s="635">
        <f ca="1">IF(T!$A$4&gt;=MONTH(G$6&amp;$A$3),'[11]Podklady MZ'!G5,"")</f>
        <v>725</v>
      </c>
      <c r="H9" s="635">
        <f ca="1">IF(T!$A$4&gt;=MONTH(H$6&amp;$A$3),'[11]Podklady MZ'!H5,"")</f>
        <v>1062</v>
      </c>
      <c r="I9" s="635">
        <f ca="1">IF(T!$A$4&gt;=MONTH(I$6&amp;$A$3),'[11]Podklady MZ'!I5,"")</f>
        <v>982</v>
      </c>
      <c r="J9" s="635">
        <f ca="1">IF(T!$A$4&gt;=MONTH(J$6&amp;$A$3),'[11]Podklady MZ'!J5,"")</f>
        <v>857</v>
      </c>
      <c r="K9" s="635">
        <f ca="1">IF(T!$A$4&gt;=MONTH(K$6&amp;$A$3),'[11]Podklady MZ'!K5,"")</f>
        <v>829</v>
      </c>
      <c r="L9" s="635" t="str">
        <f ca="1">IF(T!$A$4&gt;=MONTH(L$6&amp;$A$3),'[11]Podklady MZ'!L5,"")</f>
        <v/>
      </c>
      <c r="M9" s="636" t="str">
        <f ca="1">IF(T!$A$4&gt;=MONTH(M$6&amp;$A$3),'[11]Podklady MZ'!M5,"")</f>
        <v/>
      </c>
      <c r="N9" s="637">
        <f t="shared" ca="1" si="0"/>
        <v>19267</v>
      </c>
      <c r="O9" s="53"/>
      <c r="P9" s="638">
        <f ca="1">'5'!D13</f>
        <v>198880</v>
      </c>
      <c r="Q9" s="639">
        <f t="shared" ref="Q9:Q10" ca="1" si="1">N9/P9</f>
        <v>9.6877514078841515E-2</v>
      </c>
    </row>
    <row r="10" spans="1:18" ht="15" customHeight="1" x14ac:dyDescent="0.2">
      <c r="A10" s="119" t="s">
        <v>9</v>
      </c>
      <c r="B10" s="121">
        <f ca="1">IF(T!$A$4&gt;=MONTH(B$6&amp;$A$3),'[11]Podklady MZ'!B6,"")</f>
        <v>17564</v>
      </c>
      <c r="C10" s="113">
        <f ca="1">IF(T!$A$4&gt;=MONTH(C$6&amp;$A$3),'[11]Podklady MZ'!C6,"")</f>
        <v>10538</v>
      </c>
      <c r="D10" s="113">
        <f ca="1">IF(T!$A$4&gt;=MONTH(D$6&amp;$A$3),'[11]Podklady MZ'!D6,"")</f>
        <v>10953</v>
      </c>
      <c r="E10" s="113">
        <f ca="1">IF(T!$A$4&gt;=MONTH(E$6&amp;$A$3),'[11]Podklady MZ'!E6,"")</f>
        <v>11210</v>
      </c>
      <c r="F10" s="113">
        <f ca="1">IF(T!$A$4&gt;=MONTH(F$6&amp;$A$3),'[11]Podklady MZ'!F6,"")</f>
        <v>19688</v>
      </c>
      <c r="G10" s="113">
        <f ca="1">IF(T!$A$4&gt;=MONTH(G$6&amp;$A$3),'[11]Podklady MZ'!G6,"")</f>
        <v>11609</v>
      </c>
      <c r="H10" s="113">
        <f ca="1">IF(T!$A$4&gt;=MONTH(H$6&amp;$A$3),'[11]Podklady MZ'!H6,"")</f>
        <v>11190</v>
      </c>
      <c r="I10" s="113">
        <f ca="1">IF(T!$A$4&gt;=MONTH(I$6&amp;$A$3),'[11]Podklady MZ'!I6,"")</f>
        <v>11846</v>
      </c>
      <c r="J10" s="113">
        <f ca="1">IF(T!$A$4&gt;=MONTH(J$6&amp;$A$3),'[11]Podklady MZ'!J6,"")</f>
        <v>12336</v>
      </c>
      <c r="K10" s="113">
        <f ca="1">IF(T!$A$4&gt;=MONTH(K$6&amp;$A$3),'[11]Podklady MZ'!K6,"")</f>
        <v>13353</v>
      </c>
      <c r="L10" s="113" t="str">
        <f ca="1">IF(T!$A$4&gt;=MONTH(L$6&amp;$A$3),'[11]Podklady MZ'!L6,"")</f>
        <v/>
      </c>
      <c r="M10" s="114" t="str">
        <f ca="1">IF(T!$A$4&gt;=MONTH(M$6&amp;$A$3),'[11]Podklady MZ'!M6,"")</f>
        <v/>
      </c>
      <c r="N10" s="115">
        <f t="shared" ca="1" si="0"/>
        <v>130287</v>
      </c>
      <c r="O10" s="53"/>
      <c r="P10" s="116">
        <f ca="1">'5'!D14</f>
        <v>2633194</v>
      </c>
      <c r="Q10" s="117">
        <f t="shared" ca="1" si="1"/>
        <v>4.9478693935957621E-2</v>
      </c>
    </row>
    <row r="11" spans="1:18" ht="15" customHeight="1" x14ac:dyDescent="0.2">
      <c r="A11" s="490" t="s">
        <v>2</v>
      </c>
      <c r="B11" s="491">
        <f ca="1">IF(T!$A$4&gt;=MONTH(B$6&amp;$A$3),SUM(B7:B10),"")</f>
        <v>29874</v>
      </c>
      <c r="C11" s="492">
        <f ca="1">IF(T!$A$4&gt;=MONTH(C$6&amp;$A$3),SUM(C7:C10),"")</f>
        <v>11404</v>
      </c>
      <c r="D11" s="492">
        <f ca="1">IF(T!$A$4&gt;=MONTH(D$6&amp;$A$3),SUM(D7:D10),"")</f>
        <v>11848</v>
      </c>
      <c r="E11" s="492">
        <f ca="1">IF(T!$A$4&gt;=MONTH(E$6&amp;$A$3),SUM(E7:E10),"")</f>
        <v>12085</v>
      </c>
      <c r="F11" s="492">
        <f ca="1">IF(T!$A$4&gt;=MONTH(F$6&amp;$A$3),SUM(F7:F10),"")</f>
        <v>20993</v>
      </c>
      <c r="G11" s="492">
        <f ca="1">IF(T!$A$4&gt;=MONTH(G$6&amp;$A$3),SUM(G7:G10),"")</f>
        <v>12355</v>
      </c>
      <c r="H11" s="492">
        <f ca="1">IF(T!$A$4&gt;=MONTH(H$6&amp;$A$3),SUM(H7:H10),"")</f>
        <v>12317</v>
      </c>
      <c r="I11" s="492">
        <f ca="1">IF(T!$A$4&gt;=MONTH(I$6&amp;$A$3),SUM(I7:I10),"")</f>
        <v>12849</v>
      </c>
      <c r="J11" s="492">
        <f ca="1">IF(T!$A$4&gt;=MONTH(J$6&amp;$A$3),SUM(J7:J10),"")</f>
        <v>13223</v>
      </c>
      <c r="K11" s="492">
        <f ca="1">IF(T!$A$4&gt;=MONTH(K$6&amp;$A$3),SUM(K7:K10),"")</f>
        <v>14206</v>
      </c>
      <c r="L11" s="492" t="str">
        <f ca="1">IF(T!$A$4&gt;=MONTH(L$6&amp;$A$3),SUM(L7:L10),"")</f>
        <v/>
      </c>
      <c r="M11" s="493" t="str">
        <f ca="1">IF(T!$A$4&gt;=MONTH(M$6&amp;$A$3),SUM(M7:M10),"")</f>
        <v/>
      </c>
      <c r="N11" s="494">
        <f ca="1">SUM(B11:M11)</f>
        <v>151154</v>
      </c>
      <c r="P11" s="489">
        <f ca="1">'5'!D15</f>
        <v>2840473</v>
      </c>
      <c r="Q11" s="495">
        <f ca="1">N11/P11</f>
        <v>5.3214376619668623E-2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3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5" t="s">
        <v>57</v>
      </c>
      <c r="O1" s="855"/>
      <c r="T1" s="75">
        <f>A31</f>
        <v>2014</v>
      </c>
      <c r="U1" s="685">
        <f>A27</f>
        <v>2015</v>
      </c>
      <c r="V1" s="685">
        <f>A27</f>
        <v>2015</v>
      </c>
      <c r="W1" s="685" t="s">
        <v>295</v>
      </c>
    </row>
    <row r="2" spans="1:23" ht="15.75" x14ac:dyDescent="0.25">
      <c r="A2" s="889" t="str">
        <f>"Porovnání denní spotřeby zemního plynu v ČR mezi roky "&amp;A31&amp;" a "&amp;A27</f>
        <v>Porovnání denní spotřeby zemního plynu v ČR mezi roky 2014 a 2015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73"/>
      <c r="Q2" s="73"/>
      <c r="S2" s="76">
        <f>DATE(A27,1,1)</f>
        <v>42005</v>
      </c>
      <c r="T2" s="77">
        <f ca="1">INDEX([12]ČR!$D$18:$D$383,DATE(2016,MONTH(S2),DAY(S2))-DATE(2016,1,1)+1,1)/1000000</f>
        <v>29.819936957415216</v>
      </c>
      <c r="U2" s="77">
        <f ca="1">IF(T!$A$4&gt;=MONTH(S2),VLOOKUP(S2,'[8]Podklady MZ'!$R$2:$S$367,2,FALSE),NA())</f>
        <v>34.064890044007484</v>
      </c>
      <c r="V2" s="176">
        <f ca="1">INDEX([5]PT!$AF$16:$AF$381,DATE(2016,MONTH(S2),DAY(S2))-DATE(2016,1,1)+1,1)</f>
        <v>0</v>
      </c>
      <c r="W2" s="176" t="e">
        <f ca="1"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 ca="1">INDEX([12]ČR!$D$18:$D$383,DATE(2016,MONTH(S3),DAY(S3))-DATE(2016,1,1)+1,1)/1000000</f>
        <v>32.181140578438225</v>
      </c>
      <c r="U3" s="77">
        <f ca="1">IF(T!$A$4&gt;=MONTH(S3),VLOOKUP(S3,'[8]Podklady MZ'!$R$2:$S$367,2,FALSE),NA())</f>
        <v>34.422167061021369</v>
      </c>
      <c r="V3" s="176">
        <f ca="1">INDEX([5]PT!$AF$16:$AF$381,DATE(2016,MONTH(S3),DAY(S3))-DATE(2016,1,1)+1,1)</f>
        <v>1.6</v>
      </c>
      <c r="W3" s="176" t="e">
        <f ca="1"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 ca="1">INDEX([12]ČR!$D$18:$D$383,DATE(2016,MONTH(S4),DAY(S4))-DATE(2016,1,1)+1,1)/1000000</f>
        <v>30.611301271536977</v>
      </c>
      <c r="U4" s="77">
        <f ca="1">IF(T!$A$4&gt;=MONTH(S4),VLOOKUP(S4,'[8]Podklady MZ'!$R$2:$S$367,2,FALSE),NA())</f>
        <v>32.964357257632088</v>
      </c>
      <c r="V4" s="176">
        <f ca="1">INDEX([5]PT!$AF$16:$AF$381,DATE(2016,MONTH(S4),DAY(S4))-DATE(2016,1,1)+1,1)</f>
        <v>0.9</v>
      </c>
      <c r="W4" s="176" t="e">
        <f ca="1"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 ca="1">INDEX([12]ČR!$D$18:$D$383,DATE(2016,MONTH(S5),DAY(S5))-DATE(2016,1,1)+1,1)/1000000</f>
        <v>28.224276360862738</v>
      </c>
      <c r="U5" s="77">
        <f ca="1">IF(T!$A$4&gt;=MONTH(S5),VLOOKUP(S5,'[8]Podklady MZ'!$R$2:$S$367,2,FALSE),NA())</f>
        <v>34.923265193104555</v>
      </c>
      <c r="V5" s="176">
        <f ca="1">INDEX([5]PT!$AF$16:$AF$381,DATE(2016,MONTH(S5),DAY(S5))-DATE(2016,1,1)+1,1)</f>
        <v>0.7</v>
      </c>
      <c r="W5" s="176" t="e">
        <f ca="1"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 ca="1">INDEX([12]ČR!$D$18:$D$383,DATE(2016,MONTH(S6),DAY(S6))-DATE(2016,1,1)+1,1)/1000000</f>
        <v>28.323624258618793</v>
      </c>
      <c r="U6" s="77">
        <f ca="1">IF(T!$A$4&gt;=MONTH(S6),VLOOKUP(S6,'[8]Podklady MZ'!$R$2:$S$367,2,FALSE),NA())</f>
        <v>38.71826912537675</v>
      </c>
      <c r="V6" s="176">
        <f ca="1">INDEX([5]PT!$AF$16:$AF$381,DATE(2016,MONTH(S6),DAY(S6))-DATE(2016,1,1)+1,1)</f>
        <v>-0.1</v>
      </c>
      <c r="W6" s="176" t="e">
        <f ca="1"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 ca="1">INDEX([12]ČR!$D$18:$D$383,DATE(2016,MONTH(S7),DAY(S7))-DATE(2016,1,1)+1,1)/1000000</f>
        <v>31.17152473981665</v>
      </c>
      <c r="U7" s="77">
        <f ca="1">IF(T!$A$4&gt;=MONTH(S7),VLOOKUP(S7,'[8]Podklady MZ'!$R$2:$S$367,2,FALSE),NA())</f>
        <v>39.255939835613098</v>
      </c>
      <c r="V7" s="176">
        <f ca="1">INDEX([5]PT!$AF$16:$AF$381,DATE(2016,MONTH(S7),DAY(S7))-DATE(2016,1,1)+1,1)</f>
        <v>-3.6</v>
      </c>
      <c r="W7" s="176" t="e">
        <f ca="1"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 ca="1">INDEX([12]ČR!$D$18:$D$383,DATE(2016,MONTH(S8),DAY(S8))-DATE(2016,1,1)+1,1)/1000000</f>
        <v>30.816836681936199</v>
      </c>
      <c r="U8" s="77">
        <f ca="1">IF(T!$A$4&gt;=MONTH(S8),VLOOKUP(S8,'[8]Podklady MZ'!$R$2:$S$367,2,FALSE),NA())</f>
        <v>41.345389040398715</v>
      </c>
      <c r="V8" s="176">
        <f ca="1">INDEX([5]PT!$AF$16:$AF$381,DATE(2016,MONTH(S8),DAY(S8))-DATE(2016,1,1)+1,1)</f>
        <v>-3.6</v>
      </c>
      <c r="W8" s="176" t="e">
        <f ca="1"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 ca="1">INDEX([12]ČR!$D$18:$D$383,DATE(2016,MONTH(S9),DAY(S9))-DATE(2016,1,1)+1,1)/1000000</f>
        <v>30.577419431284611</v>
      </c>
      <c r="U9" s="77">
        <f ca="1">IF(T!$A$4&gt;=MONTH(S9),VLOOKUP(S9,'[8]Podklady MZ'!$R$2:$S$367,2,FALSE),NA())</f>
        <v>39.126477683777225</v>
      </c>
      <c r="V9" s="176">
        <f ca="1">INDEX([5]PT!$AF$16:$AF$381,DATE(2016,MONTH(S9),DAY(S9))-DATE(2016,1,1)+1,1)</f>
        <v>-0.6</v>
      </c>
      <c r="W9" s="176" t="e">
        <f ca="1"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 ca="1">INDEX([12]ČR!$D$18:$D$383,DATE(2016,MONTH(S10),DAY(S10))-DATE(2016,1,1)+1,1)/1000000</f>
        <v>30.77791814439302</v>
      </c>
      <c r="U10" s="77">
        <f ca="1">IF(T!$A$4&gt;=MONTH(S10),VLOOKUP(S10,'[8]Podklady MZ'!$R$2:$S$367,2,FALSE),NA())</f>
        <v>33.924466260058615</v>
      </c>
      <c r="V10" s="176">
        <f ca="1">INDEX([5]PT!$AF$16:$AF$381,DATE(2016,MONTH(S10),DAY(S10))-DATE(2016,1,1)+1,1)</f>
        <v>5.6</v>
      </c>
      <c r="W10" s="176" t="e">
        <f ca="1"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 ca="1">INDEX([12]ČR!$D$18:$D$383,DATE(2016,MONTH(S11),DAY(S11))-DATE(2016,1,1)+1,1)/1000000</f>
        <v>30.132613917439219</v>
      </c>
      <c r="U11" s="77">
        <f ca="1">IF(T!$A$4&gt;=MONTH(S11),VLOOKUP(S11,'[8]Podklady MZ'!$R$2:$S$367,2,FALSE),NA())</f>
        <v>26.684387110760138</v>
      </c>
      <c r="V11" s="176">
        <f ca="1">INDEX([5]PT!$AF$16:$AF$381,DATE(2016,MONTH(S11),DAY(S11))-DATE(2016,1,1)+1,1)</f>
        <v>11</v>
      </c>
      <c r="W11" s="176" t="e">
        <f ca="1"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 ca="1">INDEX([12]ČR!$D$18:$D$383,DATE(2016,MONTH(S12),DAY(S12))-DATE(2016,1,1)+1,1)/1000000</f>
        <v>28.231570981800594</v>
      </c>
      <c r="U12" s="77">
        <f ca="1">IF(T!$A$4&gt;=MONTH(S12),VLOOKUP(S12,'[8]Podklady MZ'!$R$2:$S$367,2,FALSE),NA())</f>
        <v>31.703477973309223</v>
      </c>
      <c r="V12" s="176">
        <f ca="1">INDEX([5]PT!$AF$16:$AF$381,DATE(2016,MONTH(S12),DAY(S12))-DATE(2016,1,1)+1,1)</f>
        <v>2.2999999999999998</v>
      </c>
      <c r="W12" s="176" t="e">
        <f ca="1"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 ca="1">INDEX([12]ČR!$D$18:$D$383,DATE(2016,MONTH(S13),DAY(S13))-DATE(2016,1,1)+1,1)/1000000</f>
        <v>31.152940276994567</v>
      </c>
      <c r="U13" s="77">
        <f ca="1">IF(T!$A$4&gt;=MONTH(S13),VLOOKUP(S13,'[8]Podklady MZ'!$R$2:$S$367,2,FALSE),NA())</f>
        <v>34.493693489259286</v>
      </c>
      <c r="V13" s="176">
        <f ca="1">INDEX([5]PT!$AF$16:$AF$381,DATE(2016,MONTH(S13),DAY(S13))-DATE(2016,1,1)+1,1)</f>
        <v>3.6</v>
      </c>
      <c r="W13" s="176" t="e">
        <f ca="1"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 ca="1">INDEX([12]ČR!$D$18:$D$383,DATE(2016,MONTH(S14),DAY(S14))-DATE(2016,1,1)+1,1)/1000000</f>
        <v>35.425663245407186</v>
      </c>
      <c r="U14" s="77">
        <f ca="1">IF(T!$A$4&gt;=MONTH(S14),VLOOKUP(S14,'[8]Podklady MZ'!$R$2:$S$367,2,FALSE),NA())</f>
        <v>31.606491980922041</v>
      </c>
      <c r="V14" s="176">
        <f ca="1">INDEX([5]PT!$AF$16:$AF$381,DATE(2016,MONTH(S14),DAY(S14))-DATE(2016,1,1)+1,1)</f>
        <v>4.4000000000000004</v>
      </c>
      <c r="W14" s="176" t="e">
        <f ca="1"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 ca="1">INDEX([12]ČR!$D$18:$D$383,DATE(2016,MONTH(S15),DAY(S15))-DATE(2016,1,1)+1,1)/1000000</f>
        <v>34.838520341589764</v>
      </c>
      <c r="U15" s="77">
        <f ca="1">IF(T!$A$4&gt;=MONTH(S15),VLOOKUP(S15,'[8]Podklady MZ'!$R$2:$S$367,2,FALSE),NA())</f>
        <v>32.53763604938851</v>
      </c>
      <c r="V15" s="176">
        <f ca="1">INDEX([5]PT!$AF$16:$AF$381,DATE(2016,MONTH(S15),DAY(S15))-DATE(2016,1,1)+1,1)</f>
        <v>3.9</v>
      </c>
      <c r="W15" s="176" t="e">
        <f ca="1"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 ca="1">INDEX([12]ČR!$D$18:$D$383,DATE(2016,MONTH(S16),DAY(S16))-DATE(2016,1,1)+1,1)/1000000</f>
        <v>34.682102113843577</v>
      </c>
      <c r="U16" s="77">
        <f ca="1">IF(T!$A$4&gt;=MONTH(S16),VLOOKUP(S16,'[8]Podklady MZ'!$R$2:$S$367,2,FALSE),NA())</f>
        <v>33.557131227489101</v>
      </c>
      <c r="V16" s="176">
        <f ca="1">INDEX([5]PT!$AF$16:$AF$381,DATE(2016,MONTH(S16),DAY(S16))-DATE(2016,1,1)+1,1)</f>
        <v>2</v>
      </c>
      <c r="W16" s="176" t="e">
        <f ca="1"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 ca="1">INDEX([12]ČR!$D$18:$D$383,DATE(2016,MONTH(S17),DAY(S17))-DATE(2016,1,1)+1,1)/1000000</f>
        <v>34.384923936924856</v>
      </c>
      <c r="U17" s="77">
        <f ca="1">IF(T!$A$4&gt;=MONTH(S17),VLOOKUP(S17,'[8]Podklady MZ'!$R$2:$S$367,2,FALSE),NA())</f>
        <v>31.887471148067611</v>
      </c>
      <c r="V17" s="176">
        <f ca="1">INDEX([5]PT!$AF$16:$AF$381,DATE(2016,MONTH(S17),DAY(S17))-DATE(2016,1,1)+1,1)</f>
        <v>2.7</v>
      </c>
      <c r="W17" s="176" t="e">
        <f ca="1"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 ca="1">INDEX([12]ČR!$D$18:$D$383,DATE(2016,MONTH(S18),DAY(S18))-DATE(2016,1,1)+1,1)/1000000</f>
        <v>32.004779962782678</v>
      </c>
      <c r="U18" s="77">
        <f ca="1">IF(T!$A$4&gt;=MONTH(S18),VLOOKUP(S18,'[8]Podklady MZ'!$R$2:$S$367,2,FALSE),NA())</f>
        <v>29.413626425814616</v>
      </c>
      <c r="V18" s="176">
        <f ca="1">INDEX([5]PT!$AF$16:$AF$381,DATE(2016,MONTH(S18),DAY(S18))-DATE(2016,1,1)+1,1)</f>
        <v>2.2000000000000002</v>
      </c>
      <c r="W18" s="176" t="e">
        <f ca="1"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 ca="1">INDEX([12]ČR!$D$18:$D$383,DATE(2016,MONTH(S19),DAY(S19))-DATE(2016,1,1)+1,1)/1000000</f>
        <v>28.838252436416099</v>
      </c>
      <c r="U19" s="77">
        <f ca="1">IF(T!$A$4&gt;=MONTH(S19),VLOOKUP(S19,'[8]Podklady MZ'!$R$2:$S$367,2,FALSE),NA())</f>
        <v>30.849765259316179</v>
      </c>
      <c r="V19" s="176">
        <f ca="1">INDEX([5]PT!$AF$16:$AF$381,DATE(2016,MONTH(S19),DAY(S19))-DATE(2016,1,1)+1,1)</f>
        <v>1.2</v>
      </c>
      <c r="W19" s="176" t="e">
        <f ca="1"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 ca="1">INDEX([12]ČR!$D$18:$D$383,DATE(2016,MONTH(S20),DAY(S20))-DATE(2016,1,1)+1,1)/1000000</f>
        <v>26.914539897812865</v>
      </c>
      <c r="U20" s="77">
        <f ca="1">IF(T!$A$4&gt;=MONTH(S20),VLOOKUP(S20,'[8]Podklady MZ'!$R$2:$S$367,2,FALSE),NA())</f>
        <v>36.90100471395121</v>
      </c>
      <c r="V20" s="176">
        <f ca="1">INDEX([5]PT!$AF$16:$AF$381,DATE(2016,MONTH(S20),DAY(S20))-DATE(2016,1,1)+1,1)</f>
        <v>0.7</v>
      </c>
      <c r="W20" s="176" t="e">
        <f ca="1"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 ca="1">INDEX([12]ČR!$D$18:$D$383,DATE(2016,MONTH(S21),DAY(S21))-DATE(2016,1,1)+1,1)/1000000</f>
        <v>30.805382238471903</v>
      </c>
      <c r="U21" s="77">
        <f ca="1">IF(T!$A$4&gt;=MONTH(S21),VLOOKUP(S21,'[8]Podklady MZ'!$R$2:$S$367,2,FALSE),NA())</f>
        <v>37.099908640861287</v>
      </c>
      <c r="V21" s="176">
        <f ca="1">INDEX([5]PT!$AF$16:$AF$381,DATE(2016,MONTH(S21),DAY(S21))-DATE(2016,1,1)+1,1)</f>
        <v>0.7</v>
      </c>
      <c r="W21" s="176" t="e">
        <f ca="1"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 ca="1">INDEX([12]ČR!$D$18:$D$383,DATE(2016,MONTH(S22),DAY(S22))-DATE(2016,1,1)+1,1)/1000000</f>
        <v>34.268652363794793</v>
      </c>
      <c r="U22" s="77">
        <f ca="1">IF(T!$A$4&gt;=MONTH(S22),VLOOKUP(S22,'[8]Podklady MZ'!$R$2:$S$367,2,FALSE),NA())</f>
        <v>37.194872700903773</v>
      </c>
      <c r="V22" s="176">
        <f ca="1">INDEX([5]PT!$AF$16:$AF$381,DATE(2016,MONTH(S22),DAY(S22))-DATE(2016,1,1)+1,1)</f>
        <v>1.2</v>
      </c>
      <c r="W22" s="176" t="e">
        <f ca="1"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 ca="1">INDEX([12]ČR!$D$18:$D$383,DATE(2016,MONTH(S23),DAY(S23))-DATE(2016,1,1)+1,1)/1000000</f>
        <v>36.969258318739719</v>
      </c>
      <c r="U23" s="77">
        <f ca="1">IF(T!$A$4&gt;=MONTH(S23),VLOOKUP(S23,'[8]Podklady MZ'!$R$2:$S$367,2,FALSE),NA())</f>
        <v>35.784854231467648</v>
      </c>
      <c r="V23" s="176">
        <f ca="1">INDEX([5]PT!$AF$16:$AF$381,DATE(2016,MONTH(S23),DAY(S23))-DATE(2016,1,1)+1,1)</f>
        <v>3.5</v>
      </c>
      <c r="W23" s="176" t="e">
        <f ca="1">IF(T!$A$4&lt;MONTH(S23),VLOOKUP(S23,'[8]Podklady MZ'!$R$2:$S$367,2,FALSE),NA())</f>
        <v>#N/A</v>
      </c>
    </row>
    <row r="24" spans="1:23" ht="15.75" x14ac:dyDescent="0.25">
      <c r="A24" s="894" t="s">
        <v>177</v>
      </c>
      <c r="B24" s="894"/>
      <c r="C24" s="894"/>
      <c r="D24" s="894"/>
      <c r="E24" s="894"/>
      <c r="F24" s="894"/>
      <c r="G24" s="894"/>
      <c r="H24" s="894"/>
      <c r="I24" s="894"/>
      <c r="J24" s="894"/>
      <c r="K24" s="894"/>
      <c r="L24" s="894"/>
      <c r="M24" s="894"/>
      <c r="N24" s="894"/>
      <c r="O24" s="894"/>
      <c r="P24" s="73"/>
      <c r="Q24" s="73"/>
      <c r="S24" s="76">
        <f t="shared" si="0"/>
        <v>42027</v>
      </c>
      <c r="T24" s="77">
        <f ca="1">INDEX([12]ČR!$D$18:$D$383,DATE(2016,MONTH(S24),DAY(S24))-DATE(2016,1,1)+1,1)/1000000</f>
        <v>39.515937993420224</v>
      </c>
      <c r="U24" s="77">
        <f ca="1">IF(T!$A$4&gt;=MONTH(S24),VLOOKUP(S24,'[8]Podklady MZ'!$R$2:$S$367,2,FALSE),NA())</f>
        <v>36.443515386851018</v>
      </c>
      <c r="V24" s="176">
        <f ca="1">INDEX([5]PT!$AF$16:$AF$381,DATE(2016,MONTH(S24),DAY(S24))-DATE(2016,1,1)+1,1)</f>
        <v>1.5</v>
      </c>
      <c r="W24" s="176" t="e">
        <f ca="1"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 ca="1">INDEX([12]ČR!$D$18:$D$383,DATE(2016,MONTH(S25),DAY(S25))-DATE(2016,1,1)+1,1)/1000000</f>
        <v>39.912823833141239</v>
      </c>
      <c r="U25" s="77">
        <f ca="1">IF(T!$A$4&gt;=MONTH(S25),VLOOKUP(S25,'[8]Podklady MZ'!$R$2:$S$367,2,FALSE),NA())</f>
        <v>33.255457453561711</v>
      </c>
      <c r="V25" s="176">
        <f ca="1">INDEX([5]PT!$AF$16:$AF$381,DATE(2016,MONTH(S25),DAY(S25))-DATE(2016,1,1)+1,1)</f>
        <v>-1.1000000000000001</v>
      </c>
      <c r="W25" s="176" t="e">
        <f ca="1"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 ca="1">INDEX([12]ČR!$D$18:$D$383,DATE(2016,MONTH(S26),DAY(S26))-DATE(2016,1,1)+1,1)/1000000</f>
        <v>41.907181763192099</v>
      </c>
      <c r="U26" s="77">
        <f ca="1">IF(T!$A$4&gt;=MONTH(S26),VLOOKUP(S26,'[8]Podklady MZ'!$R$2:$S$367,2,FALSE),NA())</f>
        <v>34.315673270230164</v>
      </c>
      <c r="V26" s="176">
        <f ca="1">INDEX([5]PT!$AF$16:$AF$381,DATE(2016,MONTH(S26),DAY(S26))-DATE(2016,1,1)+1,1)</f>
        <v>-0.2</v>
      </c>
      <c r="W26" s="176" t="e">
        <f ca="1">IF(T!$A$4&lt;MONTH(S26),VLOOKUP(S26,'[8]Podklady MZ'!$R$2:$S$367,2,FALSE),NA())</f>
        <v>#N/A</v>
      </c>
    </row>
    <row r="27" spans="1:23" ht="15" customHeight="1" x14ac:dyDescent="0.25">
      <c r="A27" s="897">
        <f>T!$I$21</f>
        <v>2015</v>
      </c>
      <c r="B27" s="895" t="s">
        <v>178</v>
      </c>
      <c r="C27" s="161" t="s">
        <v>47</v>
      </c>
      <c r="D27" s="184">
        <f ca="1">'[8]Podklady MZ'!D4</f>
        <v>34.88002079711061</v>
      </c>
      <c r="E27" s="185">
        <f ca="1">'[8]Podklady MZ'!E4</f>
        <v>35.352388987403877</v>
      </c>
      <c r="F27" s="185">
        <f ca="1">'[8]Podklady MZ'!F4</f>
        <v>27.920403884227461</v>
      </c>
      <c r="G27" s="185">
        <f ca="1">'[8]Podklady MZ'!G4</f>
        <v>20.760285538130443</v>
      </c>
      <c r="H27" s="185">
        <f ca="1">'[8]Podklady MZ'!H4</f>
        <v>13.057173413342767</v>
      </c>
      <c r="I27" s="185">
        <f ca="1">'[8]Podklady MZ'!I4</f>
        <v>10.480260882570418</v>
      </c>
      <c r="J27" s="185">
        <f ca="1">'[8]Podklady MZ'!J4</f>
        <v>9.6253675587711207</v>
      </c>
      <c r="K27" s="185">
        <f ca="1">'[8]Podklady MZ'!K4</f>
        <v>8.9519744586098362</v>
      </c>
      <c r="L27" s="185">
        <f ca="1">'[8]Podklady MZ'!L4</f>
        <v>11.765359870469158</v>
      </c>
      <c r="M27" s="185">
        <f ca="1">'[8]Podklady MZ'!M4</f>
        <v>22.334749879192866</v>
      </c>
      <c r="N27" s="185">
        <f ca="1">'[8]Podklady MZ'!N4</f>
        <v>26.13422482075471</v>
      </c>
      <c r="O27" s="186">
        <f ca="1">'[8]Podklady MZ'!O4</f>
        <v>34.838709677419359</v>
      </c>
      <c r="P27" s="73"/>
      <c r="Q27" s="73"/>
      <c r="S27" s="76">
        <f t="shared" si="0"/>
        <v>42030</v>
      </c>
      <c r="T27" s="77">
        <f ca="1">INDEX([12]ČR!$D$18:$D$383,DATE(2016,MONTH(S27),DAY(S27))-DATE(2016,1,1)+1,1)/1000000</f>
        <v>43.863809054503498</v>
      </c>
      <c r="U27" s="77">
        <f ca="1">IF(T!$A$4&gt;=MONTH(S27),VLOOKUP(S27,'[8]Podklady MZ'!$R$2:$S$367,2,FALSE),NA())</f>
        <v>37.706031532256496</v>
      </c>
      <c r="V27" s="176">
        <f ca="1">INDEX([5]PT!$AF$16:$AF$381,DATE(2016,MONTH(S27),DAY(S27))-DATE(2016,1,1)+1,1)</f>
        <v>-1</v>
      </c>
      <c r="W27" s="176" t="e">
        <f ca="1">IF(T!$A$4&lt;MONTH(S27),VLOOKUP(S27,'[8]Podklady MZ'!$R$2:$S$367,2,FALSE),NA())</f>
        <v>#N/A</v>
      </c>
    </row>
    <row r="28" spans="1:23" ht="15" customHeight="1" x14ac:dyDescent="0.2">
      <c r="A28" s="898"/>
      <c r="B28" s="896"/>
      <c r="C28" s="162" t="s">
        <v>16</v>
      </c>
      <c r="D28" s="187">
        <f ca="1">'[8]Podklady MZ'!D5</f>
        <v>370.73412690967734</v>
      </c>
      <c r="E28" s="188">
        <f ca="1">'[8]Podklady MZ'!E5</f>
        <v>375.90719064285713</v>
      </c>
      <c r="F28" s="188">
        <f ca="1">'[8]Podklady MZ'!F5</f>
        <v>296.83556915483865</v>
      </c>
      <c r="G28" s="188">
        <f ca="1">'[8]Podklady MZ'!G5</f>
        <v>220.87029000666678</v>
      </c>
      <c r="H28" s="188">
        <f ca="1">'[8]Podklady MZ'!H5</f>
        <v>139.74614178709678</v>
      </c>
      <c r="I28" s="188">
        <f ca="1">'[8]Podklady MZ'!I5</f>
        <v>112.2437871833333</v>
      </c>
      <c r="J28" s="188">
        <f ca="1">'[8]Podklady MZ'!J5</f>
        <v>102.78078850322584</v>
      </c>
      <c r="K28" s="188">
        <f ca="1">'[8]Podklady MZ'!K5</f>
        <v>95.903887767741921</v>
      </c>
      <c r="L28" s="188">
        <f ca="1">'[8]Podklady MZ'!L5</f>
        <v>125.85194273333333</v>
      </c>
      <c r="M28" s="188">
        <f ca="1">'[8]Podklady MZ'!M5</f>
        <v>238.55266933548384</v>
      </c>
      <c r="N28" s="188">
        <f ca="1">'[8]Podklady MZ'!N5</f>
        <v>277.02278310000003</v>
      </c>
      <c r="O28" s="189">
        <f ca="1">'[8]Podklady MZ'!O5</f>
        <v>370</v>
      </c>
      <c r="S28" s="76">
        <f t="shared" si="0"/>
        <v>42031</v>
      </c>
      <c r="T28" s="77">
        <f ca="1">INDEX([12]ČR!$D$18:$D$383,DATE(2016,MONTH(S28),DAY(S28))-DATE(2016,1,1)+1,1)/1000000</f>
        <v>44.959295144984566</v>
      </c>
      <c r="U28" s="77">
        <f ca="1">IF(T!$A$4&gt;=MONTH(S28),VLOOKUP(S28,'[8]Podklady MZ'!$R$2:$S$367,2,FALSE),NA())</f>
        <v>37.401552210421542</v>
      </c>
      <c r="V28" s="176">
        <f ca="1">INDEX([5]PT!$AF$16:$AF$381,DATE(2016,MONTH(S28),DAY(S28))-DATE(2016,1,1)+1,1)</f>
        <v>-0.1</v>
      </c>
      <c r="W28" s="176" t="e">
        <f ca="1">IF(T!$A$4&lt;MONTH(S28),VLOOKUP(S28,'[8]Podklady MZ'!$R$2:$S$367,2,FALSE),NA())</f>
        <v>#N/A</v>
      </c>
    </row>
    <row r="29" spans="1:23" ht="15" customHeight="1" x14ac:dyDescent="0.2">
      <c r="A29" s="898"/>
      <c r="B29" s="900" t="s">
        <v>120</v>
      </c>
      <c r="C29" s="159" t="s">
        <v>91</v>
      </c>
      <c r="D29" s="184">
        <f ca="1">'[8]Podklady MZ'!D6</f>
        <v>0.91219251430331394</v>
      </c>
      <c r="E29" s="185">
        <f ca="1">'[8]Podklady MZ'!E6</f>
        <v>1.3110234890123738</v>
      </c>
      <c r="F29" s="185">
        <f ca="1">'[8]Podklady MZ'!F6</f>
        <v>1.1251568759219512</v>
      </c>
      <c r="G29" s="185">
        <f ca="1">'[8]Podklady MZ'!G6</f>
        <v>1.2859358325557315</v>
      </c>
      <c r="H29" s="185">
        <f ca="1">'[8]Podklady MZ'!H6</f>
        <v>0.27227439236338308</v>
      </c>
      <c r="I29" s="185">
        <f ca="1">'[8]Podklady MZ'!I6</f>
        <v>0.16364182324992455</v>
      </c>
      <c r="J29" s="185">
        <f ca="1">'[8]Podklady MZ'!J6</f>
        <v>2.8467161555886154E-2</v>
      </c>
      <c r="K29" s="185">
        <f ca="1">'[8]Podklady MZ'!K6</f>
        <v>0.19659042148390893</v>
      </c>
      <c r="L29" s="185">
        <f ca="1">'[8]Podklady MZ'!L6</f>
        <v>0.42902119788235332</v>
      </c>
      <c r="M29" s="185">
        <f ca="1">'[8]Podklady MZ'!M6</f>
        <v>1.231784387523041</v>
      </c>
      <c r="N29" s="185">
        <f ca="1">'[8]Podklady MZ'!N6</f>
        <v>1.0870303669606713</v>
      </c>
      <c r="O29" s="186">
        <f ca="1">'[8]Podklady MZ'!O6</f>
        <v>1.48</v>
      </c>
      <c r="S29" s="76">
        <f t="shared" si="0"/>
        <v>42032</v>
      </c>
      <c r="T29" s="77">
        <f ca="1">INDEX([12]ČR!$D$18:$D$383,DATE(2016,MONTH(S29),DAY(S29))-DATE(2016,1,1)+1,1)/1000000</f>
        <v>42.900737261999915</v>
      </c>
      <c r="U29" s="77">
        <f ca="1">IF(T!$A$4&gt;=MONTH(S29),VLOOKUP(S29,'[8]Podklady MZ'!$R$2:$S$367,2,FALSE),NA())</f>
        <v>36.851973996198218</v>
      </c>
      <c r="V29" s="176">
        <f ca="1">INDEX([5]PT!$AF$16:$AF$381,DATE(2016,MONTH(S29),DAY(S29))-DATE(2016,1,1)+1,1)</f>
        <v>0.4</v>
      </c>
      <c r="W29" s="176" t="e">
        <f ca="1">IF(T!$A$4&lt;MONTH(S29),VLOOKUP(S29,'[8]Podklady MZ'!$R$2:$S$367,2,FALSE),NA())</f>
        <v>#N/A</v>
      </c>
    </row>
    <row r="30" spans="1:23" ht="15" customHeight="1" x14ac:dyDescent="0.2">
      <c r="A30" s="899"/>
      <c r="B30" s="901"/>
      <c r="C30" s="160" t="s">
        <v>183</v>
      </c>
      <c r="D30" s="187">
        <f ca="1">'[8]Podklady MZ'!D7</f>
        <v>9.6955474118236964</v>
      </c>
      <c r="E30" s="188">
        <f ca="1">'[8]Podklady MZ'!E7</f>
        <v>13.940307026974384</v>
      </c>
      <c r="F30" s="188">
        <f ca="1">'[8]Podklady MZ'!F7</f>
        <v>11.962097075588696</v>
      </c>
      <c r="G30" s="188">
        <f ca="1">'[8]Podklady MZ'!G7</f>
        <v>13.681171183550427</v>
      </c>
      <c r="H30" s="188">
        <f ca="1">'[8]Podklady MZ'!H7</f>
        <v>2.9140530370323043</v>
      </c>
      <c r="I30" s="188">
        <f ca="1">'[8]Podklady MZ'!I7</f>
        <v>1.7526069426100241</v>
      </c>
      <c r="J30" s="188">
        <f ca="1">'[8]Podklady MZ'!J7</f>
        <v>0.30397564490890416</v>
      </c>
      <c r="K30" s="188">
        <f ca="1">'[8]Podklady MZ'!K7</f>
        <v>2.106103609363259</v>
      </c>
      <c r="L30" s="188">
        <f ca="1">'[8]Podklady MZ'!L7</f>
        <v>4.5891627473969443</v>
      </c>
      <c r="M30" s="188">
        <f ca="1">'[8]Podklady MZ'!M7</f>
        <v>13.156424642263085</v>
      </c>
      <c r="N30" s="188">
        <f ca="1">'[8]Podklady MZ'!N7</f>
        <v>11.522521889783119</v>
      </c>
      <c r="O30" s="189">
        <f ca="1">'[8]Podklady MZ'!O7</f>
        <v>15.718148148148146</v>
      </c>
      <c r="S30" s="76">
        <f t="shared" si="0"/>
        <v>42033</v>
      </c>
      <c r="T30" s="77">
        <f ca="1">INDEX([12]ČR!$D$18:$D$383,DATE(2016,MONTH(S30),DAY(S30))-DATE(2016,1,1)+1,1)/1000000</f>
        <v>43.300079571630462</v>
      </c>
      <c r="U30" s="77">
        <f ca="1">IF(T!$A$4&gt;=MONTH(S30),VLOOKUP(S30,'[8]Podklady MZ'!$R$2:$S$367,2,FALSE),NA())</f>
        <v>36.422352732700475</v>
      </c>
      <c r="V30" s="176">
        <f ca="1">INDEX([5]PT!$AF$16:$AF$381,DATE(2016,MONTH(S30),DAY(S30))-DATE(2016,1,1)+1,1)</f>
        <v>0</v>
      </c>
      <c r="W30" s="176" t="e">
        <f ca="1">IF(T!$A$4&lt;MONTH(S30),VLOOKUP(S30,'[8]Podklady MZ'!$R$2:$S$367,2,FALSE),NA())</f>
        <v>#N/A</v>
      </c>
    </row>
    <row r="31" spans="1:23" ht="15" customHeight="1" x14ac:dyDescent="0.2">
      <c r="A31" s="903">
        <f>A27-1</f>
        <v>2014</v>
      </c>
      <c r="B31" s="905" t="s">
        <v>178</v>
      </c>
      <c r="C31" s="172" t="s">
        <v>179</v>
      </c>
      <c r="D31" s="165">
        <f ca="1">'[13]Podklady MZ'!D4</f>
        <v>34.426418786756024</v>
      </c>
      <c r="E31" s="166">
        <f ca="1">'[13]Podklady MZ'!E4</f>
        <v>31.969366569568837</v>
      </c>
      <c r="F31" s="166">
        <f ca="1">'[13]Podklady MZ'!F4</f>
        <v>24.143655429913611</v>
      </c>
      <c r="G31" s="166">
        <f ca="1">'[13]Podklady MZ'!G4</f>
        <v>17.799591482063381</v>
      </c>
      <c r="H31" s="166">
        <f ca="1">'[13]Podklady MZ'!H4</f>
        <v>14.029818022003704</v>
      </c>
      <c r="I31" s="166">
        <f ca="1">'[13]Podklady MZ'!I4</f>
        <v>10.296530917335085</v>
      </c>
      <c r="J31" s="166">
        <f ca="1">'[13]Podklady MZ'!J4</f>
        <v>9.8536517348819075</v>
      </c>
      <c r="K31" s="166">
        <f ca="1">'[13]Podklady MZ'!K4</f>
        <v>9.6812899388848699</v>
      </c>
      <c r="L31" s="166">
        <f ca="1">'[13]Podklady MZ'!L4</f>
        <v>12.15872859562001</v>
      </c>
      <c r="M31" s="166">
        <f ca="1">'[13]Podklady MZ'!M4</f>
        <v>18.278340649690602</v>
      </c>
      <c r="N31" s="166">
        <f ca="1">'[13]Podklady MZ'!N4</f>
        <v>25.565706350094761</v>
      </c>
      <c r="O31" s="167">
        <f ca="1">'[13]Podklady MZ'!O4</f>
        <v>31.866204963614152</v>
      </c>
      <c r="S31" s="76">
        <f t="shared" si="0"/>
        <v>42034</v>
      </c>
      <c r="T31" s="77">
        <f ca="1">INDEX([12]ČR!$D$18:$D$383,DATE(2016,MONTH(S31),DAY(S31))-DATE(2016,1,1)+1,1)/1000000</f>
        <v>42.101394085754599</v>
      </c>
      <c r="U31" s="77">
        <f ca="1">IF(T!$A$4&gt;=MONTH(S31),VLOOKUP(S31,'[8]Podklady MZ'!$R$2:$S$367,2,FALSE),NA())</f>
        <v>36.207908544785177</v>
      </c>
      <c r="V31" s="176">
        <f ca="1">INDEX([5]PT!$AF$16:$AF$381,DATE(2016,MONTH(S31),DAY(S31))-DATE(2016,1,1)+1,1)</f>
        <v>-0.4</v>
      </c>
      <c r="W31" s="176" t="e">
        <f ca="1">IF(T!$A$4&lt;MONTH(S31),VLOOKUP(S31,'[8]Podklady MZ'!$R$2:$S$367,2,FALSE),NA())</f>
        <v>#N/A</v>
      </c>
    </row>
    <row r="32" spans="1:23" ht="15" customHeight="1" x14ac:dyDescent="0.2">
      <c r="A32" s="903"/>
      <c r="B32" s="906"/>
      <c r="C32" s="163" t="s">
        <v>16</v>
      </c>
      <c r="D32" s="169">
        <f ca="1">'[13]Podklady MZ'!D5</f>
        <v>366.70694240674038</v>
      </c>
      <c r="E32" s="170">
        <f ca="1">'[13]Podklady MZ'!E5</f>
        <v>339.93743587233706</v>
      </c>
      <c r="F32" s="170">
        <f ca="1">'[13]Podklady MZ'!F5</f>
        <v>256.47298146433201</v>
      </c>
      <c r="G32" s="170">
        <f ca="1">'[13]Podklady MZ'!G5</f>
        <v>189.30613124016651</v>
      </c>
      <c r="H32" s="170">
        <f ca="1">'[13]Podklady MZ'!H5</f>
        <v>149.31306196781159</v>
      </c>
      <c r="I32" s="170">
        <f ca="1">'[13]Podklady MZ'!I5</f>
        <v>109.61034014534772</v>
      </c>
      <c r="J32" s="170">
        <f ca="1">'[13]Podklady MZ'!J5</f>
        <v>104.42863376725933</v>
      </c>
      <c r="K32" s="170">
        <f ca="1">'[13]Podklady MZ'!K5</f>
        <v>103.3116008201003</v>
      </c>
      <c r="L32" s="170">
        <f ca="1">'[13]Podklady MZ'!L5</f>
        <v>129.52152849227559</v>
      </c>
      <c r="M32" s="170">
        <f ca="1">'[13]Podklady MZ'!M5</f>
        <v>194.21809878892401</v>
      </c>
      <c r="N32" s="170">
        <f ca="1">'[13]Podklady MZ'!N5</f>
        <v>271.54852778688797</v>
      </c>
      <c r="O32" s="171">
        <f ca="1">'[13]Podklady MZ'!O5</f>
        <v>338.17047241786503</v>
      </c>
      <c r="S32" s="76">
        <f t="shared" si="0"/>
        <v>42035</v>
      </c>
      <c r="T32" s="77">
        <f ca="1">INDEX([12]ČR!$D$18:$D$383,DATE(2016,MONTH(S32),DAY(S32))-DATE(2016,1,1)+1,1)/1000000</f>
        <v>37.604357527995035</v>
      </c>
      <c r="U32" s="77">
        <f ca="1">IF(T!$A$4&gt;=MONTH(S32),VLOOKUP(S32,'[8]Podklady MZ'!$R$2:$S$367,2,FALSE),NA())</f>
        <v>34.216637130923509</v>
      </c>
      <c r="V32" s="176">
        <f ca="1">INDEX([5]PT!$AF$16:$AF$381,DATE(2016,MONTH(S32),DAY(S32))-DATE(2016,1,1)+1,1)</f>
        <v>-1.7</v>
      </c>
      <c r="W32" s="176" t="e">
        <f ca="1">IF(T!$A$4&lt;MONTH(S32),VLOOKUP(S32,'[8]Podklady MZ'!$R$2:$S$367,2,FALSE),NA())</f>
        <v>#N/A</v>
      </c>
    </row>
    <row r="33" spans="1:23" ht="15" customHeight="1" x14ac:dyDescent="0.2">
      <c r="A33" s="903"/>
      <c r="B33" s="907" t="s">
        <v>120</v>
      </c>
      <c r="C33" s="164" t="s">
        <v>180</v>
      </c>
      <c r="D33" s="165">
        <f ca="1">'[13]Podklady MZ'!D6</f>
        <v>1.5321804729824582</v>
      </c>
      <c r="E33" s="166">
        <f ca="1">'[13]Podklady MZ'!E6</f>
        <v>1.562740852404906</v>
      </c>
      <c r="F33" s="166">
        <f ca="1">'[13]Podklady MZ'!F6</f>
        <v>0.97956040953488865</v>
      </c>
      <c r="G33" s="166">
        <f ca="1">'[13]Podklady MZ'!G6</f>
        <v>1.1020731733440596</v>
      </c>
      <c r="H33" s="166">
        <f ca="1">'[13]Podklady MZ'!H6</f>
        <v>0.57410943884344612</v>
      </c>
      <c r="I33" s="166">
        <f ca="1">'[13]Podklady MZ'!I6</f>
        <v>0.13831682531817241</v>
      </c>
      <c r="J33" s="166">
        <f ca="1">'[13]Podklady MZ'!J6</f>
        <v>0.22886050046818632</v>
      </c>
      <c r="K33" s="166">
        <f ca="1">'[13]Podklady MZ'!K6</f>
        <v>0.32703314228528513</v>
      </c>
      <c r="L33" s="166">
        <f ca="1">'[13]Podklady MZ'!L6</f>
        <v>0.5537919709257193</v>
      </c>
      <c r="M33" s="166">
        <f ca="1">'[13]Podklady MZ'!M6</f>
        <v>1.2295590453146168</v>
      </c>
      <c r="N33" s="166">
        <f ca="1">'[13]Podklady MZ'!N6</f>
        <v>1.2210835941697429</v>
      </c>
      <c r="O33" s="167">
        <f ca="1">'[13]Podklady MZ'!O6</f>
        <v>1.285121574442708</v>
      </c>
      <c r="S33" s="76">
        <f t="shared" si="0"/>
        <v>42036</v>
      </c>
      <c r="T33" s="77">
        <f ca="1">INDEX([12]ČR!$D$18:$D$383,DATE(2016,MONTH(S33),DAY(S33))-DATE(2016,1,1)+1,1)/1000000</f>
        <v>35.40180564039769</v>
      </c>
      <c r="U33" s="77">
        <f ca="1">IF(T!$A$4&gt;=MONTH(S33),VLOOKUP(S33,'[8]Podklady MZ'!$R$2:$S$367,2,FALSE),NA())</f>
        <v>34.443999782272932</v>
      </c>
      <c r="V33" s="176">
        <f ca="1">INDEX([5]PT!$AF$16:$AF$381,DATE(2016,MONTH(S33),DAY(S33))-DATE(2016,1,1)+1,1)</f>
        <v>-1.4</v>
      </c>
      <c r="W33" s="176" t="e">
        <f ca="1">IF(T!$A$4&lt;MONTH(S33),VLOOKUP(S33,'[8]Podklady MZ'!$R$2:$S$367,2,FALSE),NA())</f>
        <v>#N/A</v>
      </c>
    </row>
    <row r="34" spans="1:23" ht="15" customHeight="1" x14ac:dyDescent="0.2">
      <c r="A34" s="904"/>
      <c r="B34" s="908"/>
      <c r="C34" s="168" t="s">
        <v>183</v>
      </c>
      <c r="D34" s="169">
        <f ca="1">'[13]Podklady MZ'!D7</f>
        <v>16.320640841064211</v>
      </c>
      <c r="E34" s="170">
        <f ca="1">'[13]Podklady MZ'!E7</f>
        <v>16.616973537572306</v>
      </c>
      <c r="F34" s="170">
        <f ca="1">'[13]Podklady MZ'!F7</f>
        <v>10.40566452280312</v>
      </c>
      <c r="G34" s="170">
        <f ca="1">'[13]Podklady MZ'!G7</f>
        <v>11.721011069246879</v>
      </c>
      <c r="H34" s="170">
        <f ca="1">'[13]Podklady MZ'!H7</f>
        <v>6.1099893158909557</v>
      </c>
      <c r="I34" s="170">
        <f ca="1">'[13]Podklady MZ'!I7</f>
        <v>1.4724332294700115</v>
      </c>
      <c r="J34" s="170">
        <f ca="1">'[13]Podklady MZ'!J7</f>
        <v>2.4254550526257601</v>
      </c>
      <c r="K34" s="170">
        <f ca="1">'[13]Podklady MZ'!K7</f>
        <v>3.489856998809405</v>
      </c>
      <c r="L34" s="170">
        <f ca="1">'[13]Podklady MZ'!L7</f>
        <v>5.8992995835837538</v>
      </c>
      <c r="M34" s="170">
        <f ca="1">'[13]Podklady MZ'!M7</f>
        <v>13.064786607627402</v>
      </c>
      <c r="N34" s="170">
        <f ca="1">'[13]Podklady MZ'!N7</f>
        <v>12.969852964781724</v>
      </c>
      <c r="O34" s="171">
        <f ca="1">'[13]Podklady MZ'!O7</f>
        <v>13.637964434105347</v>
      </c>
      <c r="S34" s="76">
        <f t="shared" si="0"/>
        <v>42037</v>
      </c>
      <c r="T34" s="77">
        <f ca="1">INDEX([12]ČR!$D$18:$D$383,DATE(2016,MONTH(S34),DAY(S34))-DATE(2016,1,1)+1,1)/1000000</f>
        <v>36.256133201110949</v>
      </c>
      <c r="U34" s="77">
        <f ca="1">IF(T!$A$4&gt;=MONTH(S34),VLOOKUP(S34,'[8]Podklady MZ'!$R$2:$S$367,2,FALSE),NA())</f>
        <v>37.810030602166719</v>
      </c>
      <c r="V34" s="176">
        <f ca="1">INDEX([5]PT!$AF$16:$AF$381,DATE(2016,MONTH(S34),DAY(S34))-DATE(2016,1,1)+1,1)</f>
        <v>-1.6</v>
      </c>
      <c r="W34" s="176" t="e">
        <f ca="1"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 ca="1">INDEX([12]ČR!$D$18:$D$383,DATE(2016,MONTH(S35),DAY(S35))-DATE(2016,1,1)+1,1)/1000000</f>
        <v>38.572839522920816</v>
      </c>
      <c r="U35" s="77">
        <f ca="1">IF(T!$A$4&gt;=MONTH(S35),VLOOKUP(S35,'[8]Podklady MZ'!$R$2:$S$367,2,FALSE),NA())</f>
        <v>40.079616216670246</v>
      </c>
      <c r="V35" s="176">
        <f ca="1">INDEX([5]PT!$AF$16:$AF$381,DATE(2016,MONTH(S35),DAY(S35))-DATE(2016,1,1)+1,1)</f>
        <v>-2.5</v>
      </c>
      <c r="W35" s="176" t="e">
        <f ca="1"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 ca="1">INDEX([12]ČR!$D$18:$D$383,DATE(2016,MONTH(S36),DAY(S36))-DATE(2016,1,1)+1,1)/1000000</f>
        <v>38.774449049186302</v>
      </c>
      <c r="U36" s="77">
        <f ca="1">IF(T!$A$4&gt;=MONTH(S36),VLOOKUP(S36,'[8]Podklady MZ'!$R$2:$S$367,2,FALSE),NA())</f>
        <v>41.461490277269561</v>
      </c>
      <c r="V36" s="176">
        <f ca="1">INDEX([5]PT!$AF$16:$AF$381,DATE(2016,MONTH(S36),DAY(S36))-DATE(2016,1,1)+1,1)</f>
        <v>-2.9</v>
      </c>
      <c r="W36" s="176" t="e">
        <f ca="1"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 ca="1">INDEX([12]ČR!$D$18:$D$383,DATE(2016,MONTH(S37),DAY(S37))-DATE(2016,1,1)+1,1)/1000000</f>
        <v>38.146355387707018</v>
      </c>
      <c r="U37" s="77">
        <f ca="1">IF(T!$A$4&gt;=MONTH(S37),VLOOKUP(S37,'[8]Podklady MZ'!$R$2:$S$367,2,FALSE),NA())</f>
        <v>42.621557004484409</v>
      </c>
      <c r="V37" s="176">
        <f ca="1">INDEX([5]PT!$AF$16:$AF$381,DATE(2016,MONTH(S37),DAY(S37))-DATE(2016,1,1)+1,1)</f>
        <v>-3.4</v>
      </c>
      <c r="W37" s="176" t="e">
        <f ca="1">IF(T!$A$4&lt;MONTH(S37),VLOOKUP(S37,'[8]Podklady MZ'!$R$2:$S$367,2,FALSE),NA())</f>
        <v>#N/A</v>
      </c>
    </row>
    <row r="38" spans="1:23" ht="12.95" customHeight="1" x14ac:dyDescent="0.2">
      <c r="A38" s="902" t="s">
        <v>289</v>
      </c>
      <c r="B38" s="902"/>
      <c r="C38" s="902"/>
      <c r="D38" s="902"/>
      <c r="E38" s="902"/>
      <c r="F38" s="902"/>
      <c r="G38" s="902"/>
      <c r="H38" s="902"/>
      <c r="I38" s="902"/>
      <c r="J38" s="902"/>
      <c r="K38" s="902"/>
      <c r="L38" s="902"/>
      <c r="M38" s="902"/>
      <c r="N38" s="902"/>
      <c r="O38" s="902"/>
      <c r="S38" s="76">
        <f t="shared" si="0"/>
        <v>42041</v>
      </c>
      <c r="T38" s="77">
        <f ca="1">INDEX([12]ČR!$D$18:$D$383,DATE(2016,MONTH(S38),DAY(S38))-DATE(2016,1,1)+1,1)/1000000</f>
        <v>35.601336772849407</v>
      </c>
      <c r="U38" s="77">
        <f ca="1">IF(T!$A$4&gt;=MONTH(S38),VLOOKUP(S38,'[8]Podklady MZ'!$R$2:$S$367,2,FALSE),NA())</f>
        <v>41.002694837526164</v>
      </c>
      <c r="V38" s="176">
        <f ca="1">INDEX([5]PT!$AF$16:$AF$381,DATE(2016,MONTH(S38),DAY(S38))-DATE(2016,1,1)+1,1)</f>
        <v>-3.9</v>
      </c>
      <c r="W38" s="176" t="e">
        <f ca="1">IF(T!$A$4&lt;MONTH(S38),VLOOKUP(S38,'[8]Podklady MZ'!$R$2:$S$367,2,FALSE),NA())</f>
        <v>#N/A</v>
      </c>
    </row>
    <row r="39" spans="1:23" ht="12.95" customHeight="1" x14ac:dyDescent="0.2">
      <c r="A39" s="902"/>
      <c r="B39" s="902"/>
      <c r="C39" s="902"/>
      <c r="D39" s="902"/>
      <c r="E39" s="902"/>
      <c r="F39" s="902"/>
      <c r="G39" s="640"/>
      <c r="H39" s="640"/>
      <c r="I39" s="47"/>
      <c r="J39" s="68"/>
      <c r="K39" s="68"/>
      <c r="S39" s="76">
        <f t="shared" si="0"/>
        <v>42042</v>
      </c>
      <c r="T39" s="77">
        <f ca="1">INDEX([12]ČR!$D$18:$D$383,DATE(2016,MONTH(S39),DAY(S39))-DATE(2016,1,1)+1,1)/1000000</f>
        <v>34.086895744836866</v>
      </c>
      <c r="U39" s="77">
        <f ca="1">IF(T!$A$4&gt;=MONTH(S39),VLOOKUP(S39,'[8]Podklady MZ'!$R$2:$S$367,2,FALSE),NA())</f>
        <v>36.310293564588683</v>
      </c>
      <c r="V39" s="176">
        <f ca="1">INDEX([5]PT!$AF$16:$AF$381,DATE(2016,MONTH(S39),DAY(S39))-DATE(2016,1,1)+1,1)</f>
        <v>-3.7</v>
      </c>
      <c r="W39" s="176" t="e">
        <f ca="1"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 ca="1">INDEX([12]ČR!$D$18:$D$383,DATE(2016,MONTH(S40),DAY(S40))-DATE(2016,1,1)+1,1)/1000000</f>
        <v>28.27191480409385</v>
      </c>
      <c r="U40" s="77">
        <f ca="1">IF(T!$A$4&gt;=MONTH(S40),VLOOKUP(S40,'[8]Podklady MZ'!$R$2:$S$367,2,FALSE),NA())</f>
        <v>37.694738891570495</v>
      </c>
      <c r="V40" s="176">
        <f ca="1">INDEX([5]PT!$AF$16:$AF$381,DATE(2016,MONTH(S40),DAY(S40))-DATE(2016,1,1)+1,1)</f>
        <v>-2.2999999999999998</v>
      </c>
      <c r="W40" s="176" t="e">
        <f ca="1"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 ca="1">INDEX([12]ČR!$D$18:$D$383,DATE(2016,MONTH(S41),DAY(S41))-DATE(2016,1,1)+1,1)/1000000</f>
        <v>30.067092573339991</v>
      </c>
      <c r="U41" s="77">
        <f ca="1">IF(T!$A$4&gt;=MONTH(S41),VLOOKUP(S41,'[8]Podklady MZ'!$R$2:$S$367,2,FALSE),NA())</f>
        <v>39.125366627788033</v>
      </c>
      <c r="V41" s="176">
        <f ca="1">INDEX([5]PT!$AF$16:$AF$381,DATE(2016,MONTH(S41),DAY(S41))-DATE(2016,1,1)+1,1)</f>
        <v>0.4</v>
      </c>
      <c r="W41" s="176" t="e">
        <f ca="1"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 ca="1">INDEX([12]ČR!$D$18:$D$383,DATE(2016,MONTH(S42),DAY(S42))-DATE(2016,1,1)+1,1)/1000000</f>
        <v>32.448626975947981</v>
      </c>
      <c r="U42" s="77">
        <f ca="1">IF(T!$A$4&gt;=MONTH(S42),VLOOKUP(S42,'[8]Podklady MZ'!$R$2:$S$367,2,FALSE),NA())</f>
        <v>35.860134716284335</v>
      </c>
      <c r="V42" s="176">
        <f ca="1">INDEX([5]PT!$AF$16:$AF$381,DATE(2016,MONTH(S42),DAY(S42))-DATE(2016,1,1)+1,1)</f>
        <v>2.4</v>
      </c>
      <c r="W42" s="176" t="e">
        <f ca="1"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 ca="1">INDEX([12]ČR!$D$18:$D$383,DATE(2016,MONTH(S43),DAY(S43))-DATE(2016,1,1)+1,1)/1000000</f>
        <v>32.699052033250474</v>
      </c>
      <c r="U43" s="77">
        <f ca="1">IF(T!$A$4&gt;=MONTH(S43),VLOOKUP(S43,'[8]Podklady MZ'!$R$2:$S$367,2,FALSE),NA())</f>
        <v>35.500375108909473</v>
      </c>
      <c r="V43" s="176">
        <f ca="1">INDEX([5]PT!$AF$16:$AF$381,DATE(2016,MONTH(S43),DAY(S43))-DATE(2016,1,1)+1,1)</f>
        <v>0.8</v>
      </c>
      <c r="W43" s="176" t="e">
        <f ca="1"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 ca="1">INDEX([12]ČR!$D$18:$D$383,DATE(2016,MONTH(S44),DAY(S44))-DATE(2016,1,1)+1,1)/1000000</f>
        <v>34.882585752032831</v>
      </c>
      <c r="U44" s="77">
        <f ca="1">IF(T!$A$4&gt;=MONTH(S44),VLOOKUP(S44,'[8]Podklady MZ'!$R$2:$S$367,2,FALSE),NA())</f>
        <v>35.94283126686328</v>
      </c>
      <c r="V44" s="176">
        <f ca="1">INDEX([5]PT!$AF$16:$AF$381,DATE(2016,MONTH(S44),DAY(S44))-DATE(2016,1,1)+1,1)</f>
        <v>0.6</v>
      </c>
      <c r="W44" s="176" t="e">
        <f ca="1"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 ca="1">INDEX([12]ČR!$D$18:$D$383,DATE(2016,MONTH(S45),DAY(S45))-DATE(2016,1,1)+1,1)/1000000</f>
        <v>33.101919421790853</v>
      </c>
      <c r="U45" s="77">
        <f ca="1">IF(T!$A$4&gt;=MONTH(S45),VLOOKUP(S45,'[8]Podklady MZ'!$R$2:$S$367,2,FALSE),NA())</f>
        <v>35.457735692935167</v>
      </c>
      <c r="V45" s="176">
        <f ca="1">INDEX([5]PT!$AF$16:$AF$381,DATE(2016,MONTH(S45),DAY(S45))-DATE(2016,1,1)+1,1)</f>
        <v>-0.1</v>
      </c>
      <c r="W45" s="176" t="e">
        <f ca="1"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 ca="1">INDEX([12]ČR!$D$18:$D$383,DATE(2016,MONTH(S46),DAY(S46))-DATE(2016,1,1)+1,1)/1000000</f>
        <v>31.440608091089793</v>
      </c>
      <c r="U46" s="77">
        <f ca="1">IF(T!$A$4&gt;=MONTH(S46),VLOOKUP(S46,'[8]Podklady MZ'!$R$2:$S$367,2,FALSE),NA())</f>
        <v>32.32461074416856</v>
      </c>
      <c r="V46" s="176">
        <f ca="1">INDEX([5]PT!$AF$16:$AF$381,DATE(2016,MONTH(S46),DAY(S46))-DATE(2016,1,1)+1,1)</f>
        <v>0.7</v>
      </c>
      <c r="W46" s="176" t="e">
        <f ca="1"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 ca="1">INDEX([12]ČR!$D$18:$D$383,DATE(2016,MONTH(S47),DAY(S47))-DATE(2016,1,1)+1,1)/1000000</f>
        <v>28.101454696781424</v>
      </c>
      <c r="U47" s="77">
        <f ca="1">IF(T!$A$4&gt;=MONTH(S47),VLOOKUP(S47,'[8]Podklady MZ'!$R$2:$S$367,2,FALSE),NA())</f>
        <v>31.653059206051871</v>
      </c>
      <c r="V47" s="176">
        <f ca="1">INDEX([5]PT!$AF$16:$AF$381,DATE(2016,MONTH(S47),DAY(S47))-DATE(2016,1,1)+1,1)</f>
        <v>2.2999999999999998</v>
      </c>
      <c r="W47" s="176" t="e">
        <f ca="1"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 ca="1">INDEX([12]ČR!$D$18:$D$383,DATE(2016,MONTH(S48),DAY(S48))-DATE(2016,1,1)+1,1)/1000000</f>
        <v>29.299297569510962</v>
      </c>
      <c r="U48" s="77">
        <f ca="1">IF(T!$A$4&gt;=MONTH(S48),VLOOKUP(S48,'[8]Podklady MZ'!$R$2:$S$367,2,FALSE),NA())</f>
        <v>35.010214404985817</v>
      </c>
      <c r="V48" s="176">
        <f ca="1">INDEX([5]PT!$AF$16:$AF$381,DATE(2016,MONTH(S48),DAY(S48))-DATE(2016,1,1)+1,1)</f>
        <v>0.8</v>
      </c>
      <c r="W48" s="176" t="e">
        <f ca="1"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 ca="1">INDEX([12]ČR!$D$18:$D$383,DATE(2016,MONTH(S49),DAY(S49))-DATE(2016,1,1)+1,1)/1000000</f>
        <v>30.772013046219641</v>
      </c>
      <c r="U49" s="77">
        <f ca="1">IF(T!$A$4&gt;=MONTH(S49),VLOOKUP(S49,'[8]Podklady MZ'!$R$2:$S$367,2,FALSE),NA())</f>
        <v>36.27382433829149</v>
      </c>
      <c r="V49" s="176">
        <f ca="1">INDEX([5]PT!$AF$16:$AF$381,DATE(2016,MONTH(S49),DAY(S49))-DATE(2016,1,1)+1,1)</f>
        <v>-0.2</v>
      </c>
      <c r="W49" s="176" t="e">
        <f ca="1"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 ca="1">INDEX([12]ČR!$D$18:$D$383,DATE(2016,MONTH(S50),DAY(S50))-DATE(2016,1,1)+1,1)/1000000</f>
        <v>31.843277658628132</v>
      </c>
      <c r="U50" s="77">
        <f ca="1">IF(T!$A$4&gt;=MONTH(S50),VLOOKUP(S50,'[8]Podklady MZ'!$R$2:$S$367,2,FALSE),NA())</f>
        <v>36.879590118145963</v>
      </c>
      <c r="V50" s="176">
        <f ca="1">INDEX([5]PT!$AF$16:$AF$381,DATE(2016,MONTH(S50),DAY(S50))-DATE(2016,1,1)+1,1)</f>
        <v>-0.3</v>
      </c>
      <c r="W50" s="176" t="e">
        <f ca="1"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 ca="1">INDEX([12]ČR!$D$18:$D$383,DATE(2016,MONTH(S51),DAY(S51))-DATE(2016,1,1)+1,1)/1000000</f>
        <v>30.934519984747681</v>
      </c>
      <c r="U51" s="77">
        <f ca="1">IF(T!$A$4&gt;=MONTH(S51),VLOOKUP(S51,'[8]Podklady MZ'!$R$2:$S$367,2,FALSE),NA())</f>
        <v>36.528261146452671</v>
      </c>
      <c r="V51" s="176">
        <f ca="1">INDEX([5]PT!$AF$16:$AF$381,DATE(2016,MONTH(S51),DAY(S51))-DATE(2016,1,1)+1,1)</f>
        <v>-0.6</v>
      </c>
      <c r="W51" s="176" t="e">
        <f ca="1"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 ca="1">INDEX([12]ČR!$D$18:$D$383,DATE(2016,MONTH(S52),DAY(S52))-DATE(2016,1,1)+1,1)/1000000</f>
        <v>29.665237368062613</v>
      </c>
      <c r="U52" s="77">
        <f ca="1">IF(T!$A$4&gt;=MONTH(S52),VLOOKUP(S52,'[8]Podklady MZ'!$R$2:$S$367,2,FALSE),NA())</f>
        <v>33.703544034626219</v>
      </c>
      <c r="V52" s="176">
        <f ca="1">INDEX([5]PT!$AF$16:$AF$381,DATE(2016,MONTH(S52),DAY(S52))-DATE(2016,1,1)+1,1)</f>
        <v>1.2</v>
      </c>
      <c r="W52" s="176" t="e">
        <f ca="1"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 ca="1">INDEX([12]ČR!$D$18:$D$383,DATE(2016,MONTH(S53),DAY(S53))-DATE(2016,1,1)+1,1)/1000000</f>
        <v>28.690933982194814</v>
      </c>
      <c r="U53" s="77">
        <f ca="1">IF(T!$A$4&gt;=MONTH(S53),VLOOKUP(S53,'[8]Podklady MZ'!$R$2:$S$367,2,FALSE),NA())</f>
        <v>29.747995538224668</v>
      </c>
      <c r="V53" s="176">
        <f ca="1">INDEX([5]PT!$AF$16:$AF$381,DATE(2016,MONTH(S53),DAY(S53))-DATE(2016,1,1)+1,1)</f>
        <v>2</v>
      </c>
      <c r="W53" s="176" t="e">
        <f ca="1"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 ca="1">INDEX([12]ČR!$D$18:$D$383,DATE(2016,MONTH(S54),DAY(S54))-DATE(2016,1,1)+1,1)/1000000</f>
        <v>26.488220342388296</v>
      </c>
      <c r="U54" s="77">
        <f ca="1">IF(T!$A$4&gt;=MONTH(S54),VLOOKUP(S54,'[8]Podklady MZ'!$R$2:$S$367,2,FALSE),NA())</f>
        <v>30.593376885161437</v>
      </c>
      <c r="V54" s="176">
        <f ca="1">INDEX([5]PT!$AF$16:$AF$381,DATE(2016,MONTH(S54),DAY(S54))-DATE(2016,1,1)+1,1)</f>
        <v>2</v>
      </c>
      <c r="W54" s="176" t="e">
        <f ca="1"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 ca="1">INDEX([12]ČR!$D$18:$D$383,DATE(2016,MONTH(S55),DAY(S55))-DATE(2016,1,1)+1,1)/1000000</f>
        <v>27.234455430524132</v>
      </c>
      <c r="U55" s="77">
        <f ca="1">IF(T!$A$4&gt;=MONTH(S55),VLOOKUP(S55,'[8]Podklady MZ'!$R$2:$S$367,2,FALSE),NA())</f>
        <v>33.462862272904239</v>
      </c>
      <c r="V55" s="176">
        <f ca="1">INDEX([5]PT!$AF$16:$AF$381,DATE(2016,MONTH(S55),DAY(S55))-DATE(2016,1,1)+1,1)</f>
        <v>3.1</v>
      </c>
      <c r="W55" s="176" t="e">
        <f ca="1"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 ca="1">INDEX([12]ČR!$D$18:$D$383,DATE(2016,MONTH(S56),DAY(S56))-DATE(2016,1,1)+1,1)/1000000</f>
        <v>29.906002272638524</v>
      </c>
      <c r="U56" s="77">
        <f ca="1">IF(T!$A$4&gt;=MONTH(S56),VLOOKUP(S56,'[8]Podklady MZ'!$R$2:$S$367,2,FALSE),NA())</f>
        <v>32.092613243413886</v>
      </c>
      <c r="V56" s="176">
        <f ca="1">INDEX([5]PT!$AF$16:$AF$381,DATE(2016,MONTH(S56),DAY(S56))-DATE(2016,1,1)+1,1)</f>
        <v>3.7</v>
      </c>
      <c r="W56" s="176" t="e">
        <f ca="1"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 ca="1">INDEX([12]ČR!$D$18:$D$383,DATE(2016,MONTH(S57),DAY(S57))-DATE(2016,1,1)+1,1)/1000000</f>
        <v>31.25101908209286</v>
      </c>
      <c r="U57" s="77">
        <f ca="1">IF(T!$A$4&gt;=MONTH(S57),VLOOKUP(S57,'[8]Podklady MZ'!$R$2:$S$367,2,FALSE),NA())</f>
        <v>33.199114901346874</v>
      </c>
      <c r="V57" s="176">
        <f ca="1">INDEX([5]PT!$AF$16:$AF$381,DATE(2016,MONTH(S57),DAY(S57))-DATE(2016,1,1)+1,1)</f>
        <v>2.4</v>
      </c>
      <c r="W57" s="176" t="e">
        <f ca="1"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 ca="1">INDEX([12]ČR!$D$18:$D$383,DATE(2016,MONTH(S58),DAY(S58))-DATE(2016,1,1)+1,1)/1000000</f>
        <v>30.588975385689579</v>
      </c>
      <c r="U58" s="77">
        <f ca="1">IF(T!$A$4&gt;=MONTH(S58),VLOOKUP(S58,'[8]Podklady MZ'!$R$2:$S$367,2,FALSE),NA())</f>
        <v>33.339268505793576</v>
      </c>
      <c r="V58" s="176">
        <f ca="1">INDEX([5]PT!$AF$16:$AF$381,DATE(2016,MONTH(S58),DAY(S58))-DATE(2016,1,1)+1,1)</f>
        <v>2</v>
      </c>
      <c r="W58" s="176" t="e">
        <f ca="1"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 ca="1">INDEX([12]ČR!$D$18:$D$383,DATE(2016,MONTH(S59),DAY(S59))-DATE(2016,1,1)+1,1)/1000000</f>
        <v>30.438781690691069</v>
      </c>
      <c r="U59" s="77">
        <f ca="1">IF(T!$A$4&gt;=MONTH(S59),VLOOKUP(S59,'[8]Podklady MZ'!$R$2:$S$367,2,FALSE),NA())</f>
        <v>32.085560383060248</v>
      </c>
      <c r="V59" s="176">
        <f ca="1">INDEX([5]PT!$AF$16:$AF$381,DATE(2016,MONTH(S59),DAY(S59))-DATE(2016,1,1)+1,1)</f>
        <v>2.5</v>
      </c>
      <c r="W59" s="176" t="e">
        <f ca="1"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 ca="1">INDEX([12]ČR!$D$18:$D$383,DATE(2016,MONTH(S60),DAY(S60))-DATE(2016,1,1)+1,1)/1000000</f>
        <v>30.176460467202809</v>
      </c>
      <c r="U60" s="77">
        <f ca="1">IF(T!$A$4&gt;=MONTH(S60),VLOOKUP(S60,'[8]Podklady MZ'!$R$2:$S$367,2,FALSE),NA())</f>
        <v>29.662131335351482</v>
      </c>
      <c r="V60" s="176">
        <f ca="1">INDEX([5]PT!$AF$16:$AF$381,DATE(2016,MONTH(S60),DAY(S60))-DATE(2016,1,1)+1,1)</f>
        <v>2.2000000000000002</v>
      </c>
      <c r="W60" s="176" t="e">
        <f ca="1"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 ca="1">INDEX([12]ČR!$D$18:$D$383,DATE(2016,MONTH(S61),DAY(S61))-DATE(2016,1,1)+1,1)/1000000</f>
        <v>26.972210961170788</v>
      </c>
      <c r="U61" s="77">
        <f ca="1">IF(T!$A$4&gt;=MONTH(S61),VLOOKUP(S61,'[8]Podklady MZ'!$R$2:$S$367,2,FALSE),NA())</f>
        <v>30.248075103459318</v>
      </c>
      <c r="V61" s="176">
        <f ca="1">INDEX([5]PT!$AF$16:$AF$381,DATE(2016,MONTH(S61),DAY(S61))-DATE(2016,1,1)+1,1)</f>
        <v>2.7</v>
      </c>
      <c r="W61" s="176" t="e">
        <f ca="1"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 ca="1">INDEX([12]ČR!$D$18:$D$383,DATE(2016,MONTH(S62),DAY(S62))-DATE(2016,1,1)+1,1)/1000000</f>
        <v>25.663281690544249</v>
      </c>
      <c r="U62" s="77">
        <f ca="1">IF(T!$A$4&gt;=MONTH(S62),VLOOKUP(S62,'[8]Podklady MZ'!$R$2:$S$367,2,FALSE),NA())</f>
        <v>32.156299075508116</v>
      </c>
      <c r="V62" s="176">
        <f ca="1">INDEX([5]PT!$AF$16:$AF$381,DATE(2016,MONTH(S62),DAY(S62))-DATE(2016,1,1)+1,1)</f>
        <v>3.8</v>
      </c>
      <c r="W62" s="176" t="e">
        <f ca="1"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 ca="1">INDEX([12]ČR!$D$18:$D$383,DATE(2016,MONTH(S63),DAY(S63))-DATE(2016,1,1)+1,1)/1000000</f>
        <v>29.095378971123555</v>
      </c>
      <c r="U63" s="77">
        <f ca="1">IF(T!$A$4&gt;=MONTH(S63),VLOOKUP(S63,'[8]Podklady MZ'!$R$2:$S$367,2,FALSE),NA())</f>
        <v>32.090406012723975</v>
      </c>
      <c r="V63" s="176">
        <f ca="1">INDEX([5]PT!$AF$16:$AF$381,DATE(2016,MONTH(S63),DAY(S63))-DATE(2016,1,1)+1,1)</f>
        <v>2.7</v>
      </c>
      <c r="W63" s="176" t="e">
        <f ca="1"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 ca="1">INDEX([12]ČR!$D$18:$D$383,DATE(2016,MONTH(S64),DAY(S64))-DATE(2016,1,1)+1,1)/1000000</f>
        <v>28.783560334980706</v>
      </c>
      <c r="U64" s="77">
        <f ca="1">IF(T!$A$4&gt;=MONTH(S64),VLOOKUP(S64,'[8]Podklady MZ'!$R$2:$S$367,2,FALSE),NA())</f>
        <v>32.451208446596773</v>
      </c>
      <c r="V64" s="176">
        <f ca="1">INDEX([5]PT!$AF$16:$AF$381,DATE(2016,MONTH(S64),DAY(S64))-DATE(2016,1,1)+1,1)</f>
        <v>2.2999999999999998</v>
      </c>
      <c r="W64" s="176" t="e">
        <f ca="1"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 ca="1">INDEX([12]ČR!$D$18:$D$383,DATE(2016,MONTH(S65),DAY(S65))-DATE(2016,1,1)+1,1)/1000000</f>
        <v>30.254379727024507</v>
      </c>
      <c r="U65" s="77">
        <f ca="1">IF(T!$A$4&gt;=MONTH(S65),VLOOKUP(S65,'[8]Podklady MZ'!$R$2:$S$367,2,FALSE),NA())</f>
        <v>33.669323046807904</v>
      </c>
      <c r="V65" s="176">
        <f ca="1">INDEX([5]PT!$AF$16:$AF$381,DATE(2016,MONTH(S65),DAY(S65))-DATE(2016,1,1)+1,1)</f>
        <v>1</v>
      </c>
      <c r="W65" s="176" t="e">
        <f ca="1"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 ca="1">INDEX([12]ČR!$D$18:$D$383,DATE(2016,MONTH(S66),DAY(S66))-DATE(2016,1,1)+1,1)/1000000</f>
        <v>30.899557070456758</v>
      </c>
      <c r="U66" s="77">
        <f ca="1">IF(T!$A$4&gt;=MONTH(S66),VLOOKUP(S66,'[8]Podklady MZ'!$R$2:$S$367,2,FALSE),NA())</f>
        <v>31.400656794319055</v>
      </c>
      <c r="V66" s="176">
        <f ca="1">INDEX([5]PT!$AF$16:$AF$381,DATE(2016,MONTH(S66),DAY(S66))-DATE(2016,1,1)+1,1)</f>
        <v>2.4</v>
      </c>
      <c r="W66" s="176" t="e">
        <f ca="1"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 ca="1">INDEX([12]ČR!$D$18:$D$383,DATE(2016,MONTH(S67),DAY(S67))-DATE(2016,1,1)+1,1)/1000000</f>
        <v>28.308059275973523</v>
      </c>
      <c r="U67" s="77">
        <f ca="1">IF(T!$A$4&gt;=MONTH(S67),VLOOKUP(S67,'[8]Podklady MZ'!$R$2:$S$367,2,FALSE),NA())</f>
        <v>26.889062833535807</v>
      </c>
      <c r="V67" s="176">
        <f ca="1">INDEX([5]PT!$AF$16:$AF$381,DATE(2016,MONTH(S67),DAY(S67))-DATE(2016,1,1)+1,1)</f>
        <v>3</v>
      </c>
      <c r="W67" s="176" t="e">
        <f ca="1"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 ca="1">INDEX([12]ČR!$D$18:$D$383,DATE(2016,MONTH(S68),DAY(S68))-DATE(2016,1,1)+1,1)/1000000</f>
        <v>24.33782410442922</v>
      </c>
      <c r="U68" s="77">
        <f ca="1">IF(T!$A$4&gt;=MONTH(S68),VLOOKUP(S68,'[8]Podklady MZ'!$R$2:$S$367,2,FALSE),NA())</f>
        <v>26.222814517200824</v>
      </c>
      <c r="V68" s="176">
        <f ca="1">INDEX([5]PT!$AF$16:$AF$381,DATE(2016,MONTH(S68),DAY(S68))-DATE(2016,1,1)+1,1)</f>
        <v>4.3</v>
      </c>
      <c r="W68" s="176" t="e">
        <f ca="1"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 ca="1">INDEX([12]ČR!$D$18:$D$383,DATE(2016,MONTH(S69),DAY(S69))-DATE(2016,1,1)+1,1)/1000000</f>
        <v>24.660186937602599</v>
      </c>
      <c r="U69" s="77">
        <f ca="1">IF(T!$A$4&gt;=MONTH(S69),VLOOKUP(S69,'[8]Podklady MZ'!$R$2:$S$367,2,FALSE),NA())</f>
        <v>29.386647034852071</v>
      </c>
      <c r="V69" s="176">
        <f ca="1">INDEX([5]PT!$AF$16:$AF$381,DATE(2016,MONTH(S69),DAY(S69))-DATE(2016,1,1)+1,1)</f>
        <v>3.3</v>
      </c>
      <c r="W69" s="176" t="e">
        <f ca="1"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 ca="1">INDEX([12]ČR!$D$18:$D$383,DATE(2016,MONTH(S70),DAY(S70))-DATE(2016,1,1)+1,1)/1000000</f>
        <v>26.562216932931666</v>
      </c>
      <c r="U70" s="77">
        <f ca="1">IF(T!$A$4&gt;=MONTH(S70),VLOOKUP(S70,'[8]Podklady MZ'!$R$2:$S$367,2,FALSE),NA())</f>
        <v>27.738521034828363</v>
      </c>
      <c r="V70" s="176">
        <f ca="1">INDEX([5]PT!$AF$16:$AF$381,DATE(2016,MONTH(S70),DAY(S70))-DATE(2016,1,1)+1,1)</f>
        <v>4.4000000000000004</v>
      </c>
      <c r="W70" s="176" t="e">
        <f ca="1"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 ca="1">INDEX([12]ČR!$D$18:$D$383,DATE(2016,MONTH(S71),DAY(S71))-DATE(2016,1,1)+1,1)/1000000</f>
        <v>25.574273232705337</v>
      </c>
      <c r="U71" s="77">
        <f ca="1">IF(T!$A$4&gt;=MONTH(S71),VLOOKUP(S71,'[8]Podklady MZ'!$R$2:$S$367,2,FALSE),NA())</f>
        <v>30.854267580128589</v>
      </c>
      <c r="V71" s="176">
        <f ca="1">INDEX([5]PT!$AF$16:$AF$381,DATE(2016,MONTH(S71),DAY(S71))-DATE(2016,1,1)+1,1)</f>
        <v>2.9</v>
      </c>
      <c r="W71" s="176" t="e">
        <f ca="1"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 ca="1">INDEX([12]ČR!$D$18:$D$383,DATE(2016,MONTH(S72),DAY(S72))-DATE(2016,1,1)+1,1)/1000000</f>
        <v>25.344286920612642</v>
      </c>
      <c r="U72" s="77">
        <f ca="1">IF(T!$A$4&gt;=MONTH(S72),VLOOKUP(S72,'[8]Podklady MZ'!$R$2:$S$367,2,FALSE),NA())</f>
        <v>31.574844789370491</v>
      </c>
      <c r="V72" s="176">
        <f ca="1">INDEX([5]PT!$AF$16:$AF$381,DATE(2016,MONTH(S72),DAY(S72))-DATE(2016,1,1)+1,1)</f>
        <v>2.6</v>
      </c>
      <c r="W72" s="176" t="e">
        <f ca="1"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 ca="1">INDEX([12]ČR!$D$18:$D$383,DATE(2016,MONTH(S73),DAY(S73))-DATE(2016,1,1)+1,1)/1000000</f>
        <v>24.545954423747514</v>
      </c>
      <c r="U73" s="77">
        <f ca="1">IF(T!$A$4&gt;=MONTH(S73),VLOOKUP(S73,'[8]Podklady MZ'!$R$2:$S$367,2,FALSE),NA())</f>
        <v>31.625360099086652</v>
      </c>
      <c r="V73" s="176">
        <f ca="1">INDEX([5]PT!$AF$16:$AF$381,DATE(2016,MONTH(S73),DAY(S73))-DATE(2016,1,1)+1,1)</f>
        <v>2.1</v>
      </c>
      <c r="W73" s="176" t="e">
        <f ca="1"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 ca="1">INDEX([12]ČR!$D$18:$D$383,DATE(2016,MONTH(S74),DAY(S74))-DATE(2016,1,1)+1,1)/1000000</f>
        <v>22.59019259581887</v>
      </c>
      <c r="U74" s="77">
        <f ca="1">IF(T!$A$4&gt;=MONTH(S74),VLOOKUP(S74,'[8]Podklady MZ'!$R$2:$S$367,2,FALSE),NA())</f>
        <v>28.96030229554378</v>
      </c>
      <c r="V74" s="176">
        <f ca="1">INDEX([5]PT!$AF$16:$AF$381,DATE(2016,MONTH(S74),DAY(S74))-DATE(2016,1,1)+1,1)</f>
        <v>1.8</v>
      </c>
      <c r="W74" s="176" t="e">
        <f ca="1"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 ca="1">INDEX([12]ČR!$D$18:$D$383,DATE(2016,MONTH(S75),DAY(S75))-DATE(2016,1,1)+1,1)/1000000</f>
        <v>23.847542653437056</v>
      </c>
      <c r="U75" s="77">
        <f ca="1">IF(T!$A$4&gt;=MONTH(S75),VLOOKUP(S75,'[8]Podklady MZ'!$R$2:$S$367,2,FALSE),NA())</f>
        <v>28.31739726729889</v>
      </c>
      <c r="V75" s="176">
        <f ca="1">INDEX([5]PT!$AF$16:$AF$381,DATE(2016,MONTH(S75),DAY(S75))-DATE(2016,1,1)+1,1)</f>
        <v>4.4000000000000004</v>
      </c>
      <c r="W75" s="176" t="e">
        <f ca="1"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 ca="1">INDEX([12]ČR!$D$18:$D$383,DATE(2016,MONTH(S76),DAY(S76))-DATE(2016,1,1)+1,1)/1000000</f>
        <v>23.956114755002901</v>
      </c>
      <c r="U76" s="77">
        <f ca="1">IF(T!$A$4&gt;=MONTH(S76),VLOOKUP(S76,'[8]Podklady MZ'!$R$2:$S$367,2,FALSE),NA())</f>
        <v>28.14865477769661</v>
      </c>
      <c r="V76" s="176">
        <f ca="1">INDEX([5]PT!$AF$16:$AF$381,DATE(2016,MONTH(S76),DAY(S76))-DATE(2016,1,1)+1,1)</f>
        <v>7.1</v>
      </c>
      <c r="W76" s="176" t="e">
        <f ca="1"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 ca="1">INDEX([12]ČR!$D$18:$D$383,DATE(2016,MONTH(S77),DAY(S77))-DATE(2016,1,1)+1,1)/1000000</f>
        <v>25.065700199484379</v>
      </c>
      <c r="U77" s="77">
        <f ca="1">IF(T!$A$4&gt;=MONTH(S77),VLOOKUP(S77,'[8]Podklady MZ'!$R$2:$S$367,2,FALSE),NA())</f>
        <v>26.093459538175829</v>
      </c>
      <c r="V77" s="176">
        <f ca="1">INDEX([5]PT!$AF$16:$AF$381,DATE(2016,MONTH(S77),DAY(S77))-DATE(2016,1,1)+1,1)</f>
        <v>6.7</v>
      </c>
      <c r="W77" s="176" t="e">
        <f ca="1"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 ca="1">INDEX([12]ČR!$D$18:$D$383,DATE(2016,MONTH(S78),DAY(S78))-DATE(2016,1,1)+1,1)/1000000</f>
        <v>22.511141909055233</v>
      </c>
      <c r="U78" s="77">
        <f ca="1">IF(T!$A$4&gt;=MONTH(S78),VLOOKUP(S78,'[8]Podklady MZ'!$R$2:$S$367,2,FALSE),NA())</f>
        <v>26.280282803073259</v>
      </c>
      <c r="V78" s="176">
        <f ca="1">INDEX([5]PT!$AF$16:$AF$381,DATE(2016,MONTH(S78),DAY(S78))-DATE(2016,1,1)+1,1)</f>
        <v>4.5999999999999996</v>
      </c>
      <c r="W78" s="176" t="e">
        <f ca="1"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 ca="1">INDEX([12]ČR!$D$18:$D$383,DATE(2016,MONTH(S79),DAY(S79))-DATE(2016,1,1)+1,1)/1000000</f>
        <v>24.370961695726791</v>
      </c>
      <c r="U79" s="77">
        <f ca="1">IF(T!$A$4&gt;=MONTH(S79),VLOOKUP(S79,'[8]Podklady MZ'!$R$2:$S$367,2,FALSE),NA())</f>
        <v>27.010399859523108</v>
      </c>
      <c r="V79" s="176">
        <f ca="1">INDEX([5]PT!$AF$16:$AF$381,DATE(2016,MONTH(S79),DAY(S79))-DATE(2016,1,1)+1,1)</f>
        <v>3.6</v>
      </c>
      <c r="W79" s="176" t="e">
        <f ca="1"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 ca="1">INDEX([12]ČR!$D$18:$D$383,DATE(2016,MONTH(S80),DAY(S80))-DATE(2016,1,1)+1,1)/1000000</f>
        <v>20.078517049785525</v>
      </c>
      <c r="U80" s="77">
        <f ca="1">IF(T!$A$4&gt;=MONTH(S80),VLOOKUP(S80,'[8]Podklady MZ'!$R$2:$S$367,2,FALSE),NA())</f>
        <v>26.666290526830888</v>
      </c>
      <c r="V80" s="176">
        <f ca="1">INDEX([5]PT!$AF$16:$AF$381,DATE(2016,MONTH(S80),DAY(S80))-DATE(2016,1,1)+1,1)</f>
        <v>3.3</v>
      </c>
      <c r="W80" s="176" t="e">
        <f ca="1"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 ca="1">INDEX([12]ČR!$D$18:$D$383,DATE(2016,MONTH(S81),DAY(S81))-DATE(2016,1,1)+1,1)/1000000</f>
        <v>17.453166014873293</v>
      </c>
      <c r="U81" s="77">
        <f ca="1">IF(T!$A$4&gt;=MONTH(S81),VLOOKUP(S81,'[8]Podklady MZ'!$R$2:$S$367,2,FALSE),NA())</f>
        <v>22.949801596471193</v>
      </c>
      <c r="V81" s="176">
        <f ca="1">INDEX([5]PT!$AF$16:$AF$381,DATE(2016,MONTH(S81),DAY(S81))-DATE(2016,1,1)+1,1)</f>
        <v>6.1</v>
      </c>
      <c r="W81" s="176" t="e">
        <f ca="1"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 ca="1">INDEX([12]ČR!$D$18:$D$383,DATE(2016,MONTH(S82),DAY(S82))-DATE(2016,1,1)+1,1)/1000000</f>
        <v>15.233368138291082</v>
      </c>
      <c r="U82" s="77">
        <f ca="1">IF(T!$A$4&gt;=MONTH(S82),VLOOKUP(S82,'[8]Podklady MZ'!$R$2:$S$367,2,FALSE),NA())</f>
        <v>27.487312139148294</v>
      </c>
      <c r="V82" s="176">
        <f ca="1">INDEX([5]PT!$AF$16:$AF$381,DATE(2016,MONTH(S82),DAY(S82))-DATE(2016,1,1)+1,1)</f>
        <v>2.4</v>
      </c>
      <c r="W82" s="176" t="e">
        <f ca="1"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 ca="1">INDEX([12]ČR!$D$18:$D$383,DATE(2016,MONTH(S83),DAY(S83))-DATE(2016,1,1)+1,1)/1000000</f>
        <v>20.936694638516901</v>
      </c>
      <c r="U83" s="77">
        <f ca="1">IF(T!$A$4&gt;=MONTH(S83),VLOOKUP(S83,'[8]Podklady MZ'!$R$2:$S$367,2,FALSE),NA())</f>
        <v>28.462368120622408</v>
      </c>
      <c r="V83" s="176">
        <f ca="1">INDEX([5]PT!$AF$16:$AF$381,DATE(2016,MONTH(S83),DAY(S83))-DATE(2016,1,1)+1,1)</f>
        <v>3.1</v>
      </c>
      <c r="W83" s="176" t="e">
        <f ca="1"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 ca="1">INDEX([12]ČR!$D$18:$D$383,DATE(2016,MONTH(S84),DAY(S84))-DATE(2016,1,1)+1,1)/1000000</f>
        <v>26.456047238237613</v>
      </c>
      <c r="U84" s="77">
        <f ca="1">IF(T!$A$4&gt;=MONTH(S84),VLOOKUP(S84,'[8]Podklady MZ'!$R$2:$S$367,2,FALSE),NA())</f>
        <v>25.948151206212366</v>
      </c>
      <c r="V84" s="176">
        <f ca="1">INDEX([5]PT!$AF$16:$AF$381,DATE(2016,MONTH(S84),DAY(S84))-DATE(2016,1,1)+1,1)</f>
        <v>6.7</v>
      </c>
      <c r="W84" s="176" t="e">
        <f ca="1"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 ca="1">INDEX([12]ČR!$D$18:$D$383,DATE(2016,MONTH(S85),DAY(S85))-DATE(2016,1,1)+1,1)/1000000</f>
        <v>26.817220206434342</v>
      </c>
      <c r="U85" s="77">
        <f ca="1">IF(T!$A$4&gt;=MONTH(S85),VLOOKUP(S85,'[8]Podklady MZ'!$R$2:$S$367,2,FALSE),NA())</f>
        <v>22.929421912694004</v>
      </c>
      <c r="V85" s="176">
        <f ca="1">INDEX([5]PT!$AF$16:$AF$381,DATE(2016,MONTH(S85),DAY(S85))-DATE(2016,1,1)+1,1)</f>
        <v>10.1</v>
      </c>
      <c r="W85" s="176" t="e">
        <f ca="1"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 ca="1">INDEX([12]ČR!$D$18:$D$383,DATE(2016,MONTH(S86),DAY(S86))-DATE(2016,1,1)+1,1)/1000000</f>
        <v>25.921574714853516</v>
      </c>
      <c r="U86" s="77">
        <f ca="1">IF(T!$A$4&gt;=MONTH(S86),VLOOKUP(S86,'[8]Podklady MZ'!$R$2:$S$367,2,FALSE),NA())</f>
        <v>22.748236472923228</v>
      </c>
      <c r="V86" s="176">
        <f ca="1">INDEX([5]PT!$AF$16:$AF$381,DATE(2016,MONTH(S86),DAY(S86))-DATE(2016,1,1)+1,1)</f>
        <v>9.5</v>
      </c>
      <c r="W86" s="176" t="e">
        <f ca="1"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 ca="1">INDEX([12]ČR!$D$18:$D$383,DATE(2016,MONTH(S87),DAY(S87))-DATE(2016,1,1)+1,1)/1000000</f>
        <v>23.174491647715868</v>
      </c>
      <c r="U87" s="77">
        <f ca="1">IF(T!$A$4&gt;=MONTH(S87),VLOOKUP(S87,'[8]Podklady MZ'!$R$2:$S$367,2,FALSE),NA())</f>
        <v>24.769419577712856</v>
      </c>
      <c r="V87" s="176">
        <f ca="1">INDEX([5]PT!$AF$16:$AF$381,DATE(2016,MONTH(S87),DAY(S87))-DATE(2016,1,1)+1,1)</f>
        <v>5.8</v>
      </c>
      <c r="W87" s="176" t="e">
        <f ca="1"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 ca="1">INDEX([12]ČR!$D$18:$D$383,DATE(2016,MONTH(S88),DAY(S88))-DATE(2016,1,1)+1,1)/1000000</f>
        <v>21.959607500542024</v>
      </c>
      <c r="U88" s="77">
        <f ca="1">IF(T!$A$4&gt;=MONTH(S88),VLOOKUP(S88,'[8]Podklady MZ'!$R$2:$S$367,2,FALSE),NA())</f>
        <v>22.43004746355092</v>
      </c>
      <c r="V88" s="176">
        <f ca="1">INDEX([5]PT!$AF$16:$AF$381,DATE(2016,MONTH(S88),DAY(S88))-DATE(2016,1,1)+1,1)</f>
        <v>4.2</v>
      </c>
      <c r="W88" s="176" t="e">
        <f ca="1"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 ca="1">INDEX([12]ČR!$D$18:$D$383,DATE(2016,MONTH(S89),DAY(S89))-DATE(2016,1,1)+1,1)/1000000</f>
        <v>17.409087975599434</v>
      </c>
      <c r="U89" s="77">
        <f ca="1">IF(T!$A$4&gt;=MONTH(S89),VLOOKUP(S89,'[8]Podklady MZ'!$R$2:$S$367,2,FALSE),NA())</f>
        <v>23.594608677240302</v>
      </c>
      <c r="V89" s="176">
        <f ca="1">INDEX([5]PT!$AF$16:$AF$381,DATE(2016,MONTH(S89),DAY(S89))-DATE(2016,1,1)+1,1)</f>
        <v>7.4</v>
      </c>
      <c r="W89" s="176" t="e">
        <f ca="1"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 ca="1">INDEX([12]ČR!$D$18:$D$383,DATE(2016,MONTH(S90),DAY(S90))-DATE(2016,1,1)+1,1)/1000000</f>
        <v>17.2534749707158</v>
      </c>
      <c r="U90" s="77">
        <f ca="1">IF(T!$A$4&gt;=MONTH(S90),VLOOKUP(S90,'[8]Podklady MZ'!$R$2:$S$367,2,FALSE),NA())</f>
        <v>27.27579699878557</v>
      </c>
      <c r="V90" s="176">
        <f ca="1">INDEX([5]PT!$AF$16:$AF$381,DATE(2016,MONTH(S90),DAY(S90))-DATE(2016,1,1)+1,1)</f>
        <v>4.5</v>
      </c>
      <c r="W90" s="176" t="e">
        <f ca="1"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 ca="1">INDEX([12]ČR!$D$18:$D$383,DATE(2016,MONTH(S91),DAY(S91))-DATE(2016,1,1)+1,1)/1000000</f>
        <v>22.417243839928457</v>
      </c>
      <c r="U91" s="77">
        <f ca="1">IF(T!$A$4&gt;=MONTH(S91),VLOOKUP(S91,'[8]Podklady MZ'!$R$2:$S$367,2,FALSE),NA())</f>
        <v>29.153082809129909</v>
      </c>
      <c r="V91" s="176">
        <f ca="1">INDEX([5]PT!$AF$16:$AF$381,DATE(2016,MONTH(S91),DAY(S91))-DATE(2016,1,1)+1,1)</f>
        <v>5.3</v>
      </c>
      <c r="W91" s="176" t="e">
        <f ca="1"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 ca="1">INDEX([12]ČR!$D$18:$D$383,DATE(2016,MONTH(S92),DAY(S92))-DATE(2016,1,1)+1,1)/1000000</f>
        <v>19.912844636720571</v>
      </c>
      <c r="U92" s="77">
        <f ca="1">IF(T!$A$4&gt;=MONTH(S92),VLOOKUP(S92,'[8]Podklady MZ'!$R$2:$S$367,2,FALSE),NA())</f>
        <v>30.677245431457621</v>
      </c>
      <c r="V92" s="176">
        <f ca="1">INDEX([5]PT!$AF$16:$AF$381,DATE(2016,MONTH(S92),DAY(S92))-DATE(2016,1,1)+1,1)</f>
        <v>2.2000000000000002</v>
      </c>
      <c r="W92" s="176" t="e">
        <f ca="1"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 ca="1">INDEX([12]ČR!$D$18:$D$383,DATE(2016,MONTH(S93),DAY(S93))-DATE(2016,1,1)+1,1)/1000000</f>
        <v>18.678675095415521</v>
      </c>
      <c r="U93" s="77">
        <f ca="1">IF(T!$A$4&gt;=MONTH(S93),VLOOKUP(S93,'[8]Podklady MZ'!$R$2:$S$367,2,FALSE),NA())</f>
        <v>32.46272056517094</v>
      </c>
      <c r="V93" s="176">
        <f ca="1">INDEX([5]PT!$AF$16:$AF$381,DATE(2016,MONTH(S93),DAY(S93))-DATE(2016,1,1)+1,1)</f>
        <v>1.3</v>
      </c>
      <c r="W93" s="176" t="e">
        <f ca="1"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 ca="1">INDEX([12]ČR!$D$18:$D$383,DATE(2016,MONTH(S94),DAY(S94))-DATE(2016,1,1)+1,1)/1000000</f>
        <v>18.85328570666216</v>
      </c>
      <c r="U94" s="77">
        <f ca="1">IF(T!$A$4&gt;=MONTH(S94),VLOOKUP(S94,'[8]Podklady MZ'!$R$2:$S$367,2,FALSE),NA())</f>
        <v>30.588397627558081</v>
      </c>
      <c r="V94" s="176">
        <f ca="1">INDEX([5]PT!$AF$16:$AF$381,DATE(2016,MONTH(S94),DAY(S94))-DATE(2016,1,1)+1,1)</f>
        <v>1.8</v>
      </c>
      <c r="W94" s="176" t="e">
        <f ca="1"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 ca="1">INDEX([12]ČR!$D$18:$D$383,DATE(2016,MONTH(S95),DAY(S95))-DATE(2016,1,1)+1,1)/1000000</f>
        <v>16.457363285482895</v>
      </c>
      <c r="U95" s="77">
        <f ca="1">IF(T!$A$4&gt;=MONTH(S95),VLOOKUP(S95,'[8]Podklady MZ'!$R$2:$S$367,2,FALSE),NA())</f>
        <v>26.488452883092407</v>
      </c>
      <c r="V95" s="176">
        <f ca="1">INDEX([5]PT!$AF$16:$AF$381,DATE(2016,MONTH(S95),DAY(S95))-DATE(2016,1,1)+1,1)</f>
        <v>1.6</v>
      </c>
      <c r="W95" s="176" t="e">
        <f ca="1"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 ca="1">INDEX([12]ČR!$D$18:$D$383,DATE(2016,MONTH(S96),DAY(S96))-DATE(2016,1,1)+1,1)/1000000</f>
        <v>15.742495912198221</v>
      </c>
      <c r="U96" s="77">
        <f ca="1">IF(T!$A$4&gt;=MONTH(S96),VLOOKUP(S96,'[8]Podklady MZ'!$R$2:$S$367,2,FALSE),NA())</f>
        <v>26.800253939111631</v>
      </c>
      <c r="V96" s="176">
        <f ca="1">INDEX([5]PT!$AF$16:$AF$381,DATE(2016,MONTH(S96),DAY(S96))-DATE(2016,1,1)+1,1)</f>
        <v>1.7</v>
      </c>
      <c r="W96" s="176" t="e">
        <f ca="1"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 ca="1">INDEX([12]ČR!$D$18:$D$383,DATE(2016,MONTH(S97),DAY(S97))-DATE(2016,1,1)+1,1)/1000000</f>
        <v>16.45697769577739</v>
      </c>
      <c r="U97" s="77">
        <f ca="1">IF(T!$A$4&gt;=MONTH(S97),VLOOKUP(S97,'[8]Podklady MZ'!$R$2:$S$367,2,FALSE),NA())</f>
        <v>28.979467533714494</v>
      </c>
      <c r="V97" s="176">
        <f ca="1">INDEX([5]PT!$AF$16:$AF$381,DATE(2016,MONTH(S97),DAY(S97))-DATE(2016,1,1)+1,1)</f>
        <v>1</v>
      </c>
      <c r="W97" s="176" t="e">
        <f ca="1"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 ca="1">INDEX([12]ČR!$D$18:$D$383,DATE(2016,MONTH(S98),DAY(S98))-DATE(2016,1,1)+1,1)/1000000</f>
        <v>17.069519037856956</v>
      </c>
      <c r="U98" s="77">
        <f ca="1">IF(T!$A$4&gt;=MONTH(S98),VLOOKUP(S98,'[8]Podklady MZ'!$R$2:$S$367,2,FALSE),NA())</f>
        <v>29.118400870849975</v>
      </c>
      <c r="V98" s="176">
        <f ca="1">INDEX([5]PT!$AF$16:$AF$381,DATE(2016,MONTH(S98),DAY(S98))-DATE(2016,1,1)+1,1)</f>
        <v>4.3</v>
      </c>
      <c r="W98" s="176" t="e">
        <f ca="1"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 ca="1">INDEX([12]ČR!$D$18:$D$383,DATE(2016,MONTH(S99),DAY(S99))-DATE(2016,1,1)+1,1)/1000000</f>
        <v>17.278928058494266</v>
      </c>
      <c r="U99" s="77">
        <f ca="1">IF(T!$A$4&gt;=MONTH(S99),VLOOKUP(S99,'[8]Podklady MZ'!$R$2:$S$367,2,FALSE),NA())</f>
        <v>29.123342332419892</v>
      </c>
      <c r="V99" s="176">
        <f ca="1">INDEX([5]PT!$AF$16:$AF$381,DATE(2016,MONTH(S99),DAY(S99))-DATE(2016,1,1)+1,1)</f>
        <v>6.2</v>
      </c>
      <c r="W99" s="176" t="e">
        <f ca="1"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 ca="1">INDEX([12]ČR!$D$18:$D$383,DATE(2016,MONTH(S100),DAY(S100))-DATE(2016,1,1)+1,1)/1000000</f>
        <v>20.990001838682609</v>
      </c>
      <c r="U100" s="77">
        <f ca="1">IF(T!$A$4&gt;=MONTH(S100),VLOOKUP(S100,'[8]Podklady MZ'!$R$2:$S$367,2,FALSE),NA())</f>
        <v>24.524154010039346</v>
      </c>
      <c r="V100" s="176">
        <f ca="1">INDEX([5]PT!$AF$16:$AF$381,DATE(2016,MONTH(S100),DAY(S100))-DATE(2016,1,1)+1,1)</f>
        <v>8.1</v>
      </c>
      <c r="W100" s="176" t="e">
        <f ca="1"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 ca="1">INDEX([12]ČR!$D$18:$D$383,DATE(2016,MONTH(S101),DAY(S101))-DATE(2016,1,1)+1,1)/1000000</f>
        <v>22.603656190404163</v>
      </c>
      <c r="U101" s="77">
        <f ca="1">IF(T!$A$4&gt;=MONTH(S101),VLOOKUP(S101,'[8]Podklady MZ'!$R$2:$S$367,2,FALSE),NA())</f>
        <v>20.355808033921317</v>
      </c>
      <c r="V101" s="176">
        <f ca="1">INDEX([5]PT!$AF$16:$AF$381,DATE(2016,MONTH(S101),DAY(S101))-DATE(2016,1,1)+1,1)</f>
        <v>9.9</v>
      </c>
      <c r="W101" s="176" t="e">
        <f ca="1"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 ca="1">INDEX([12]ČR!$D$18:$D$383,DATE(2016,MONTH(S102),DAY(S102))-DATE(2016,1,1)+1,1)/1000000</f>
        <v>20.575423070008743</v>
      </c>
      <c r="U102" s="77">
        <f ca="1">IF(T!$A$4&gt;=MONTH(S102),VLOOKUP(S102,'[8]Podklady MZ'!$R$2:$S$367,2,FALSE),NA())</f>
        <v>15.817888690539146</v>
      </c>
      <c r="V102" s="176">
        <f ca="1">INDEX([5]PT!$AF$16:$AF$381,DATE(2016,MONTH(S102),DAY(S102))-DATE(2016,1,1)+1,1)</f>
        <v>12</v>
      </c>
      <c r="W102" s="176" t="e">
        <f ca="1"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 ca="1">INDEX([12]ČR!$D$18:$D$383,DATE(2016,MONTH(S103),DAY(S103))-DATE(2016,1,1)+1,1)/1000000</f>
        <v>16.912020513000446</v>
      </c>
      <c r="U103" s="77">
        <f ca="1">IF(T!$A$4&gt;=MONTH(S103),VLOOKUP(S103,'[8]Podklady MZ'!$R$2:$S$367,2,FALSE),NA())</f>
        <v>16.178831481831637</v>
      </c>
      <c r="V103" s="176">
        <f ca="1">INDEX([5]PT!$AF$16:$AF$381,DATE(2016,MONTH(S103),DAY(S103))-DATE(2016,1,1)+1,1)</f>
        <v>10.8</v>
      </c>
      <c r="W103" s="176" t="e">
        <f ca="1"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 ca="1">INDEX([12]ČR!$D$18:$D$383,DATE(2016,MONTH(S104),DAY(S104))-DATE(2016,1,1)+1,1)/1000000</f>
        <v>18.28948705386</v>
      </c>
      <c r="U104" s="77">
        <f ca="1">IF(T!$A$4&gt;=MONTH(S104),VLOOKUP(S104,'[8]Podklady MZ'!$R$2:$S$367,2,FALSE),NA())</f>
        <v>21.02890773784463</v>
      </c>
      <c r="V104" s="176">
        <f ca="1">INDEX([5]PT!$AF$16:$AF$381,DATE(2016,MONTH(S104),DAY(S104))-DATE(2016,1,1)+1,1)</f>
        <v>8.5</v>
      </c>
      <c r="W104" s="176" t="e">
        <f ca="1"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 ca="1">INDEX([12]ČR!$D$18:$D$383,DATE(2016,MONTH(S105),DAY(S105))-DATE(2016,1,1)+1,1)/1000000</f>
        <v>23.767277346728736</v>
      </c>
      <c r="U105" s="77">
        <f ca="1">IF(T!$A$4&gt;=MONTH(S105),VLOOKUP(S105,'[8]Podklady MZ'!$R$2:$S$367,2,FALSE),NA())</f>
        <v>20.307713809890178</v>
      </c>
      <c r="V105" s="176">
        <f ca="1">INDEX([5]PT!$AF$16:$AF$381,DATE(2016,MONTH(S105),DAY(S105))-DATE(2016,1,1)+1,1)</f>
        <v>8.9</v>
      </c>
      <c r="W105" s="176" t="e">
        <f ca="1"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 ca="1">INDEX([12]ČR!$D$18:$D$383,DATE(2016,MONTH(S106),DAY(S106))-DATE(2016,1,1)+1,1)/1000000</f>
        <v>26.463980480444253</v>
      </c>
      <c r="U106" s="77">
        <f ca="1">IF(T!$A$4&gt;=MONTH(S106),VLOOKUP(S106,'[8]Podklady MZ'!$R$2:$S$367,2,FALSE),NA())</f>
        <v>16.590878846654931</v>
      </c>
      <c r="V106" s="176">
        <f ca="1">INDEX([5]PT!$AF$16:$AF$381,DATE(2016,MONTH(S106),DAY(S106))-DATE(2016,1,1)+1,1)</f>
        <v>14.2</v>
      </c>
      <c r="W106" s="176" t="e">
        <f ca="1"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 ca="1">INDEX([12]ČR!$D$18:$D$383,DATE(2016,MONTH(S107),DAY(S107))-DATE(2016,1,1)+1,1)/1000000</f>
        <v>25.755912410571373</v>
      </c>
      <c r="U107" s="77">
        <f ca="1">IF(T!$A$4&gt;=MONTH(S107),VLOOKUP(S107,'[8]Podklady MZ'!$R$2:$S$367,2,FALSE),NA())</f>
        <v>15.76829477193891</v>
      </c>
      <c r="V107" s="176">
        <f ca="1">INDEX([5]PT!$AF$16:$AF$381,DATE(2016,MONTH(S107),DAY(S107))-DATE(2016,1,1)+1,1)</f>
        <v>14.8</v>
      </c>
      <c r="W107" s="176" t="e">
        <f ca="1"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 ca="1">INDEX([12]ČR!$D$18:$D$383,DATE(2016,MONTH(S108),DAY(S108))-DATE(2016,1,1)+1,1)/1000000</f>
        <v>22.988743556549213</v>
      </c>
      <c r="U108" s="77">
        <f ca="1">IF(T!$A$4&gt;=MONTH(S108),VLOOKUP(S108,'[8]Podklady MZ'!$R$2:$S$367,2,FALSE),NA())</f>
        <v>18.568833461656315</v>
      </c>
      <c r="V108" s="176">
        <f ca="1">INDEX([5]PT!$AF$16:$AF$381,DATE(2016,MONTH(S108),DAY(S108))-DATE(2016,1,1)+1,1)</f>
        <v>8.1</v>
      </c>
      <c r="W108" s="176" t="e">
        <f ca="1"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 ca="1">INDEX([12]ČR!$D$18:$D$383,DATE(2016,MONTH(S109),DAY(S109))-DATE(2016,1,1)+1,1)/1000000</f>
        <v>22.107371793833448</v>
      </c>
      <c r="U109" s="77">
        <f ca="1">IF(T!$A$4&gt;=MONTH(S109),VLOOKUP(S109,'[8]Podklady MZ'!$R$2:$S$367,2,FALSE),NA())</f>
        <v>19.614571040879646</v>
      </c>
      <c r="V109" s="176">
        <f ca="1">INDEX([5]PT!$AF$16:$AF$381,DATE(2016,MONTH(S109),DAY(S109))-DATE(2016,1,1)+1,1)</f>
        <v>3.9</v>
      </c>
      <c r="W109" s="176" t="e">
        <f ca="1"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 ca="1">INDEX([12]ČR!$D$18:$D$383,DATE(2016,MONTH(S110),DAY(S110))-DATE(2016,1,1)+1,1)/1000000</f>
        <v>16.760777760846324</v>
      </c>
      <c r="U110" s="77">
        <f ca="1">IF(T!$A$4&gt;=MONTH(S110),VLOOKUP(S110,'[8]Podklady MZ'!$R$2:$S$367,2,FALSE),NA())</f>
        <v>18.656931840735112</v>
      </c>
      <c r="V110" s="176">
        <f ca="1">INDEX([5]PT!$AF$16:$AF$381,DATE(2016,MONTH(S110),DAY(S110))-DATE(2016,1,1)+1,1)</f>
        <v>6.4</v>
      </c>
      <c r="W110" s="176" t="e">
        <f ca="1"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 ca="1">INDEX([12]ČR!$D$18:$D$383,DATE(2016,MONTH(S111),DAY(S111))-DATE(2016,1,1)+1,1)/1000000</f>
        <v>14.747151369772238</v>
      </c>
      <c r="U111" s="77">
        <f ca="1">IF(T!$A$4&gt;=MONTH(S111),VLOOKUP(S111,'[8]Podklady MZ'!$R$2:$S$367,2,FALSE),NA())</f>
        <v>19.563471390013991</v>
      </c>
      <c r="V111" s="176">
        <f ca="1">INDEX([5]PT!$AF$16:$AF$381,DATE(2016,MONTH(S111),DAY(S111))-DATE(2016,1,1)+1,1)</f>
        <v>10.4</v>
      </c>
      <c r="W111" s="176" t="e">
        <f ca="1"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 ca="1">INDEX([12]ČR!$D$18:$D$383,DATE(2016,MONTH(S112),DAY(S112))-DATE(2016,1,1)+1,1)/1000000</f>
        <v>15.99156011450736</v>
      </c>
      <c r="U112" s="77">
        <f ca="1">IF(T!$A$4&gt;=MONTH(S112),VLOOKUP(S112,'[8]Podklady MZ'!$R$2:$S$367,2,FALSE),NA())</f>
        <v>18.07923956225083</v>
      </c>
      <c r="V112" s="176">
        <f ca="1">INDEX([5]PT!$AF$16:$AF$381,DATE(2016,MONTH(S112),DAY(S112))-DATE(2016,1,1)+1,1)</f>
        <v>12</v>
      </c>
      <c r="W112" s="176" t="e">
        <f ca="1"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 ca="1">INDEX([12]ČR!$D$18:$D$383,DATE(2016,MONTH(S113),DAY(S113))-DATE(2016,1,1)+1,1)/1000000</f>
        <v>17.229384863671001</v>
      </c>
      <c r="U113" s="77">
        <f ca="1">IF(T!$A$4&gt;=MONTH(S113),VLOOKUP(S113,'[8]Podklady MZ'!$R$2:$S$367,2,FALSE),NA())</f>
        <v>18.07682042542401</v>
      </c>
      <c r="V113" s="176">
        <f ca="1">INDEX([5]PT!$AF$16:$AF$381,DATE(2016,MONTH(S113),DAY(S113))-DATE(2016,1,1)+1,1)</f>
        <v>10</v>
      </c>
      <c r="W113" s="176" t="e">
        <f ca="1"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 ca="1">INDEX([12]ČR!$D$18:$D$383,DATE(2016,MONTH(S114),DAY(S114))-DATE(2016,1,1)+1,1)/1000000</f>
        <v>15.47834789744913</v>
      </c>
      <c r="U114" s="77">
        <f ca="1">IF(T!$A$4&gt;=MONTH(S114),VLOOKUP(S114,'[8]Podklady MZ'!$R$2:$S$367,2,FALSE),NA())</f>
        <v>17.194628472384942</v>
      </c>
      <c r="V114" s="176">
        <f ca="1">INDEX([5]PT!$AF$16:$AF$381,DATE(2016,MONTH(S114),DAY(S114))-DATE(2016,1,1)+1,1)</f>
        <v>10.6</v>
      </c>
      <c r="W114" s="176" t="e">
        <f ca="1"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 ca="1">INDEX([12]ČR!$D$18:$D$383,DATE(2016,MONTH(S115),DAY(S115))-DATE(2016,1,1)+1,1)/1000000</f>
        <v>14.555017812200164</v>
      </c>
      <c r="U115" s="77">
        <f ca="1">IF(T!$A$4&gt;=MONTH(S115),VLOOKUP(S115,'[8]Podklady MZ'!$R$2:$S$367,2,FALSE),NA())</f>
        <v>15.382705185504731</v>
      </c>
      <c r="V115" s="176">
        <f ca="1">INDEX([5]PT!$AF$16:$AF$381,DATE(2016,MONTH(S115),DAY(S115))-DATE(2016,1,1)+1,1)</f>
        <v>11.1</v>
      </c>
      <c r="W115" s="176" t="e">
        <f ca="1"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 ca="1">INDEX([12]ČR!$D$18:$D$383,DATE(2016,MONTH(S116),DAY(S116))-DATE(2016,1,1)+1,1)/1000000</f>
        <v>13.827656517724851</v>
      </c>
      <c r="U116" s="77">
        <f ca="1">IF(T!$A$4&gt;=MONTH(S116),VLOOKUP(S116,'[8]Podklady MZ'!$R$2:$S$367,2,FALSE),NA())</f>
        <v>12.336617288364373</v>
      </c>
      <c r="V116" s="176">
        <f ca="1">INDEX([5]PT!$AF$16:$AF$381,DATE(2016,MONTH(S116),DAY(S116))-DATE(2016,1,1)+1,1)</f>
        <v>14.6</v>
      </c>
      <c r="W116" s="176" t="e">
        <f ca="1"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 ca="1">INDEX([12]ČR!$D$18:$D$383,DATE(2016,MONTH(S117),DAY(S117))-DATE(2016,1,1)+1,1)/1000000</f>
        <v>11.756652419321258</v>
      </c>
      <c r="U117" s="77">
        <f ca="1">IF(T!$A$4&gt;=MONTH(S117),VLOOKUP(S117,'[8]Podklady MZ'!$R$2:$S$367,2,FALSE),NA())</f>
        <v>12.659586495655699</v>
      </c>
      <c r="V117" s="176">
        <f ca="1">INDEX([5]PT!$AF$16:$AF$381,DATE(2016,MONTH(S117),DAY(S117))-DATE(2016,1,1)+1,1)</f>
        <v>13.5</v>
      </c>
      <c r="W117" s="176" t="e">
        <f ca="1"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 ca="1">INDEX([12]ČR!$D$18:$D$383,DATE(2016,MONTH(S118),DAY(S118))-DATE(2016,1,1)+1,1)/1000000</f>
        <v>11.545792216771328</v>
      </c>
      <c r="U118" s="77">
        <f ca="1">IF(T!$A$4&gt;=MONTH(S118),VLOOKUP(S118,'[8]Podklady MZ'!$R$2:$S$367,2,FALSE),NA())</f>
        <v>13.818581100658111</v>
      </c>
      <c r="V118" s="176">
        <f ca="1">INDEX([5]PT!$AF$16:$AF$381,DATE(2016,MONTH(S118),DAY(S118))-DATE(2016,1,1)+1,1)</f>
        <v>15.5</v>
      </c>
      <c r="W118" s="176" t="e">
        <f ca="1"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 ca="1">INDEX([12]ČR!$D$18:$D$383,DATE(2016,MONTH(S119),DAY(S119))-DATE(2016,1,1)+1,1)/1000000</f>
        <v>13.869957514600513</v>
      </c>
      <c r="U119" s="77">
        <f ca="1">IF(T!$A$4&gt;=MONTH(S119),VLOOKUP(S119,'[8]Podklady MZ'!$R$2:$S$367,2,FALSE),NA())</f>
        <v>18.711239256020551</v>
      </c>
      <c r="V119" s="176">
        <f ca="1">INDEX([5]PT!$AF$16:$AF$381,DATE(2016,MONTH(S119),DAY(S119))-DATE(2016,1,1)+1,1)</f>
        <v>7.3</v>
      </c>
      <c r="W119" s="176" t="e">
        <f ca="1"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 ca="1">INDEX([12]ČR!$D$18:$D$383,DATE(2016,MONTH(S120),DAY(S120))-DATE(2016,1,1)+1,1)/1000000</f>
        <v>14.202974548155238</v>
      </c>
      <c r="U120" s="77">
        <f ca="1">IF(T!$A$4&gt;=MONTH(S120),VLOOKUP(S120,'[8]Podklady MZ'!$R$2:$S$367,2,FALSE),NA())</f>
        <v>18.289834007546062</v>
      </c>
      <c r="V120" s="176">
        <f ca="1">INDEX([5]PT!$AF$16:$AF$381,DATE(2016,MONTH(S120),DAY(S120))-DATE(2016,1,1)+1,1)</f>
        <v>7.1</v>
      </c>
      <c r="W120" s="176" t="e">
        <f ca="1"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 ca="1">INDEX([12]ČR!$D$18:$D$383,DATE(2016,MONTH(S121),DAY(S121))-DATE(2016,1,1)+1,1)/1000000</f>
        <v>13.11850774419106</v>
      </c>
      <c r="U121" s="77">
        <f ca="1">IF(T!$A$4&gt;=MONTH(S121),VLOOKUP(S121,'[8]Podklady MZ'!$R$2:$S$367,2,FALSE),NA())</f>
        <v>17.044748050783795</v>
      </c>
      <c r="V121" s="176">
        <f ca="1">INDEX([5]PT!$AF$16:$AF$381,DATE(2016,MONTH(S121),DAY(S121))-DATE(2016,1,1)+1,1)</f>
        <v>8.8000000000000007</v>
      </c>
      <c r="W121" s="176" t="e">
        <f ca="1"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 ca="1">INDEX([12]ČR!$D$18:$D$383,DATE(2016,MONTH(S122),DAY(S122))-DATE(2016,1,1)+1,1)/1000000</f>
        <v>11.839500627664977</v>
      </c>
      <c r="U122" s="77">
        <f ca="1">IF(T!$A$4&gt;=MONTH(S122),VLOOKUP(S122,'[8]Podklady MZ'!$R$2:$S$367,2,FALSE),NA())</f>
        <v>16.070703750605009</v>
      </c>
      <c r="V122" s="176">
        <f ca="1">INDEX([5]PT!$AF$16:$AF$381,DATE(2016,MONTH(S122),DAY(S122))-DATE(2016,1,1)+1,1)</f>
        <v>9.1</v>
      </c>
      <c r="W122" s="176" t="e">
        <f ca="1"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 ca="1">INDEX([12]ČR!$D$18:$D$383,DATE(2016,MONTH(S123),DAY(S123))-DATE(2016,1,1)+1,1)/1000000</f>
        <v>13.530714254331093</v>
      </c>
      <c r="U123" s="77">
        <f ca="1">IF(T!$A$4&gt;=MONTH(S123),VLOOKUP(S123,'[8]Podklady MZ'!$R$2:$S$367,2,FALSE),NA())</f>
        <v>14.767872927011197</v>
      </c>
      <c r="V123" s="176">
        <f ca="1">INDEX([5]PT!$AF$16:$AF$381,DATE(2016,MONTH(S123),DAY(S123))-DATE(2016,1,1)+1,1)</f>
        <v>8.8000000000000007</v>
      </c>
      <c r="W123" s="176" t="e">
        <f ca="1"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 ca="1">INDEX([12]ČR!$D$18:$D$383,DATE(2016,MONTH(S124),DAY(S124))-DATE(2016,1,1)+1,1)/1000000</f>
        <v>16.690623805383037</v>
      </c>
      <c r="U124" s="77">
        <f ca="1">IF(T!$A$4&gt;=MONTH(S124),VLOOKUP(S124,'[8]Podklady MZ'!$R$2:$S$367,2,FALSE),NA())</f>
        <v>15.143156882783456</v>
      </c>
      <c r="V124" s="176">
        <f ca="1">INDEX([5]PT!$AF$16:$AF$381,DATE(2016,MONTH(S124),DAY(S124))-DATE(2016,1,1)+1,1)</f>
        <v>10.199999999999999</v>
      </c>
      <c r="W124" s="176" t="e">
        <f ca="1"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 ca="1">INDEX([12]ČR!$D$18:$D$383,DATE(2016,MONTH(S125),DAY(S125))-DATE(2016,1,1)+1,1)/1000000</f>
        <v>16.897915301249057</v>
      </c>
      <c r="U125" s="77">
        <f ca="1">IF(T!$A$4&gt;=MONTH(S125),VLOOKUP(S125,'[8]Podklady MZ'!$R$2:$S$367,2,FALSE),NA())</f>
        <v>14.6251661408568</v>
      </c>
      <c r="V125" s="176">
        <f ca="1">INDEX([5]PT!$AF$16:$AF$381,DATE(2016,MONTH(S125),DAY(S125))-DATE(2016,1,1)+1,1)</f>
        <v>15.7</v>
      </c>
      <c r="W125" s="176" t="e">
        <f ca="1"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 ca="1">INDEX([12]ČR!$D$18:$D$383,DATE(2016,MONTH(S126),DAY(S126))-DATE(2016,1,1)+1,1)/1000000</f>
        <v>18.958099619848774</v>
      </c>
      <c r="U126" s="77">
        <f ca="1">IF(T!$A$4&gt;=MONTH(S126),VLOOKUP(S126,'[8]Podklady MZ'!$R$2:$S$367,2,FALSE),NA())</f>
        <v>12.576014414092121</v>
      </c>
      <c r="V126" s="176">
        <f ca="1">INDEX([5]PT!$AF$16:$AF$381,DATE(2016,MONTH(S126),DAY(S126))-DATE(2016,1,1)+1,1)</f>
        <v>18.600000000000001</v>
      </c>
      <c r="W126" s="176" t="e">
        <f ca="1"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 ca="1">INDEX([12]ČR!$D$18:$D$383,DATE(2016,MONTH(S127),DAY(S127))-DATE(2016,1,1)+1,1)/1000000</f>
        <v>16.412153539843366</v>
      </c>
      <c r="U127" s="77">
        <f ca="1">IF(T!$A$4&gt;=MONTH(S127),VLOOKUP(S127,'[8]Podklady MZ'!$R$2:$S$367,2,FALSE),NA())</f>
        <v>13.709271554327715</v>
      </c>
      <c r="V127" s="176">
        <f ca="1">INDEX([5]PT!$AF$16:$AF$381,DATE(2016,MONTH(S127),DAY(S127))-DATE(2016,1,1)+1,1)</f>
        <v>13</v>
      </c>
      <c r="W127" s="176" t="e">
        <f ca="1"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 ca="1">INDEX([12]ČR!$D$18:$D$383,DATE(2016,MONTH(S128),DAY(S128))-DATE(2016,1,1)+1,1)/1000000</f>
        <v>16.923185342344148</v>
      </c>
      <c r="U128" s="77">
        <f ca="1">IF(T!$A$4&gt;=MONTH(S128),VLOOKUP(S128,'[8]Podklady MZ'!$R$2:$S$367,2,FALSE),NA())</f>
        <v>13.270363165519885</v>
      </c>
      <c r="V128" s="176">
        <f ca="1">INDEX([5]PT!$AF$16:$AF$381,DATE(2016,MONTH(S128),DAY(S128))-DATE(2016,1,1)+1,1)</f>
        <v>12</v>
      </c>
      <c r="W128" s="176" t="e">
        <f ca="1"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 ca="1">INDEX([12]ČR!$D$18:$D$383,DATE(2016,MONTH(S129),DAY(S129))-DATE(2016,1,1)+1,1)/1000000</f>
        <v>13.588580026644813</v>
      </c>
      <c r="U129" s="77">
        <f ca="1">IF(T!$A$4&gt;=MONTH(S129),VLOOKUP(S129,'[8]Podklady MZ'!$R$2:$S$367,2,FALSE),NA())</f>
        <v>11.296329223612155</v>
      </c>
      <c r="V129" s="176">
        <f ca="1">INDEX([5]PT!$AF$16:$AF$381,DATE(2016,MONTH(S129),DAY(S129))-DATE(2016,1,1)+1,1)</f>
        <v>13.7</v>
      </c>
      <c r="W129" s="176" t="e">
        <f ca="1"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 ca="1">INDEX([12]ČR!$D$18:$D$383,DATE(2016,MONTH(S130),DAY(S130))-DATE(2016,1,1)+1,1)/1000000</f>
        <v>13.035132222069764</v>
      </c>
      <c r="U130" s="77">
        <f ca="1">IF(T!$A$4&gt;=MONTH(S130),VLOOKUP(S130,'[8]Podklady MZ'!$R$2:$S$367,2,FALSE),NA())</f>
        <v>10.967310771832761</v>
      </c>
      <c r="V130" s="176">
        <f ca="1">INDEX([5]PT!$AF$16:$AF$381,DATE(2016,MONTH(S130),DAY(S130))-DATE(2016,1,1)+1,1)</f>
        <v>13.6</v>
      </c>
      <c r="W130" s="176" t="e">
        <f ca="1"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 ca="1">INDEX([12]ČR!$D$18:$D$383,DATE(2016,MONTH(S131),DAY(S131))-DATE(2016,1,1)+1,1)/1000000</f>
        <v>11.394917291532799</v>
      </c>
      <c r="U131" s="77">
        <f ca="1">IF(T!$A$4&gt;=MONTH(S131),VLOOKUP(S131,'[8]Podklady MZ'!$R$2:$S$367,2,FALSE),NA())</f>
        <v>11.95038705519555</v>
      </c>
      <c r="V131" s="176">
        <f ca="1">INDEX([5]PT!$AF$16:$AF$381,DATE(2016,MONTH(S131),DAY(S131))-DATE(2016,1,1)+1,1)</f>
        <v>12.7</v>
      </c>
      <c r="W131" s="176" t="e">
        <f ca="1"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 ca="1">INDEX([12]ČR!$D$18:$D$383,DATE(2016,MONTH(S132),DAY(S132))-DATE(2016,1,1)+1,1)/1000000</f>
        <v>13.100809517095797</v>
      </c>
      <c r="U132" s="77">
        <f ca="1">IF(T!$A$4&gt;=MONTH(S132),VLOOKUP(S132,'[8]Podklady MZ'!$R$2:$S$367,2,FALSE),NA())</f>
        <v>13.656535597894518</v>
      </c>
      <c r="V132" s="176">
        <f ca="1">INDEX([5]PT!$AF$16:$AF$381,DATE(2016,MONTH(S132),DAY(S132))-DATE(2016,1,1)+1,1)</f>
        <v>12.1</v>
      </c>
      <c r="W132" s="176" t="e">
        <f ca="1"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 ca="1">INDEX([12]ČR!$D$18:$D$383,DATE(2016,MONTH(S133),DAY(S133))-DATE(2016,1,1)+1,1)/1000000</f>
        <v>15.968776169667855</v>
      </c>
      <c r="U133" s="77">
        <f ca="1">IF(T!$A$4&gt;=MONTH(S133),VLOOKUP(S133,'[8]Podklady MZ'!$R$2:$S$367,2,FALSE),NA())</f>
        <v>12.818165560704808</v>
      </c>
      <c r="V133" s="176">
        <f ca="1">INDEX([5]PT!$AF$16:$AF$381,DATE(2016,MONTH(S133),DAY(S133))-DATE(2016,1,1)+1,1)</f>
        <v>17</v>
      </c>
      <c r="W133" s="176" t="e">
        <f ca="1"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 ca="1">INDEX([12]ČR!$D$18:$D$383,DATE(2016,MONTH(S134),DAY(S134))-DATE(2016,1,1)+1,1)/1000000</f>
        <v>16.660640374974943</v>
      </c>
      <c r="U134" s="77">
        <f ca="1">IF(T!$A$4&gt;=MONTH(S134),VLOOKUP(S134,'[8]Podklady MZ'!$R$2:$S$367,2,FALSE),NA())</f>
        <v>12.775069638668246</v>
      </c>
      <c r="V134" s="176">
        <f ca="1">INDEX([5]PT!$AF$16:$AF$381,DATE(2016,MONTH(S134),DAY(S134))-DATE(2016,1,1)+1,1)</f>
        <v>14.5</v>
      </c>
      <c r="W134" s="176" t="e">
        <f ca="1"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 ca="1">INDEX([12]ČR!$D$18:$D$383,DATE(2016,MONTH(S135),DAY(S135))-DATE(2016,1,1)+1,1)/1000000</f>
        <v>18.08790069134259</v>
      </c>
      <c r="U135" s="77">
        <f ca="1">IF(T!$A$4&gt;=MONTH(S135),VLOOKUP(S135,'[8]Podklady MZ'!$R$2:$S$367,2,FALSE),NA())</f>
        <v>13.531678054988188</v>
      </c>
      <c r="V135" s="176">
        <f ca="1">INDEX([5]PT!$AF$16:$AF$381,DATE(2016,MONTH(S135),DAY(S135))-DATE(2016,1,1)+1,1)</f>
        <v>11.7</v>
      </c>
      <c r="W135" s="176" t="e">
        <f ca="1"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 ca="1">INDEX([12]ČR!$D$18:$D$383,DATE(2016,MONTH(S136),DAY(S136))-DATE(2016,1,1)+1,1)/1000000</f>
        <v>19.465409272283821</v>
      </c>
      <c r="U136" s="77">
        <f ca="1">IF(T!$A$4&gt;=MONTH(S136),VLOOKUP(S136,'[8]Podklady MZ'!$R$2:$S$367,2,FALSE),NA())</f>
        <v>13.086464438385905</v>
      </c>
      <c r="V136" s="176">
        <f ca="1">INDEX([5]PT!$AF$16:$AF$381,DATE(2016,MONTH(S136),DAY(S136))-DATE(2016,1,1)+1,1)</f>
        <v>11.1</v>
      </c>
      <c r="W136" s="176" t="e">
        <f ca="1"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 ca="1">INDEX([12]ČR!$D$18:$D$383,DATE(2016,MONTH(S137),DAY(S137))-DATE(2016,1,1)+1,1)/1000000</f>
        <v>19.278662465318448</v>
      </c>
      <c r="U137" s="77">
        <f ca="1">IF(T!$A$4&gt;=MONTH(S137),VLOOKUP(S137,'[8]Podklady MZ'!$R$2:$S$367,2,FALSE),NA())</f>
        <v>10.500449937414034</v>
      </c>
      <c r="V137" s="176">
        <f ca="1">INDEX([5]PT!$AF$16:$AF$381,DATE(2016,MONTH(S137),DAY(S137))-DATE(2016,1,1)+1,1)</f>
        <v>15.1</v>
      </c>
      <c r="W137" s="176" t="e">
        <f ca="1"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 ca="1">INDEX([12]ČR!$D$18:$D$383,DATE(2016,MONTH(S138),DAY(S138))-DATE(2016,1,1)+1,1)/1000000</f>
        <v>16.827935520045752</v>
      </c>
      <c r="U138" s="77">
        <f ca="1">IF(T!$A$4&gt;=MONTH(S138),VLOOKUP(S138,'[8]Podklady MZ'!$R$2:$S$367,2,FALSE),NA())</f>
        <v>11.476216254816855</v>
      </c>
      <c r="V138" s="176">
        <f ca="1">INDEX([5]PT!$AF$16:$AF$381,DATE(2016,MONTH(S138),DAY(S138))-DATE(2016,1,1)+1,1)</f>
        <v>12.1</v>
      </c>
      <c r="W138" s="176" t="e">
        <f ca="1"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 ca="1">INDEX([12]ČR!$D$18:$D$383,DATE(2016,MONTH(S139),DAY(S139))-DATE(2016,1,1)+1,1)/1000000</f>
        <v>16.379231071060332</v>
      </c>
      <c r="U139" s="77">
        <f ca="1">IF(T!$A$4&gt;=MONTH(S139),VLOOKUP(S139,'[8]Podklady MZ'!$R$2:$S$367,2,FALSE),NA())</f>
        <v>12.67374784235955</v>
      </c>
      <c r="V139" s="176">
        <f ca="1">INDEX([5]PT!$AF$16:$AF$381,DATE(2016,MONTH(S139),DAY(S139))-DATE(2016,1,1)+1,1)</f>
        <v>15</v>
      </c>
      <c r="W139" s="176" t="e">
        <f ca="1"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 ca="1">INDEX([12]ČR!$D$18:$D$383,DATE(2016,MONTH(S140),DAY(S140))-DATE(2016,1,1)+1,1)/1000000</f>
        <v>14.917899861760551</v>
      </c>
      <c r="U140" s="77">
        <f ca="1">IF(T!$A$4&gt;=MONTH(S140),VLOOKUP(S140,'[8]Podklady MZ'!$R$2:$S$367,2,FALSE),NA())</f>
        <v>12.492318306386101</v>
      </c>
      <c r="V140" s="176">
        <f ca="1">INDEX([5]PT!$AF$16:$AF$381,DATE(2016,MONTH(S140),DAY(S140))-DATE(2016,1,1)+1,1)</f>
        <v>14.2</v>
      </c>
      <c r="W140" s="176" t="e">
        <f ca="1"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 ca="1">INDEX([12]ČR!$D$18:$D$383,DATE(2016,MONTH(S141),DAY(S141))-DATE(2016,1,1)+1,1)/1000000</f>
        <v>12.582811552043109</v>
      </c>
      <c r="U141" s="77">
        <f ca="1">IF(T!$A$4&gt;=MONTH(S141),VLOOKUP(S141,'[8]Podklady MZ'!$R$2:$S$367,2,FALSE),NA())</f>
        <v>14.371762580338837</v>
      </c>
      <c r="V141" s="176">
        <f ca="1">INDEX([5]PT!$AF$16:$AF$381,DATE(2016,MONTH(S141),DAY(S141))-DATE(2016,1,1)+1,1)</f>
        <v>10</v>
      </c>
      <c r="W141" s="176" t="e">
        <f ca="1"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 ca="1">INDEX([12]ČR!$D$18:$D$383,DATE(2016,MONTH(S142),DAY(S142))-DATE(2016,1,1)+1,1)/1000000</f>
        <v>11.65639295006318</v>
      </c>
      <c r="U142" s="77">
        <f ca="1">IF(T!$A$4&gt;=MONTH(S142),VLOOKUP(S142,'[8]Podklady MZ'!$R$2:$S$367,2,FALSE),NA())</f>
        <v>14.993792525981231</v>
      </c>
      <c r="V142" s="176">
        <f ca="1">INDEX([5]PT!$AF$16:$AF$381,DATE(2016,MONTH(S142),DAY(S142))-DATE(2016,1,1)+1,1)</f>
        <v>10.3</v>
      </c>
      <c r="W142" s="176" t="e">
        <f ca="1"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 ca="1">INDEX([12]ČR!$D$18:$D$383,DATE(2016,MONTH(S143),DAY(S143))-DATE(2016,1,1)+1,1)/1000000</f>
        <v>11.132254807470311</v>
      </c>
      <c r="U143" s="77">
        <f ca="1">IF(T!$A$4&gt;=MONTH(S143),VLOOKUP(S143,'[8]Podklady MZ'!$R$2:$S$367,2,FALSE),NA())</f>
        <v>13.563665394289348</v>
      </c>
      <c r="V143" s="176">
        <f ca="1">INDEX([5]PT!$AF$16:$AF$381,DATE(2016,MONTH(S143),DAY(S143))-DATE(2016,1,1)+1,1)</f>
        <v>12</v>
      </c>
      <c r="W143" s="176" t="e">
        <f ca="1"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 ca="1">INDEX([12]ČR!$D$18:$D$383,DATE(2016,MONTH(S144),DAY(S144))-DATE(2016,1,1)+1,1)/1000000</f>
        <v>10.478143930618685</v>
      </c>
      <c r="U144" s="77">
        <f ca="1">IF(T!$A$4&gt;=MONTH(S144),VLOOKUP(S144,'[8]Podklady MZ'!$R$2:$S$367,2,FALSE),NA())</f>
        <v>11.94106489789457</v>
      </c>
      <c r="V144" s="176">
        <f ca="1">INDEX([5]PT!$AF$16:$AF$381,DATE(2016,MONTH(S144),DAY(S144))-DATE(2016,1,1)+1,1)</f>
        <v>12.2</v>
      </c>
      <c r="W144" s="176" t="e">
        <f ca="1"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 ca="1">INDEX([12]ČR!$D$18:$D$383,DATE(2016,MONTH(S145),DAY(S145))-DATE(2016,1,1)+1,1)/1000000</f>
        <v>9.2781211312542951</v>
      </c>
      <c r="U145" s="77">
        <f ca="1">IF(T!$A$4&gt;=MONTH(S145),VLOOKUP(S145,'[8]Podklady MZ'!$R$2:$S$367,2,FALSE),NA())</f>
        <v>12.158847009693631</v>
      </c>
      <c r="V145" s="176">
        <f ca="1">INDEX([5]PT!$AF$16:$AF$381,DATE(2016,MONTH(S145),DAY(S145))-DATE(2016,1,1)+1,1)</f>
        <v>12.3</v>
      </c>
      <c r="W145" s="176" t="e">
        <f ca="1"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 ca="1">INDEX([12]ČR!$D$18:$D$383,DATE(2016,MONTH(S146),DAY(S146))-DATE(2016,1,1)+1,1)/1000000</f>
        <v>9.656171123571907</v>
      </c>
      <c r="U146" s="77">
        <f ca="1">IF(T!$A$4&gt;=MONTH(S146),VLOOKUP(S146,'[8]Podklady MZ'!$R$2:$S$367,2,FALSE),NA())</f>
        <v>12.976170584964329</v>
      </c>
      <c r="V146" s="176">
        <f ca="1">INDEX([5]PT!$AF$16:$AF$381,DATE(2016,MONTH(S146),DAY(S146))-DATE(2016,1,1)+1,1)</f>
        <v>14.6</v>
      </c>
      <c r="W146" s="176" t="e">
        <f ca="1"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 ca="1">INDEX([12]ČR!$D$18:$D$383,DATE(2016,MONTH(S147),DAY(S147))-DATE(2016,1,1)+1,1)/1000000</f>
        <v>10.865945761979171</v>
      </c>
      <c r="U147" s="77">
        <f ca="1">IF(T!$A$4&gt;=MONTH(S147),VLOOKUP(S147,'[8]Podklady MZ'!$R$2:$S$367,2,FALSE),NA())</f>
        <v>14.898406635112032</v>
      </c>
      <c r="V147" s="176">
        <f ca="1">INDEX([5]PT!$AF$16:$AF$381,DATE(2016,MONTH(S147),DAY(S147))-DATE(2016,1,1)+1,1)</f>
        <v>11.2</v>
      </c>
      <c r="W147" s="176" t="e">
        <f ca="1"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 ca="1">INDEX([12]ČR!$D$18:$D$383,DATE(2016,MONTH(S148),DAY(S148))-DATE(2016,1,1)+1,1)/1000000</f>
        <v>11.108612309215228</v>
      </c>
      <c r="U148" s="77">
        <f ca="1">IF(T!$A$4&gt;=MONTH(S148),VLOOKUP(S148,'[8]Podklady MZ'!$R$2:$S$367,2,FALSE),NA())</f>
        <v>15.932884208442607</v>
      </c>
      <c r="V148" s="176">
        <f ca="1">INDEX([5]PT!$AF$16:$AF$381,DATE(2016,MONTH(S148),DAY(S148))-DATE(2016,1,1)+1,1)</f>
        <v>9.6999999999999993</v>
      </c>
      <c r="W148" s="176" t="e">
        <f ca="1"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 ca="1">INDEX([12]ČR!$D$18:$D$383,DATE(2016,MONTH(S149),DAY(S149))-DATE(2016,1,1)+1,1)/1000000</f>
        <v>11.808502084814611</v>
      </c>
      <c r="U149" s="77">
        <f ca="1">IF(T!$A$4&gt;=MONTH(S149),VLOOKUP(S149,'[8]Podklady MZ'!$R$2:$S$367,2,FALSE),NA())</f>
        <v>14.175583541636694</v>
      </c>
      <c r="V149" s="176">
        <f ca="1">INDEX([5]PT!$AF$16:$AF$381,DATE(2016,MONTH(S149),DAY(S149))-DATE(2016,1,1)+1,1)</f>
        <v>11.3</v>
      </c>
      <c r="W149" s="176" t="e">
        <f ca="1"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 ca="1">INDEX([12]ČR!$D$18:$D$383,DATE(2016,MONTH(S150),DAY(S150))-DATE(2016,1,1)+1,1)/1000000</f>
        <v>13.226022867156464</v>
      </c>
      <c r="U150" s="77">
        <f ca="1">IF(T!$A$4&gt;=MONTH(S150),VLOOKUP(S150,'[8]Podklady MZ'!$R$2:$S$367,2,FALSE),NA())</f>
        <v>12.172517298062198</v>
      </c>
      <c r="V150" s="176">
        <f ca="1">INDEX([5]PT!$AF$16:$AF$381,DATE(2016,MONTH(S150),DAY(S150))-DATE(2016,1,1)+1,1)</f>
        <v>14.8</v>
      </c>
      <c r="W150" s="176" t="e">
        <f ca="1"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 ca="1">INDEX([12]ČR!$D$18:$D$383,DATE(2016,MONTH(S151),DAY(S151))-DATE(2016,1,1)+1,1)/1000000</f>
        <v>12.987815079649232</v>
      </c>
      <c r="U151" s="77">
        <f ca="1">IF(T!$A$4&gt;=MONTH(S151),VLOOKUP(S151,'[8]Podklady MZ'!$R$2:$S$367,2,FALSE),NA())</f>
        <v>10.217129826079109</v>
      </c>
      <c r="V151" s="176">
        <f ca="1">INDEX([5]PT!$AF$16:$AF$381,DATE(2016,MONTH(S151),DAY(S151))-DATE(2016,1,1)+1,1)</f>
        <v>13.9</v>
      </c>
      <c r="W151" s="176" t="e">
        <f ca="1"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 ca="1">INDEX([12]ČR!$D$18:$D$383,DATE(2016,MONTH(S152),DAY(S152))-DATE(2016,1,1)+1,1)/1000000</f>
        <v>10.185478109816755</v>
      </c>
      <c r="U152" s="77">
        <f ca="1">IF(T!$A$4&gt;=MONTH(S152),VLOOKUP(S152,'[8]Podklady MZ'!$R$2:$S$367,2,FALSE),NA())</f>
        <v>9.9833297936764538</v>
      </c>
      <c r="V152" s="176">
        <f ca="1">INDEX([5]PT!$AF$16:$AF$381,DATE(2016,MONTH(S152),DAY(S152))-DATE(2016,1,1)+1,1)</f>
        <v>15.5</v>
      </c>
      <c r="W152" s="176" t="e">
        <f ca="1"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 ca="1">INDEX([12]ČR!$D$18:$D$383,DATE(2016,MONTH(S153),DAY(S153))-DATE(2016,1,1)+1,1)/1000000</f>
        <v>10.15248238828606</v>
      </c>
      <c r="U153" s="77">
        <f ca="1">IF(T!$A$4&gt;=MONTH(S153),VLOOKUP(S153,'[8]Podklady MZ'!$R$2:$S$367,2,FALSE),NA())</f>
        <v>11.138553848757228</v>
      </c>
      <c r="V153" s="176">
        <f ca="1">INDEX([5]PT!$AF$16:$AF$381,DATE(2016,MONTH(S153),DAY(S153))-DATE(2016,1,1)+1,1)</f>
        <v>18.2</v>
      </c>
      <c r="W153" s="176" t="e">
        <f ca="1"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 ca="1">INDEX([12]ČR!$D$18:$D$383,DATE(2016,MONTH(S154),DAY(S154))-DATE(2016,1,1)+1,1)/1000000</f>
        <v>11.904707076860088</v>
      </c>
      <c r="U154" s="77">
        <f ca="1">IF(T!$A$4&gt;=MONTH(S154),VLOOKUP(S154,'[8]Podklady MZ'!$R$2:$S$367,2,FALSE),NA())</f>
        <v>11.003023012763272</v>
      </c>
      <c r="V154" s="176">
        <f ca="1">INDEX([5]PT!$AF$16:$AF$381,DATE(2016,MONTH(S154),DAY(S154))-DATE(2016,1,1)+1,1)</f>
        <v>19.600000000000001</v>
      </c>
      <c r="W154" s="176" t="e">
        <f ca="1"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 ca="1">INDEX([12]ČR!$D$18:$D$383,DATE(2016,MONTH(S155),DAY(S155))-DATE(2016,1,1)+1,1)/1000000</f>
        <v>12.10654944422572</v>
      </c>
      <c r="U155" s="77">
        <f ca="1">IF(T!$A$4&gt;=MONTH(S155),VLOOKUP(S155,'[8]Podklady MZ'!$R$2:$S$367,2,FALSE),NA())</f>
        <v>10.573388433417819</v>
      </c>
      <c r="V155" s="176">
        <f ca="1">INDEX([5]PT!$AF$16:$AF$381,DATE(2016,MONTH(S155),DAY(S155))-DATE(2016,1,1)+1,1)</f>
        <v>22.1</v>
      </c>
      <c r="W155" s="176" t="e">
        <f ca="1"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 ca="1">INDEX([12]ČR!$D$18:$D$383,DATE(2016,MONTH(S156),DAY(S156))-DATE(2016,1,1)+1,1)/1000000</f>
        <v>11.447167474483827</v>
      </c>
      <c r="U156" s="77">
        <f ca="1">IF(T!$A$4&gt;=MONTH(S156),VLOOKUP(S156,'[8]Podklady MZ'!$R$2:$S$367,2,FALSE),NA())</f>
        <v>10.746849399797272</v>
      </c>
      <c r="V156" s="176">
        <f ca="1">INDEX([5]PT!$AF$16:$AF$381,DATE(2016,MONTH(S156),DAY(S156))-DATE(2016,1,1)+1,1)</f>
        <v>18.100000000000001</v>
      </c>
      <c r="W156" s="176" t="e">
        <f ca="1"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 ca="1">INDEX([12]ČR!$D$18:$D$383,DATE(2016,MONTH(S157),DAY(S157))-DATE(2016,1,1)+1,1)/1000000</f>
        <v>11.437560478995836</v>
      </c>
      <c r="U157" s="77">
        <f ca="1">IF(T!$A$4&gt;=MONTH(S157),VLOOKUP(S157,'[8]Podklady MZ'!$R$2:$S$367,2,FALSE),NA())</f>
        <v>10.160940166784341</v>
      </c>
      <c r="V157" s="176">
        <f ca="1">INDEX([5]PT!$AF$16:$AF$381,DATE(2016,MONTH(S157),DAY(S157))-DATE(2016,1,1)+1,1)</f>
        <v>19</v>
      </c>
      <c r="W157" s="176" t="e">
        <f ca="1"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 ca="1">INDEX([12]ČR!$D$18:$D$383,DATE(2016,MONTH(S158),DAY(S158))-DATE(2016,1,1)+1,1)/1000000</f>
        <v>10.650905861959252</v>
      </c>
      <c r="U158" s="77">
        <f ca="1">IF(T!$A$4&gt;=MONTH(S158),VLOOKUP(S158,'[8]Podklady MZ'!$R$2:$S$367,2,FALSE),NA())</f>
        <v>8.219274334229274</v>
      </c>
      <c r="V158" s="176">
        <f ca="1">INDEX([5]PT!$AF$16:$AF$381,DATE(2016,MONTH(S158),DAY(S158))-DATE(2016,1,1)+1,1)</f>
        <v>22</v>
      </c>
      <c r="W158" s="176" t="e">
        <f ca="1"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 ca="1">INDEX([12]ČR!$D$18:$D$383,DATE(2016,MONTH(S159),DAY(S159))-DATE(2016,1,1)+1,1)/1000000</f>
        <v>8.3705384507673894</v>
      </c>
      <c r="U159" s="77">
        <f ca="1">IF(T!$A$4&gt;=MONTH(S159),VLOOKUP(S159,'[8]Podklady MZ'!$R$2:$S$367,2,FALSE),NA())</f>
        <v>8.7818334472753126</v>
      </c>
      <c r="V159" s="176">
        <f ca="1">INDEX([5]PT!$AF$16:$AF$381,DATE(2016,MONTH(S159),DAY(S159))-DATE(2016,1,1)+1,1)</f>
        <v>21.1</v>
      </c>
      <c r="W159" s="176" t="e">
        <f ca="1"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 ca="1">INDEX([12]ČR!$D$18:$D$383,DATE(2016,MONTH(S160),DAY(S160))-DATE(2016,1,1)+1,1)/1000000</f>
        <v>8.5228338222967643</v>
      </c>
      <c r="U160" s="77">
        <f ca="1">IF(T!$A$4&gt;=MONTH(S160),VLOOKUP(S160,'[8]Podklady MZ'!$R$2:$S$367,2,FALSE),NA())</f>
        <v>10.694449652365083</v>
      </c>
      <c r="V160" s="176">
        <f ca="1">INDEX([5]PT!$AF$16:$AF$381,DATE(2016,MONTH(S160),DAY(S160))-DATE(2016,1,1)+1,1)</f>
        <v>17.3</v>
      </c>
      <c r="W160" s="176" t="e">
        <f ca="1"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 ca="1">INDEX([12]ČR!$D$18:$D$383,DATE(2016,MONTH(S161),DAY(S161))-DATE(2016,1,1)+1,1)/1000000</f>
        <v>9.9708936924618925</v>
      </c>
      <c r="U161" s="77">
        <f ca="1">IF(T!$A$4&gt;=MONTH(S161),VLOOKUP(S161,'[8]Podklady MZ'!$R$2:$S$367,2,FALSE),NA())</f>
        <v>11.318170860413256</v>
      </c>
      <c r="V161" s="176">
        <f ca="1">INDEX([5]PT!$AF$16:$AF$381,DATE(2016,MONTH(S161),DAY(S161))-DATE(2016,1,1)+1,1)</f>
        <v>13.5</v>
      </c>
      <c r="W161" s="176" t="e">
        <f ca="1"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 ca="1">INDEX([12]ČR!$D$18:$D$383,DATE(2016,MONTH(S162),DAY(S162))-DATE(2016,1,1)+1,1)/1000000</f>
        <v>10.027914164128793</v>
      </c>
      <c r="U162" s="77">
        <f ca="1">IF(T!$A$4&gt;=MONTH(S162),VLOOKUP(S162,'[8]Podklady MZ'!$R$2:$S$367,2,FALSE),NA())</f>
        <v>10.856343232966216</v>
      </c>
      <c r="V162" s="176">
        <f ca="1">INDEX([5]PT!$AF$16:$AF$381,DATE(2016,MONTH(S162),DAY(S162))-DATE(2016,1,1)+1,1)</f>
        <v>15.6</v>
      </c>
      <c r="W162" s="176" t="e">
        <f ca="1"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 ca="1">INDEX([12]ČR!$D$18:$D$383,DATE(2016,MONTH(S163),DAY(S163))-DATE(2016,1,1)+1,1)/1000000</f>
        <v>10.043812557867874</v>
      </c>
      <c r="U163" s="77">
        <f ca="1">IF(T!$A$4&gt;=MONTH(S163),VLOOKUP(S163,'[8]Podklady MZ'!$R$2:$S$367,2,FALSE),NA())</f>
        <v>10.592796184617917</v>
      </c>
      <c r="V163" s="176">
        <f ca="1">INDEX([5]PT!$AF$16:$AF$381,DATE(2016,MONTH(S163),DAY(S163))-DATE(2016,1,1)+1,1)</f>
        <v>18.399999999999999</v>
      </c>
      <c r="W163" s="176" t="e">
        <f ca="1"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 ca="1">INDEX([12]ČR!$D$18:$D$383,DATE(2016,MONTH(S164),DAY(S164))-DATE(2016,1,1)+1,1)/1000000</f>
        <v>10.241127851957762</v>
      </c>
      <c r="U164" s="77">
        <f ca="1">IF(T!$A$4&gt;=MONTH(S164),VLOOKUP(S164,'[8]Podklady MZ'!$R$2:$S$367,2,FALSE),NA())</f>
        <v>9.7578283784183615</v>
      </c>
      <c r="V164" s="176">
        <f ca="1">INDEX([5]PT!$AF$16:$AF$381,DATE(2016,MONTH(S164),DAY(S164))-DATE(2016,1,1)+1,1)</f>
        <v>22.2</v>
      </c>
      <c r="W164" s="176" t="e">
        <f ca="1"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 ca="1">INDEX([12]ČR!$D$18:$D$383,DATE(2016,MONTH(S165),DAY(S165))-DATE(2016,1,1)+1,1)/1000000</f>
        <v>9.9643058678718344</v>
      </c>
      <c r="U165" s="77">
        <f ca="1">IF(T!$A$4&gt;=MONTH(S165),VLOOKUP(S165,'[8]Podklady MZ'!$R$2:$S$367,2,FALSE),NA())</f>
        <v>8.0874519176162973</v>
      </c>
      <c r="V165" s="176">
        <f ca="1">INDEX([5]PT!$AF$16:$AF$381,DATE(2016,MONTH(S165),DAY(S165))-DATE(2016,1,1)+1,1)</f>
        <v>21</v>
      </c>
      <c r="W165" s="176" t="e">
        <f ca="1"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 ca="1">INDEX([12]ČR!$D$18:$D$383,DATE(2016,MONTH(S166),DAY(S166))-DATE(2016,1,1)+1,1)/1000000</f>
        <v>8.3940769619728677</v>
      </c>
      <c r="U166" s="77">
        <f ca="1">IF(T!$A$4&gt;=MONTH(S166),VLOOKUP(S166,'[8]Podklady MZ'!$R$2:$S$367,2,FALSE),NA())</f>
        <v>8.3527232431608116</v>
      </c>
      <c r="V166" s="176">
        <f ca="1">INDEX([5]PT!$AF$16:$AF$381,DATE(2016,MONTH(S166),DAY(S166))-DATE(2016,1,1)+1,1)</f>
        <v>19.5</v>
      </c>
      <c r="W166" s="176" t="e">
        <f ca="1"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 ca="1">INDEX([12]ČR!$D$18:$D$383,DATE(2016,MONTH(S167),DAY(S167))-DATE(2016,1,1)+1,1)/1000000</f>
        <v>8.9615799963818166</v>
      </c>
      <c r="U167" s="77">
        <f ca="1">IF(T!$A$4&gt;=MONTH(S167),VLOOKUP(S167,'[8]Podklady MZ'!$R$2:$S$367,2,FALSE),NA())</f>
        <v>10.533784697160701</v>
      </c>
      <c r="V167" s="176">
        <f ca="1">INDEX([5]PT!$AF$16:$AF$381,DATE(2016,MONTH(S167),DAY(S167))-DATE(2016,1,1)+1,1)</f>
        <v>16</v>
      </c>
      <c r="W167" s="176" t="e">
        <f ca="1"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 ca="1">INDEX([12]ČR!$D$18:$D$383,DATE(2016,MONTH(S168),DAY(S168))-DATE(2016,1,1)+1,1)/1000000</f>
        <v>10.34683262302074</v>
      </c>
      <c r="U168" s="77">
        <f ca="1">IF(T!$A$4&gt;=MONTH(S168),VLOOKUP(S168,'[8]Podklady MZ'!$R$2:$S$367,2,FALSE),NA())</f>
        <v>11.051272942360116</v>
      </c>
      <c r="V168" s="176">
        <f ca="1">INDEX([5]PT!$AF$16:$AF$381,DATE(2016,MONTH(S168),DAY(S168))-DATE(2016,1,1)+1,1)</f>
        <v>14.5</v>
      </c>
      <c r="W168" s="176" t="e">
        <f ca="1"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 ca="1">INDEX([12]ČR!$D$18:$D$383,DATE(2016,MONTH(S169),DAY(S169))-DATE(2016,1,1)+1,1)/1000000</f>
        <v>10.760986581887041</v>
      </c>
      <c r="U169" s="77">
        <f ca="1">IF(T!$A$4&gt;=MONTH(S169),VLOOKUP(S169,'[8]Podklady MZ'!$R$2:$S$367,2,FALSE),NA())</f>
        <v>11.171552968152533</v>
      </c>
      <c r="V169" s="176">
        <f ca="1">INDEX([5]PT!$AF$16:$AF$381,DATE(2016,MONTH(S169),DAY(S169))-DATE(2016,1,1)+1,1)</f>
        <v>12.3</v>
      </c>
      <c r="W169" s="176" t="e">
        <f ca="1"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 ca="1">INDEX([12]ČR!$D$18:$D$383,DATE(2016,MONTH(S170),DAY(S170))-DATE(2016,1,1)+1,1)/1000000</f>
        <v>10.600526513886642</v>
      </c>
      <c r="U170" s="77">
        <f ca="1">IF(T!$A$4&gt;=MONTH(S170),VLOOKUP(S170,'[8]Podklady MZ'!$R$2:$S$367,2,FALSE),NA())</f>
        <v>11.287807611347086</v>
      </c>
      <c r="V170" s="176">
        <f ca="1">INDEX([5]PT!$AF$16:$AF$381,DATE(2016,MONTH(S170),DAY(S170))-DATE(2016,1,1)+1,1)</f>
        <v>15</v>
      </c>
      <c r="W170" s="176" t="e">
        <f ca="1"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 ca="1">INDEX([12]ČR!$D$18:$D$383,DATE(2016,MONTH(S171),DAY(S171))-DATE(2016,1,1)+1,1)/1000000</f>
        <v>10.714300434425487</v>
      </c>
      <c r="U171" s="77">
        <f ca="1">IF(T!$A$4&gt;=MONTH(S171),VLOOKUP(S171,'[8]Podklady MZ'!$R$2:$S$367,2,FALSE),NA())</f>
        <v>11.221964926447567</v>
      </c>
      <c r="V171" s="176">
        <f ca="1">INDEX([5]PT!$AF$16:$AF$381,DATE(2016,MONTH(S171),DAY(S171))-DATE(2016,1,1)+1,1)</f>
        <v>11.9</v>
      </c>
      <c r="W171" s="176" t="e">
        <f ca="1"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 ca="1">INDEX([12]ČR!$D$18:$D$383,DATE(2016,MONTH(S172),DAY(S172))-DATE(2016,1,1)+1,1)/1000000</f>
        <v>10.506713240675518</v>
      </c>
      <c r="U172" s="77">
        <f ca="1">IF(T!$A$4&gt;=MONTH(S172),VLOOKUP(S172,'[8]Podklady MZ'!$R$2:$S$367,2,FALSE),NA())</f>
        <v>9.6320657383782624</v>
      </c>
      <c r="V172" s="176">
        <f ca="1">INDEX([5]PT!$AF$16:$AF$381,DATE(2016,MONTH(S172),DAY(S172))-DATE(2016,1,1)+1,1)</f>
        <v>11</v>
      </c>
      <c r="W172" s="176" t="e">
        <f ca="1"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 ca="1">INDEX([12]ČR!$D$18:$D$383,DATE(2016,MONTH(S173),DAY(S173))-DATE(2016,1,1)+1,1)/1000000</f>
        <v>9.0132577703847474</v>
      </c>
      <c r="U173" s="77">
        <f ca="1">IF(T!$A$4&gt;=MONTH(S173),VLOOKUP(S173,'[8]Podklady MZ'!$R$2:$S$367,2,FALSE),NA())</f>
        <v>10.068684557840834</v>
      </c>
      <c r="V173" s="176">
        <f ca="1">INDEX([5]PT!$AF$16:$AF$381,DATE(2016,MONTH(S173),DAY(S173))-DATE(2016,1,1)+1,1)</f>
        <v>12.5</v>
      </c>
      <c r="W173" s="176" t="e">
        <f ca="1"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 ca="1">INDEX([12]ČR!$D$18:$D$383,DATE(2016,MONTH(S174),DAY(S174))-DATE(2016,1,1)+1,1)/1000000</f>
        <v>9.3324508634722037</v>
      </c>
      <c r="U174" s="77">
        <f ca="1">IF(T!$A$4&gt;=MONTH(S174),VLOOKUP(S174,'[8]Podklady MZ'!$R$2:$S$367,2,FALSE),NA())</f>
        <v>11.900793448201846</v>
      </c>
      <c r="V174" s="176">
        <f ca="1">INDEX([5]PT!$AF$16:$AF$381,DATE(2016,MONTH(S174),DAY(S174))-DATE(2016,1,1)+1,1)</f>
        <v>13.7</v>
      </c>
      <c r="W174" s="176" t="e">
        <f ca="1"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 ca="1">INDEX([12]ČR!$D$18:$D$383,DATE(2016,MONTH(S175),DAY(S175))-DATE(2016,1,1)+1,1)/1000000</f>
        <v>10.792906177955933</v>
      </c>
      <c r="U175" s="77">
        <f ca="1">IF(T!$A$4&gt;=MONTH(S175),VLOOKUP(S175,'[8]Podklady MZ'!$R$2:$S$367,2,FALSE),NA())</f>
        <v>12.514668333493278</v>
      </c>
      <c r="V175" s="176">
        <f ca="1">INDEX([5]PT!$AF$16:$AF$381,DATE(2016,MONTH(S175),DAY(S175))-DATE(2016,1,1)+1,1)</f>
        <v>12</v>
      </c>
      <c r="W175" s="176" t="e">
        <f ca="1"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 ca="1">INDEX([12]ČR!$D$18:$D$383,DATE(2016,MONTH(S176),DAY(S176))-DATE(2016,1,1)+1,1)/1000000</f>
        <v>10.892712800524903</v>
      </c>
      <c r="U176" s="77">
        <f ca="1">IF(T!$A$4&gt;=MONTH(S176),VLOOKUP(S176,'[8]Podklady MZ'!$R$2:$S$367,2,FALSE),NA())</f>
        <v>12.524604969460771</v>
      </c>
      <c r="V176" s="176">
        <f ca="1">INDEX([5]PT!$AF$16:$AF$381,DATE(2016,MONTH(S176),DAY(S176))-DATE(2016,1,1)+1,1)</f>
        <v>12.8</v>
      </c>
      <c r="W176" s="176" t="e">
        <f ca="1"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 ca="1">INDEX([12]ČR!$D$18:$D$383,DATE(2016,MONTH(S177),DAY(S177))-DATE(2016,1,1)+1,1)/1000000</f>
        <v>11.272654750154253</v>
      </c>
      <c r="U177" s="77">
        <f ca="1">IF(T!$A$4&gt;=MONTH(S177),VLOOKUP(S177,'[8]Podklady MZ'!$R$2:$S$367,2,FALSE),NA())</f>
        <v>11.591579537906711</v>
      </c>
      <c r="V177" s="176">
        <f ca="1">INDEX([5]PT!$AF$16:$AF$381,DATE(2016,MONTH(S177),DAY(S177))-DATE(2016,1,1)+1,1)</f>
        <v>15.3</v>
      </c>
      <c r="W177" s="176" t="e">
        <f ca="1"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 ca="1">INDEX([12]ČR!$D$18:$D$383,DATE(2016,MONTH(S178),DAY(S178))-DATE(2016,1,1)+1,1)/1000000</f>
        <v>11.411749418376143</v>
      </c>
      <c r="U178" s="77">
        <f ca="1">IF(T!$A$4&gt;=MONTH(S178),VLOOKUP(S178,'[8]Podklady MZ'!$R$2:$S$367,2,FALSE),NA())</f>
        <v>10.491096429598116</v>
      </c>
      <c r="V178" s="176">
        <f ca="1">INDEX([5]PT!$AF$16:$AF$381,DATE(2016,MONTH(S178),DAY(S178))-DATE(2016,1,1)+1,1)</f>
        <v>18.2</v>
      </c>
      <c r="W178" s="176" t="e">
        <f ca="1"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 ca="1">INDEX([12]ČR!$D$18:$D$383,DATE(2016,MONTH(S179),DAY(S179))-DATE(2016,1,1)+1,1)/1000000</f>
        <v>10.932077565583153</v>
      </c>
      <c r="U179" s="77">
        <f ca="1">IF(T!$A$4&gt;=MONTH(S179),VLOOKUP(S179,'[8]Podklady MZ'!$R$2:$S$367,2,FALSE),NA())</f>
        <v>8.9860592689411707</v>
      </c>
      <c r="V179" s="176">
        <f ca="1">INDEX([5]PT!$AF$16:$AF$381,DATE(2016,MONTH(S179),DAY(S179))-DATE(2016,1,1)+1,1)</f>
        <v>17.2</v>
      </c>
      <c r="W179" s="176" t="e">
        <f ca="1"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 ca="1">INDEX([12]ČR!$D$18:$D$383,DATE(2016,MONTH(S180),DAY(S180))-DATE(2016,1,1)+1,1)/1000000</f>
        <v>9.1549912511486013</v>
      </c>
      <c r="U180" s="77">
        <f ca="1">IF(T!$A$4&gt;=MONTH(S180),VLOOKUP(S180,'[8]Podklady MZ'!$R$2:$S$367,2,FALSE),NA())</f>
        <v>9.2388504465816332</v>
      </c>
      <c r="V180" s="176">
        <f ca="1">INDEX([5]PT!$AF$16:$AF$381,DATE(2016,MONTH(S180),DAY(S180))-DATE(2016,1,1)+1,1)</f>
        <v>16.2</v>
      </c>
      <c r="W180" s="176" t="e">
        <f ca="1"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 ca="1">INDEX([12]ČR!$D$18:$D$383,DATE(2016,MONTH(S181),DAY(S181))-DATE(2016,1,1)+1,1)/1000000</f>
        <v>9.5811525882221371</v>
      </c>
      <c r="U181" s="77">
        <f ca="1">IF(T!$A$4&gt;=MONTH(S181),VLOOKUP(S181,'[8]Podklady MZ'!$R$2:$S$367,2,FALSE),NA())</f>
        <v>11.076462548321208</v>
      </c>
      <c r="V181" s="176">
        <f ca="1">INDEX([5]PT!$AF$16:$AF$381,DATE(2016,MONTH(S181),DAY(S181))-DATE(2016,1,1)+1,1)</f>
        <v>16.8</v>
      </c>
      <c r="W181" s="176" t="e">
        <f ca="1"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 ca="1">INDEX([12]ČR!$D$18:$D$383,DATE(2016,MONTH(S182),DAY(S182))-DATE(2016,1,1)+1,1)/1000000</f>
        <v>11.38615884981731</v>
      </c>
      <c r="U182" s="77">
        <f ca="1">IF(T!$A$4&gt;=MONTH(S182),VLOOKUP(S182,'[8]Podklady MZ'!$R$2:$S$367,2,FALSE),NA())</f>
        <v>10.832951940338289</v>
      </c>
      <c r="V182" s="176">
        <f ca="1">INDEX([5]PT!$AF$16:$AF$381,DATE(2016,MONTH(S182),DAY(S182))-DATE(2016,1,1)+1,1)</f>
        <v>19.399999999999999</v>
      </c>
      <c r="W182" s="176" t="e">
        <f ca="1"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 ca="1">INDEX([12]ČR!$D$18:$D$383,DATE(2016,MONTH(S183),DAY(S183))-DATE(2016,1,1)+1,1)/1000000</f>
        <v>11.058233001489125</v>
      </c>
      <c r="U183" s="77">
        <f ca="1">IF(T!$A$4&gt;=MONTH(S183),VLOOKUP(S183,'[8]Podklady MZ'!$R$2:$S$367,2,FALSE),NA())</f>
        <v>10.568222416653482</v>
      </c>
      <c r="V183" s="176">
        <f ca="1">INDEX([5]PT!$AF$16:$AF$381,DATE(2016,MONTH(S183),DAY(S183))-DATE(2016,1,1)+1,1)</f>
        <v>21.2</v>
      </c>
      <c r="W183" s="176" t="e">
        <f ca="1"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 ca="1">INDEX([12]ČR!$D$18:$D$383,DATE(2016,MONTH(S184),DAY(S184))-DATE(2016,1,1)+1,1)/1000000</f>
        <v>10.945490729591199</v>
      </c>
      <c r="U184" s="77">
        <f ca="1">IF(T!$A$4&gt;=MONTH(S184),VLOOKUP(S184,'[8]Podklady MZ'!$R$2:$S$367,2,FALSE),NA())</f>
        <v>10.252008199334703</v>
      </c>
      <c r="V184" s="176">
        <f ca="1">INDEX([5]PT!$AF$16:$AF$381,DATE(2016,MONTH(S184),DAY(S184))-DATE(2016,1,1)+1,1)</f>
        <v>22</v>
      </c>
      <c r="W184" s="176" t="e">
        <f ca="1"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 ca="1">INDEX([12]ČR!$D$18:$D$383,DATE(2016,MONTH(S185),DAY(S185))-DATE(2016,1,1)+1,1)/1000000</f>
        <v>10.600033656597127</v>
      </c>
      <c r="U185" s="77">
        <f ca="1">IF(T!$A$4&gt;=MONTH(S185),VLOOKUP(S185,'[8]Podklady MZ'!$R$2:$S$367,2,FALSE),NA())</f>
        <v>9.4581659337544721</v>
      </c>
      <c r="V185" s="176">
        <f ca="1">INDEX([5]PT!$AF$16:$AF$381,DATE(2016,MONTH(S185),DAY(S185))-DATE(2016,1,1)+1,1)</f>
        <v>23.3</v>
      </c>
      <c r="W185" s="176" t="e">
        <f ca="1"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 ca="1">INDEX([12]ČR!$D$18:$D$383,DATE(2016,MONTH(S186),DAY(S186))-DATE(2016,1,1)+1,1)/1000000</f>
        <v>11.433981814725991</v>
      </c>
      <c r="U186" s="77">
        <f ca="1">IF(T!$A$4&gt;=MONTH(S186),VLOOKUP(S186,'[8]Podklady MZ'!$R$2:$S$367,2,FALSE),NA())</f>
        <v>7.7685839626013005</v>
      </c>
      <c r="V186" s="176">
        <f ca="1">INDEX([5]PT!$AF$16:$AF$381,DATE(2016,MONTH(S186),DAY(S186))-DATE(2016,1,1)+1,1)</f>
        <v>24.5</v>
      </c>
      <c r="W186" s="176" t="e">
        <f ca="1"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 ca="1">INDEX([12]ČR!$D$18:$D$383,DATE(2016,MONTH(S187),DAY(S187))-DATE(2016,1,1)+1,1)/1000000</f>
        <v>8.4934816050281814</v>
      </c>
      <c r="U187" s="77">
        <f ca="1">IF(T!$A$4&gt;=MONTH(S187),VLOOKUP(S187,'[8]Podklady MZ'!$R$2:$S$367,2,FALSE),NA())</f>
        <v>7.4815198200827711</v>
      </c>
      <c r="V187" s="176">
        <f ca="1">INDEX([5]PT!$AF$16:$AF$381,DATE(2016,MONTH(S187),DAY(S187))-DATE(2016,1,1)+1,1)</f>
        <v>25.8</v>
      </c>
      <c r="W187" s="176" t="e">
        <f ca="1"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 ca="1">INDEX([12]ČR!$D$18:$D$383,DATE(2016,MONTH(S188),DAY(S188))-DATE(2016,1,1)+1,1)/1000000</f>
        <v>8.8607905231701647</v>
      </c>
      <c r="U188" s="77">
        <f ca="1">IF(T!$A$4&gt;=MONTH(S188),VLOOKUP(S188,'[8]Podklady MZ'!$R$2:$S$367,2,FALSE),NA())</f>
        <v>8.3956674696080977</v>
      </c>
      <c r="V188" s="176">
        <f ca="1">INDEX([5]PT!$AF$16:$AF$381,DATE(2016,MONTH(S188),DAY(S188))-DATE(2016,1,1)+1,1)</f>
        <v>24</v>
      </c>
      <c r="W188" s="176" t="e">
        <f ca="1"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 ca="1">INDEX([12]ČR!$D$18:$D$383,DATE(2016,MONTH(S189),DAY(S189))-DATE(2016,1,1)+1,1)/1000000</f>
        <v>10.346897647948978</v>
      </c>
      <c r="U189" s="77">
        <f ca="1">IF(T!$A$4&gt;=MONTH(S189),VLOOKUP(S189,'[8]Podklady MZ'!$R$2:$S$367,2,FALSE),NA())</f>
        <v>9.7410070359215304</v>
      </c>
      <c r="V189" s="176">
        <f ca="1">INDEX([5]PT!$AF$16:$AF$381,DATE(2016,MONTH(S189),DAY(S189))-DATE(2016,1,1)+1,1)</f>
        <v>26.5</v>
      </c>
      <c r="W189" s="176" t="e">
        <f ca="1"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 ca="1">INDEX([12]ČR!$D$18:$D$383,DATE(2016,MONTH(S190),DAY(S190))-DATE(2016,1,1)+1,1)/1000000</f>
        <v>10.041092456549947</v>
      </c>
      <c r="U190" s="77">
        <f ca="1">IF(T!$A$4&gt;=MONTH(S190),VLOOKUP(S190,'[8]Podklady MZ'!$R$2:$S$367,2,FALSE),NA())</f>
        <v>10.124209009856298</v>
      </c>
      <c r="V190" s="176">
        <f ca="1">INDEX([5]PT!$AF$16:$AF$381,DATE(2016,MONTH(S190),DAY(S190))-DATE(2016,1,1)+1,1)</f>
        <v>18.600000000000001</v>
      </c>
      <c r="W190" s="176" t="e">
        <f ca="1"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 ca="1">INDEX([12]ČR!$D$18:$D$383,DATE(2016,MONTH(S191),DAY(S191))-DATE(2016,1,1)+1,1)/1000000</f>
        <v>10.599996532461025</v>
      </c>
      <c r="U191" s="77">
        <f ca="1">IF(T!$A$4&gt;=MONTH(S191),VLOOKUP(S191,'[8]Podklady MZ'!$R$2:$S$367,2,FALSE),NA())</f>
        <v>10.304019398838161</v>
      </c>
      <c r="V191" s="176">
        <f ca="1">INDEX([5]PT!$AF$16:$AF$381,DATE(2016,MONTH(S191),DAY(S191))-DATE(2016,1,1)+1,1)</f>
        <v>14.5</v>
      </c>
      <c r="W191" s="176" t="e">
        <f ca="1"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 ca="1">INDEX([12]ČR!$D$18:$D$383,DATE(2016,MONTH(S192),DAY(S192))-DATE(2016,1,1)+1,1)/1000000</f>
        <v>12.823204404477016</v>
      </c>
      <c r="U192" s="77">
        <f ca="1">IF(T!$A$4&gt;=MONTH(S192),VLOOKUP(S192,'[8]Podklady MZ'!$R$2:$S$367,2,FALSE),NA())</f>
        <v>10.221858257142756</v>
      </c>
      <c r="V192" s="176">
        <f ca="1">INDEX([5]PT!$AF$16:$AF$381,DATE(2016,MONTH(S192),DAY(S192))-DATE(2016,1,1)+1,1)</f>
        <v>14.6</v>
      </c>
      <c r="W192" s="176" t="e">
        <f ca="1"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 ca="1">INDEX([12]ČR!$D$18:$D$383,DATE(2016,MONTH(S193),DAY(S193))-DATE(2016,1,1)+1,1)/1000000</f>
        <v>12.0528210143035</v>
      </c>
      <c r="U193" s="77">
        <f ca="1">IF(T!$A$4&gt;=MONTH(S193),VLOOKUP(S193,'[8]Podklady MZ'!$R$2:$S$367,2,FALSE),NA())</f>
        <v>8.3894033132418855</v>
      </c>
      <c r="V193" s="176">
        <f ca="1">INDEX([5]PT!$AF$16:$AF$381,DATE(2016,MONTH(S193),DAY(S193))-DATE(2016,1,1)+1,1)</f>
        <v>17.7</v>
      </c>
      <c r="W193" s="176" t="e">
        <f ca="1"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 ca="1">INDEX([12]ČR!$D$18:$D$383,DATE(2016,MONTH(S194),DAY(S194))-DATE(2016,1,1)+1,1)/1000000</f>
        <v>9.5699875809135833</v>
      </c>
      <c r="U194" s="77">
        <f ca="1">IF(T!$A$4&gt;=MONTH(S194),VLOOKUP(S194,'[8]Podklady MZ'!$R$2:$S$367,2,FALSE),NA())</f>
        <v>8.3843553337064272</v>
      </c>
      <c r="V194" s="176">
        <f ca="1">INDEX([5]PT!$AF$16:$AF$381,DATE(2016,MONTH(S194),DAY(S194))-DATE(2016,1,1)+1,1)</f>
        <v>22</v>
      </c>
      <c r="W194" s="176" t="e">
        <f ca="1"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 ca="1">INDEX([12]ČR!$D$18:$D$383,DATE(2016,MONTH(S195),DAY(S195))-DATE(2016,1,1)+1,1)/1000000</f>
        <v>8.6325223799616904</v>
      </c>
      <c r="U195" s="77">
        <f ca="1">IF(T!$A$4&gt;=MONTH(S195),VLOOKUP(S195,'[8]Podklady MZ'!$R$2:$S$367,2,FALSE),NA())</f>
        <v>10.601010610209597</v>
      </c>
      <c r="V195" s="176">
        <f ca="1">INDEX([5]PT!$AF$16:$AF$381,DATE(2016,MONTH(S195),DAY(S195))-DATE(2016,1,1)+1,1)</f>
        <v>17.399999999999999</v>
      </c>
      <c r="W195" s="176" t="e">
        <f ca="1"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 ca="1">INDEX([12]ČR!$D$18:$D$383,DATE(2016,MONTH(S196),DAY(S196))-DATE(2016,1,1)+1,1)/1000000</f>
        <v>10.023829644110265</v>
      </c>
      <c r="U196" s="77">
        <f ca="1">IF(T!$A$4&gt;=MONTH(S196),VLOOKUP(S196,'[8]Podklady MZ'!$R$2:$S$367,2,FALSE),NA())</f>
        <v>10.208741115734895</v>
      </c>
      <c r="V196" s="176">
        <f ca="1">INDEX([5]PT!$AF$16:$AF$381,DATE(2016,MONTH(S196),DAY(S196))-DATE(2016,1,1)+1,1)</f>
        <v>18.600000000000001</v>
      </c>
      <c r="W196" s="176" t="e">
        <f ca="1"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 ca="1">INDEX([12]ČR!$D$18:$D$383,DATE(2016,MONTH(S197),DAY(S197))-DATE(2016,1,1)+1,1)/1000000</f>
        <v>9.9774835818951537</v>
      </c>
      <c r="U197" s="77">
        <f ca="1">IF(T!$A$4&gt;=MONTH(S197),VLOOKUP(S197,'[8]Podklady MZ'!$R$2:$S$367,2,FALSE),NA())</f>
        <v>12.924143254571844</v>
      </c>
      <c r="V197" s="176">
        <f ca="1">INDEX([5]PT!$AF$16:$AF$381,DATE(2016,MONTH(S197),DAY(S197))-DATE(2016,1,1)+1,1)</f>
        <v>19.2</v>
      </c>
      <c r="W197" s="176" t="e">
        <f ca="1"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 ca="1">INDEX([12]ČR!$D$18:$D$383,DATE(2016,MONTH(S198),DAY(S198))-DATE(2016,1,1)+1,1)/1000000</f>
        <v>9.9337418028508626</v>
      </c>
      <c r="U198" s="77">
        <f ca="1">IF(T!$A$4&gt;=MONTH(S198),VLOOKUP(S198,'[8]Podklady MZ'!$R$2:$S$367,2,FALSE),NA())</f>
        <v>12.551668019700053</v>
      </c>
      <c r="V198" s="176">
        <f ca="1">INDEX([5]PT!$AF$16:$AF$381,DATE(2016,MONTH(S198),DAY(S198))-DATE(2016,1,1)+1,1)</f>
        <v>22.7</v>
      </c>
      <c r="W198" s="176" t="e">
        <f ca="1"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 ca="1">INDEX([12]ČR!$D$18:$D$383,DATE(2016,MONTH(S199),DAY(S199))-DATE(2016,1,1)+1,1)/1000000</f>
        <v>9.8346370207824485</v>
      </c>
      <c r="U199" s="77">
        <f ca="1">IF(T!$A$4&gt;=MONTH(S199),VLOOKUP(S199,'[8]Podklady MZ'!$R$2:$S$367,2,FALSE),NA())</f>
        <v>9.2990339430508389</v>
      </c>
      <c r="V199" s="176">
        <f ca="1">INDEX([5]PT!$AF$16:$AF$381,DATE(2016,MONTH(S199),DAY(S199))-DATE(2016,1,1)+1,1)</f>
        <v>24.1</v>
      </c>
      <c r="W199" s="176" t="e">
        <f ca="1"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 ca="1">INDEX([12]ČR!$D$18:$D$383,DATE(2016,MONTH(S200),DAY(S200))-DATE(2016,1,1)+1,1)/1000000</f>
        <v>9.1789610460226054</v>
      </c>
      <c r="U200" s="77">
        <f ca="1">IF(T!$A$4&gt;=MONTH(S200),VLOOKUP(S200,'[8]Podklady MZ'!$R$2:$S$367,2,FALSE),NA())</f>
        <v>7.6959416619133822</v>
      </c>
      <c r="V200" s="176">
        <f ca="1">INDEX([5]PT!$AF$16:$AF$381,DATE(2016,MONTH(S200),DAY(S200))-DATE(2016,1,1)+1,1)</f>
        <v>25.1</v>
      </c>
      <c r="W200" s="176" t="e">
        <f ca="1"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 ca="1">INDEX([12]ČR!$D$18:$D$383,DATE(2016,MONTH(S201),DAY(S201))-DATE(2016,1,1)+1,1)/1000000</f>
        <v>7.6722663783172056</v>
      </c>
      <c r="U201" s="77">
        <f ca="1">IF(T!$A$4&gt;=MONTH(S201),VLOOKUP(S201,'[8]Podklady MZ'!$R$2:$S$367,2,FALSE),NA())</f>
        <v>8.1498811526718686</v>
      </c>
      <c r="V201" s="176">
        <f ca="1">INDEX([5]PT!$AF$16:$AF$381,DATE(2016,MONTH(S201),DAY(S201))-DATE(2016,1,1)+1,1)</f>
        <v>25.4</v>
      </c>
      <c r="W201" s="176" t="e">
        <f ca="1"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 ca="1">INDEX([12]ČR!$D$18:$D$383,DATE(2016,MONTH(S202),DAY(S202))-DATE(2016,1,1)+1,1)/1000000</f>
        <v>7.8044073243827974</v>
      </c>
      <c r="U202" s="77">
        <f ca="1">IF(T!$A$4&gt;=MONTH(S202),VLOOKUP(S202,'[8]Podklady MZ'!$R$2:$S$367,2,FALSE),NA())</f>
        <v>9.6753351346492096</v>
      </c>
      <c r="V202" s="176">
        <f ca="1">INDEX([5]PT!$AF$16:$AF$381,DATE(2016,MONTH(S202),DAY(S202))-DATE(2016,1,1)+1,1)</f>
        <v>22.2</v>
      </c>
      <c r="W202" s="176" t="e">
        <f ca="1"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 ca="1">INDEX([12]ČR!$D$18:$D$383,DATE(2016,MONTH(S203),DAY(S203))-DATE(2016,1,1)+1,1)/1000000</f>
        <v>9.3012826852739359</v>
      </c>
      <c r="U203" s="77">
        <f ca="1">IF(T!$A$4&gt;=MONTH(S203),VLOOKUP(S203,'[8]Podklady MZ'!$R$2:$S$367,2,FALSE),NA())</f>
        <v>9.662856919296491</v>
      </c>
      <c r="V203" s="176">
        <f ca="1">INDEX([5]PT!$AF$16:$AF$381,DATE(2016,MONTH(S203),DAY(S203))-DATE(2016,1,1)+1,1)</f>
        <v>25.3</v>
      </c>
      <c r="W203" s="176" t="e">
        <f ca="1"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 ca="1">INDEX([12]ČR!$D$18:$D$383,DATE(2016,MONTH(S204),DAY(S204))-DATE(2016,1,1)+1,1)/1000000</f>
        <v>9.613325478616396</v>
      </c>
      <c r="U204" s="77">
        <f ca="1">IF(T!$A$4&gt;=MONTH(S204),VLOOKUP(S204,'[8]Podklady MZ'!$R$2:$S$367,2,FALSE),NA())</f>
        <v>11.966225353661841</v>
      </c>
      <c r="V204" s="176">
        <f ca="1">INDEX([5]PT!$AF$16:$AF$381,DATE(2016,MONTH(S204),DAY(S204))-DATE(2016,1,1)+1,1)</f>
        <v>27.4</v>
      </c>
      <c r="W204" s="176" t="e">
        <f ca="1"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 ca="1">INDEX([12]ČR!$D$18:$D$383,DATE(2016,MONTH(S205),DAY(S205))-DATE(2016,1,1)+1,1)/1000000</f>
        <v>10.428420309352932</v>
      </c>
      <c r="U205" s="77">
        <f ca="1">IF(T!$A$4&gt;=MONTH(S205),VLOOKUP(S205,'[8]Podklady MZ'!$R$2:$S$367,2,FALSE),NA())</f>
        <v>11.939966236043933</v>
      </c>
      <c r="V205" s="176">
        <f ca="1">INDEX([5]PT!$AF$16:$AF$381,DATE(2016,MONTH(S205),DAY(S205))-DATE(2016,1,1)+1,1)</f>
        <v>22.3</v>
      </c>
      <c r="W205" s="176" t="e">
        <f ca="1"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 ca="1">INDEX([12]ČR!$D$18:$D$383,DATE(2016,MONTH(S206),DAY(S206))-DATE(2016,1,1)+1,1)/1000000</f>
        <v>10.63011751680351</v>
      </c>
      <c r="U206" s="77">
        <f ca="1">IF(T!$A$4&gt;=MONTH(S206),VLOOKUP(S206,'[8]Podklady MZ'!$R$2:$S$367,2,FALSE),NA())</f>
        <v>9.5720171627676969</v>
      </c>
      <c r="V206" s="176">
        <f ca="1">INDEX([5]PT!$AF$16:$AF$381,DATE(2016,MONTH(S206),DAY(S206))-DATE(2016,1,1)+1,1)</f>
        <v>23.8</v>
      </c>
      <c r="W206" s="176" t="e">
        <f ca="1"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 ca="1">INDEX([12]ČR!$D$18:$D$383,DATE(2016,MONTH(S207),DAY(S207))-DATE(2016,1,1)+1,1)/1000000</f>
        <v>10.150119335925959</v>
      </c>
      <c r="U207" s="77">
        <f ca="1">IF(T!$A$4&gt;=MONTH(S207),VLOOKUP(S207,'[8]Podklady MZ'!$R$2:$S$367,2,FALSE),NA())</f>
        <v>8.0197646721725331</v>
      </c>
      <c r="V207" s="176">
        <f ca="1">INDEX([5]PT!$AF$16:$AF$381,DATE(2016,MONTH(S207),DAY(S207))-DATE(2016,1,1)+1,1)</f>
        <v>22</v>
      </c>
      <c r="W207" s="176" t="e">
        <f ca="1"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 ca="1">INDEX([12]ČR!$D$18:$D$383,DATE(2016,MONTH(S208),DAY(S208))-DATE(2016,1,1)+1,1)/1000000</f>
        <v>8.739314200288657</v>
      </c>
      <c r="U208" s="77">
        <f ca="1">IF(T!$A$4&gt;=MONTH(S208),VLOOKUP(S208,'[8]Podklady MZ'!$R$2:$S$367,2,FALSE),NA())</f>
        <v>8.041607397011342</v>
      </c>
      <c r="V208" s="176">
        <f ca="1">INDEX([5]PT!$AF$16:$AF$381,DATE(2016,MONTH(S208),DAY(S208))-DATE(2016,1,1)+1,1)</f>
        <v>16.600000000000001</v>
      </c>
      <c r="W208" s="176" t="e">
        <f ca="1"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 ca="1">INDEX([12]ČR!$D$18:$D$383,DATE(2016,MONTH(S209),DAY(S209))-DATE(2016,1,1)+1,1)/1000000</f>
        <v>8.6554588637650465</v>
      </c>
      <c r="U209" s="77">
        <f ca="1">IF(T!$A$4&gt;=MONTH(S209),VLOOKUP(S209,'[8]Podklady MZ'!$R$2:$S$367,2,FALSE),NA())</f>
        <v>9.2368345783925179</v>
      </c>
      <c r="V209" s="176">
        <f ca="1">INDEX([5]PT!$AF$16:$AF$381,DATE(2016,MONTH(S209),DAY(S209))-DATE(2016,1,1)+1,1)</f>
        <v>15.6</v>
      </c>
      <c r="W209" s="176" t="e">
        <f ca="1"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 ca="1">INDEX([12]ČR!$D$18:$D$383,DATE(2016,MONTH(S210),DAY(S210))-DATE(2016,1,1)+1,1)/1000000</f>
        <v>10.007400528645363</v>
      </c>
      <c r="U210" s="77">
        <f ca="1">IF(T!$A$4&gt;=MONTH(S210),VLOOKUP(S210,'[8]Podklady MZ'!$R$2:$S$367,2,FALSE),NA())</f>
        <v>9.2604844650181324</v>
      </c>
      <c r="V210" s="176">
        <f ca="1">INDEX([5]PT!$AF$16:$AF$381,DATE(2016,MONTH(S210),DAY(S210))-DATE(2016,1,1)+1,1)</f>
        <v>18.399999999999999</v>
      </c>
      <c r="W210" s="176" t="e">
        <f ca="1"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 ca="1">INDEX([12]ČR!$D$18:$D$383,DATE(2016,MONTH(S211),DAY(S211))-DATE(2016,1,1)+1,1)/1000000</f>
        <v>9.3544529085270369</v>
      </c>
      <c r="U211" s="77">
        <f ca="1">IF(T!$A$4&gt;=MONTH(S211),VLOOKUP(S211,'[8]Podklady MZ'!$R$2:$S$367,2,FALSE),NA())</f>
        <v>9.5109604735889803</v>
      </c>
      <c r="V211" s="176">
        <f ca="1">INDEX([5]PT!$AF$16:$AF$381,DATE(2016,MONTH(S211),DAY(S211))-DATE(2016,1,1)+1,1)</f>
        <v>15.7</v>
      </c>
      <c r="W211" s="176" t="e">
        <f ca="1"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 ca="1">INDEX([12]ČR!$D$18:$D$383,DATE(2016,MONTH(S212),DAY(S212))-DATE(2016,1,1)+1,1)/1000000</f>
        <v>9.4523264471237418</v>
      </c>
      <c r="U212" s="77">
        <f ca="1">IF(T!$A$4&gt;=MONTH(S212),VLOOKUP(S212,'[8]Podklady MZ'!$R$2:$S$367,2,FALSE),NA())</f>
        <v>9.960010804085428</v>
      </c>
      <c r="V212" s="176">
        <f ca="1">INDEX([5]PT!$AF$16:$AF$381,DATE(2016,MONTH(S212),DAY(S212))-DATE(2016,1,1)+1,1)</f>
        <v>15.6</v>
      </c>
      <c r="W212" s="176" t="e">
        <f ca="1"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 ca="1">INDEX([12]ČR!$D$18:$D$383,DATE(2016,MONTH(S213),DAY(S213))-DATE(2016,1,1)+1,1)/1000000</f>
        <v>9.2471253614376749</v>
      </c>
      <c r="U213" s="77">
        <f ca="1">IF(T!$A$4&gt;=MONTH(S213),VLOOKUP(S213,'[8]Podklady MZ'!$R$2:$S$367,2,FALSE),NA())</f>
        <v>9.0208912166222479</v>
      </c>
      <c r="V213" s="176">
        <f ca="1">INDEX([5]PT!$AF$16:$AF$381,DATE(2016,MONTH(S213),DAY(S213))-DATE(2016,1,1)+1,1)</f>
        <v>16.3</v>
      </c>
      <c r="W213" s="176" t="e">
        <f ca="1"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 ca="1">INDEX([12]ČR!$D$18:$D$383,DATE(2016,MONTH(S214),DAY(S214))-DATE(2016,1,1)+1,1)/1000000</f>
        <v>8.7526101351575232</v>
      </c>
      <c r="U214" s="77">
        <f ca="1">IF(T!$A$4&gt;=MONTH(S214),VLOOKUP(S214,'[8]Podklady MZ'!$R$2:$S$367,2,FALSE),NA())</f>
        <v>7.3274770439122872</v>
      </c>
      <c r="V214" s="176">
        <f ca="1">INDEX([5]PT!$AF$16:$AF$381,DATE(2016,MONTH(S214),DAY(S214))-DATE(2016,1,1)+1,1)</f>
        <v>19.899999999999999</v>
      </c>
      <c r="W214" s="176" t="e">
        <f ca="1">IF(T!$A$4&lt;MONTH(S214),VLOOKUP(S214,'[8]Podklady MZ'!$R$2:$S$367,2,FALSE),NA())</f>
        <v>#N/A</v>
      </c>
    </row>
    <row r="215" spans="19:23" x14ac:dyDescent="0.2">
      <c r="S215" s="76">
        <f t="shared" si="3"/>
        <v>42218</v>
      </c>
      <c r="T215" s="77">
        <f ca="1">INDEX([12]ČR!$D$18:$D$383,DATE(2016,MONTH(S215),DAY(S215))-DATE(2016,1,1)+1,1)/1000000</f>
        <v>7.3398109362101893</v>
      </c>
      <c r="U215" s="77">
        <f ca="1">IF(T!$A$4&gt;=MONTH(S215),VLOOKUP(S215,'[8]Podklady MZ'!$R$2:$S$367,2,FALSE),NA())</f>
        <v>7.3591133063275187</v>
      </c>
      <c r="V215" s="176">
        <f ca="1">INDEX([5]PT!$AF$16:$AF$381,DATE(2016,MONTH(S215),DAY(S215))-DATE(2016,1,1)+1,1)</f>
        <v>18.7</v>
      </c>
      <c r="W215" s="176" t="e">
        <f ca="1">IF(T!$A$4&lt;MONTH(S215),VLOOKUP(S215,'[8]Podklady MZ'!$R$2:$S$367,2,FALSE),NA())</f>
        <v>#N/A</v>
      </c>
    </row>
    <row r="216" spans="19:23" x14ac:dyDescent="0.2">
      <c r="S216" s="76">
        <f t="shared" si="3"/>
        <v>42219</v>
      </c>
      <c r="T216" s="77">
        <f ca="1">INDEX([12]ČR!$D$18:$D$383,DATE(2016,MONTH(S216),DAY(S216))-DATE(2016,1,1)+1,1)/1000000</f>
        <v>7.4255598574784685</v>
      </c>
      <c r="U216" s="77">
        <f ca="1">IF(T!$A$4&gt;=MONTH(S216),VLOOKUP(S216,'[8]Podklady MZ'!$R$2:$S$367,2,FALSE),NA())</f>
        <v>8.4957021969041211</v>
      </c>
      <c r="V216" s="176">
        <f ca="1">INDEX([5]PT!$AF$16:$AF$381,DATE(2016,MONTH(S216),DAY(S216))-DATE(2016,1,1)+1,1)</f>
        <v>21.8</v>
      </c>
      <c r="W216" s="176" t="e">
        <f ca="1">IF(T!$A$4&lt;MONTH(S216),VLOOKUP(S216,'[8]Podklady MZ'!$R$2:$S$367,2,FALSE),NA())</f>
        <v>#N/A</v>
      </c>
    </row>
    <row r="217" spans="19:23" x14ac:dyDescent="0.2">
      <c r="S217" s="76">
        <f t="shared" si="3"/>
        <v>42220</v>
      </c>
      <c r="T217" s="77">
        <f ca="1">INDEX([12]ČR!$D$18:$D$383,DATE(2016,MONTH(S217),DAY(S217))-DATE(2016,1,1)+1,1)/1000000</f>
        <v>9.928633428250226</v>
      </c>
      <c r="U217" s="77">
        <f ca="1">IF(T!$A$4&gt;=MONTH(S217),VLOOKUP(S217,'[8]Podklady MZ'!$R$2:$S$367,2,FALSE),NA())</f>
        <v>8.5215988993338367</v>
      </c>
      <c r="V217" s="176">
        <f ca="1">INDEX([5]PT!$AF$16:$AF$381,DATE(2016,MONTH(S217),DAY(S217))-DATE(2016,1,1)+1,1)</f>
        <v>24.3</v>
      </c>
      <c r="W217" s="176" t="e">
        <f ca="1">IF(T!$A$4&lt;MONTH(S217),VLOOKUP(S217,'[8]Podklady MZ'!$R$2:$S$367,2,FALSE),NA())</f>
        <v>#N/A</v>
      </c>
    </row>
    <row r="218" spans="19:23" x14ac:dyDescent="0.2">
      <c r="S218" s="76">
        <f t="shared" si="3"/>
        <v>42221</v>
      </c>
      <c r="T218" s="77">
        <f ca="1">INDEX([12]ČR!$D$18:$D$383,DATE(2016,MONTH(S218),DAY(S218))-DATE(2016,1,1)+1,1)/1000000</f>
        <v>9.0057527470622318</v>
      </c>
      <c r="U218" s="77">
        <f ca="1">IF(T!$A$4&gt;=MONTH(S218),VLOOKUP(S218,'[8]Podklady MZ'!$R$2:$S$367,2,FALSE),NA())</f>
        <v>8.3804475972986712</v>
      </c>
      <c r="V218" s="176">
        <f ca="1">INDEX([5]PT!$AF$16:$AF$381,DATE(2016,MONTH(S218),DAY(S218))-DATE(2016,1,1)+1,1)</f>
        <v>24</v>
      </c>
      <c r="W218" s="176" t="e">
        <f ca="1">IF(T!$A$4&lt;MONTH(S218),VLOOKUP(S218,'[8]Podklady MZ'!$R$2:$S$367,2,FALSE),NA())</f>
        <v>#N/A</v>
      </c>
    </row>
    <row r="219" spans="19:23" x14ac:dyDescent="0.2">
      <c r="S219" s="76">
        <f t="shared" si="3"/>
        <v>42222</v>
      </c>
      <c r="T219" s="77">
        <f ca="1">INDEX([12]ČR!$D$18:$D$383,DATE(2016,MONTH(S219),DAY(S219))-DATE(2016,1,1)+1,1)/1000000</f>
        <v>9.0292564269688711</v>
      </c>
      <c r="U219" s="77">
        <f ca="1">IF(T!$A$4&gt;=MONTH(S219),VLOOKUP(S219,'[8]Podklady MZ'!$R$2:$S$367,2,FALSE),NA())</f>
        <v>8.7797788551200622</v>
      </c>
      <c r="V219" s="176">
        <f ca="1">INDEX([5]PT!$AF$16:$AF$381,DATE(2016,MONTH(S219),DAY(S219))-DATE(2016,1,1)+1,1)</f>
        <v>25.8</v>
      </c>
      <c r="W219" s="176" t="e">
        <f ca="1">IF(T!$A$4&lt;MONTH(S219),VLOOKUP(S219,'[8]Podklady MZ'!$R$2:$S$367,2,FALSE),NA())</f>
        <v>#N/A</v>
      </c>
    </row>
    <row r="220" spans="19:23" x14ac:dyDescent="0.2">
      <c r="S220" s="76">
        <f t="shared" si="3"/>
        <v>42223</v>
      </c>
      <c r="T220" s="77">
        <f ca="1">INDEX([12]ČR!$D$18:$D$383,DATE(2016,MONTH(S220),DAY(S220))-DATE(2016,1,1)+1,1)/1000000</f>
        <v>10.520128208517267</v>
      </c>
      <c r="U220" s="77">
        <f ca="1">IF(T!$A$4&gt;=MONTH(S220),VLOOKUP(S220,'[8]Podklady MZ'!$R$2:$S$367,2,FALSE),NA())</f>
        <v>7.897185705717761</v>
      </c>
      <c r="V220" s="176">
        <f ca="1">INDEX([5]PT!$AF$16:$AF$381,DATE(2016,MONTH(S220),DAY(S220))-DATE(2016,1,1)+1,1)</f>
        <v>27.2</v>
      </c>
      <c r="W220" s="176" t="e">
        <f ca="1">IF(T!$A$4&lt;MONTH(S220),VLOOKUP(S220,'[8]Podklady MZ'!$R$2:$S$367,2,FALSE),NA())</f>
        <v>#N/A</v>
      </c>
    </row>
    <row r="221" spans="19:23" x14ac:dyDescent="0.2">
      <c r="S221" s="76">
        <f t="shared" si="3"/>
        <v>42224</v>
      </c>
      <c r="T221" s="77">
        <f ca="1">INDEX([12]ČR!$D$18:$D$383,DATE(2016,MONTH(S221),DAY(S221))-DATE(2016,1,1)+1,1)/1000000</f>
        <v>9.7839386392334209</v>
      </c>
      <c r="U221" s="77">
        <f ca="1">IF(T!$A$4&gt;=MONTH(S221),VLOOKUP(S221,'[8]Podklady MZ'!$R$2:$S$367,2,FALSE),NA())</f>
        <v>6.9156343597705554</v>
      </c>
      <c r="V221" s="176">
        <f ca="1">INDEX([5]PT!$AF$16:$AF$381,DATE(2016,MONTH(S221),DAY(S221))-DATE(2016,1,1)+1,1)</f>
        <v>27.4</v>
      </c>
      <c r="W221" s="176" t="e">
        <f ca="1">IF(T!$A$4&lt;MONTH(S221),VLOOKUP(S221,'[8]Podklady MZ'!$R$2:$S$367,2,FALSE),NA())</f>
        <v>#N/A</v>
      </c>
    </row>
    <row r="222" spans="19:23" x14ac:dyDescent="0.2">
      <c r="S222" s="76">
        <f t="shared" si="3"/>
        <v>42225</v>
      </c>
      <c r="T222" s="77">
        <f ca="1">INDEX([12]ČR!$D$18:$D$383,DATE(2016,MONTH(S222),DAY(S222))-DATE(2016,1,1)+1,1)/1000000</f>
        <v>7.0910306035338904</v>
      </c>
      <c r="U222" s="77">
        <f ca="1">IF(T!$A$4&gt;=MONTH(S222),VLOOKUP(S222,'[8]Podklady MZ'!$R$2:$S$367,2,FALSE),NA())</f>
        <v>7.0797433898515889</v>
      </c>
      <c r="V222" s="176">
        <f ca="1">INDEX([5]PT!$AF$16:$AF$381,DATE(2016,MONTH(S222),DAY(S222))-DATE(2016,1,1)+1,1)</f>
        <v>26</v>
      </c>
      <c r="W222" s="176" t="e">
        <f ca="1">IF(T!$A$4&lt;MONTH(S222),VLOOKUP(S222,'[8]Podklady MZ'!$R$2:$S$367,2,FALSE),NA())</f>
        <v>#N/A</v>
      </c>
    </row>
    <row r="223" spans="19:23" x14ac:dyDescent="0.2">
      <c r="S223" s="76">
        <f t="shared" si="3"/>
        <v>42226</v>
      </c>
      <c r="T223" s="77">
        <f ca="1">INDEX([12]ČR!$D$18:$D$383,DATE(2016,MONTH(S223),DAY(S223))-DATE(2016,1,1)+1,1)/1000000</f>
        <v>7.1634838935834511</v>
      </c>
      <c r="U223" s="77">
        <f ca="1">IF(T!$A$4&gt;=MONTH(S223),VLOOKUP(S223,'[8]Podklady MZ'!$R$2:$S$367,2,FALSE),NA())</f>
        <v>8.7429757997753992</v>
      </c>
      <c r="V223" s="176">
        <f ca="1">INDEX([5]PT!$AF$16:$AF$381,DATE(2016,MONTH(S223),DAY(S223))-DATE(2016,1,1)+1,1)</f>
        <v>25.8</v>
      </c>
      <c r="W223" s="176" t="e">
        <f ca="1">IF(T!$A$4&lt;MONTH(S223),VLOOKUP(S223,'[8]Podklady MZ'!$R$2:$S$367,2,FALSE),NA())</f>
        <v>#N/A</v>
      </c>
    </row>
    <row r="224" spans="19:23" x14ac:dyDescent="0.2">
      <c r="S224" s="76">
        <f t="shared" si="3"/>
        <v>42227</v>
      </c>
      <c r="T224" s="77">
        <f ca="1">INDEX([12]ČR!$D$18:$D$383,DATE(2016,MONTH(S224),DAY(S224))-DATE(2016,1,1)+1,1)/1000000</f>
        <v>8.8331045259040213</v>
      </c>
      <c r="U224" s="77">
        <f ca="1">IF(T!$A$4&gt;=MONTH(S224),VLOOKUP(S224,'[8]Podklady MZ'!$R$2:$S$367,2,FALSE),NA())</f>
        <v>8.8873771330949971</v>
      </c>
      <c r="V224" s="176">
        <f ca="1">INDEX([5]PT!$AF$16:$AF$381,DATE(2016,MONTH(S224),DAY(S224))-DATE(2016,1,1)+1,1)</f>
        <v>25.5</v>
      </c>
      <c r="W224" s="176" t="e">
        <f ca="1">IF(T!$A$4&lt;MONTH(S224),VLOOKUP(S224,'[8]Podklady MZ'!$R$2:$S$367,2,FALSE),NA())</f>
        <v>#N/A</v>
      </c>
    </row>
    <row r="225" spans="19:23" x14ac:dyDescent="0.2">
      <c r="S225" s="76">
        <f t="shared" si="3"/>
        <v>42228</v>
      </c>
      <c r="T225" s="77">
        <f ca="1">INDEX([12]ČR!$D$18:$D$383,DATE(2016,MONTH(S225),DAY(S225))-DATE(2016,1,1)+1,1)/1000000</f>
        <v>9.248917129711181</v>
      </c>
      <c r="U225" s="77">
        <f ca="1">IF(T!$A$4&gt;=MONTH(S225),VLOOKUP(S225,'[8]Podklady MZ'!$R$2:$S$367,2,FALSE),NA())</f>
        <v>9.342068052433266</v>
      </c>
      <c r="V225" s="176">
        <f ca="1">INDEX([5]PT!$AF$16:$AF$381,DATE(2016,MONTH(S225),DAY(S225))-DATE(2016,1,1)+1,1)</f>
        <v>25.1</v>
      </c>
      <c r="W225" s="176" t="e">
        <f ca="1">IF(T!$A$4&lt;MONTH(S225),VLOOKUP(S225,'[8]Podklady MZ'!$R$2:$S$367,2,FALSE),NA())</f>
        <v>#N/A</v>
      </c>
    </row>
    <row r="226" spans="19:23" x14ac:dyDescent="0.2">
      <c r="S226" s="76">
        <f t="shared" si="3"/>
        <v>42229</v>
      </c>
      <c r="T226" s="77">
        <f ca="1">INDEX([12]ČR!$D$18:$D$383,DATE(2016,MONTH(S226),DAY(S226))-DATE(2016,1,1)+1,1)/1000000</f>
        <v>9.5495590540677178</v>
      </c>
      <c r="U226" s="77">
        <f ca="1">IF(T!$A$4&gt;=MONTH(S226),VLOOKUP(S226,'[8]Podklady MZ'!$R$2:$S$367,2,FALSE),NA())</f>
        <v>9.0227963088585845</v>
      </c>
      <c r="V226" s="176">
        <f ca="1">INDEX([5]PT!$AF$16:$AF$381,DATE(2016,MONTH(S226),DAY(S226))-DATE(2016,1,1)+1,1)</f>
        <v>26.6</v>
      </c>
      <c r="W226" s="176" t="e">
        <f ca="1">IF(T!$A$4&lt;MONTH(S226),VLOOKUP(S226,'[8]Podklady MZ'!$R$2:$S$367,2,FALSE),NA())</f>
        <v>#N/A</v>
      </c>
    </row>
    <row r="227" spans="19:23" x14ac:dyDescent="0.2">
      <c r="S227" s="76">
        <f t="shared" si="3"/>
        <v>42230</v>
      </c>
      <c r="T227" s="77">
        <f ca="1">INDEX([12]ČR!$D$18:$D$383,DATE(2016,MONTH(S227),DAY(S227))-DATE(2016,1,1)+1,1)/1000000</f>
        <v>9.7385542915261478</v>
      </c>
      <c r="U227" s="77">
        <f ca="1">IF(T!$A$4&gt;=MONTH(S227),VLOOKUP(S227,'[8]Podklady MZ'!$R$2:$S$367,2,FALSE),NA())</f>
        <v>8.617923221165789</v>
      </c>
      <c r="V227" s="176">
        <f ca="1">INDEX([5]PT!$AF$16:$AF$381,DATE(2016,MONTH(S227),DAY(S227))-DATE(2016,1,1)+1,1)</f>
        <v>27</v>
      </c>
      <c r="W227" s="176" t="e">
        <f ca="1">IF(T!$A$4&lt;MONTH(S227),VLOOKUP(S227,'[8]Podklady MZ'!$R$2:$S$367,2,FALSE),NA())</f>
        <v>#N/A</v>
      </c>
    </row>
    <row r="228" spans="19:23" x14ac:dyDescent="0.2">
      <c r="S228" s="76">
        <f t="shared" si="3"/>
        <v>42231</v>
      </c>
      <c r="T228" s="77">
        <f ca="1">INDEX([12]ČR!$D$18:$D$383,DATE(2016,MONTH(S228),DAY(S228))-DATE(2016,1,1)+1,1)/1000000</f>
        <v>9.4648779405683712</v>
      </c>
      <c r="U228" s="77">
        <f ca="1">IF(T!$A$4&gt;=MONTH(S228),VLOOKUP(S228,'[8]Podklady MZ'!$R$2:$S$367,2,FALSE),NA())</f>
        <v>7.6367264902928698</v>
      </c>
      <c r="V228" s="176">
        <f ca="1">INDEX([5]PT!$AF$16:$AF$381,DATE(2016,MONTH(S228),DAY(S228))-DATE(2016,1,1)+1,1)</f>
        <v>26.7</v>
      </c>
      <c r="W228" s="176" t="e">
        <f ca="1">IF(T!$A$4&lt;MONTH(S228),VLOOKUP(S228,'[8]Podklady MZ'!$R$2:$S$367,2,FALSE),NA())</f>
        <v>#N/A</v>
      </c>
    </row>
    <row r="229" spans="19:23" x14ac:dyDescent="0.2">
      <c r="S229" s="76">
        <f t="shared" si="3"/>
        <v>42232</v>
      </c>
      <c r="T229" s="77">
        <f ca="1">INDEX([12]ČR!$D$18:$D$383,DATE(2016,MONTH(S229),DAY(S229))-DATE(2016,1,1)+1,1)/1000000</f>
        <v>8.1674339130343689</v>
      </c>
      <c r="U229" s="77">
        <f ca="1">IF(T!$A$4&gt;=MONTH(S229),VLOOKUP(S229,'[8]Podklady MZ'!$R$2:$S$367,2,FALSE),NA())</f>
        <v>7.6500080231819716</v>
      </c>
      <c r="V229" s="176">
        <f ca="1">INDEX([5]PT!$AF$16:$AF$381,DATE(2016,MONTH(S229),DAY(S229))-DATE(2016,1,1)+1,1)</f>
        <v>20.6</v>
      </c>
      <c r="W229" s="176" t="e">
        <f ca="1">IF(T!$A$4&lt;MONTH(S229),VLOOKUP(S229,'[8]Podklady MZ'!$R$2:$S$367,2,FALSE),NA())</f>
        <v>#N/A</v>
      </c>
    </row>
    <row r="230" spans="19:23" x14ac:dyDescent="0.2">
      <c r="S230" s="76">
        <f t="shared" si="3"/>
        <v>42233</v>
      </c>
      <c r="T230" s="77">
        <f ca="1">INDEX([12]ČR!$D$18:$D$383,DATE(2016,MONTH(S230),DAY(S230))-DATE(2016,1,1)+1,1)/1000000</f>
        <v>8.2641739384361408</v>
      </c>
      <c r="U230" s="77">
        <f ca="1">IF(T!$A$4&gt;=MONTH(S230),VLOOKUP(S230,'[8]Podklady MZ'!$R$2:$S$367,2,FALSE),NA())</f>
        <v>10.770115115200538</v>
      </c>
      <c r="V230" s="176">
        <f ca="1">INDEX([5]PT!$AF$16:$AF$381,DATE(2016,MONTH(S230),DAY(S230))-DATE(2016,1,1)+1,1)</f>
        <v>17.2</v>
      </c>
      <c r="W230" s="176" t="e">
        <f ca="1">IF(T!$A$4&lt;MONTH(S230),VLOOKUP(S230,'[8]Podklady MZ'!$R$2:$S$367,2,FALSE),NA())</f>
        <v>#N/A</v>
      </c>
    </row>
    <row r="231" spans="19:23" x14ac:dyDescent="0.2">
      <c r="S231" s="76">
        <f t="shared" si="3"/>
        <v>42234</v>
      </c>
      <c r="T231" s="77">
        <f ca="1">INDEX([12]ČR!$D$18:$D$383,DATE(2016,MONTH(S231),DAY(S231))-DATE(2016,1,1)+1,1)/1000000</f>
        <v>10.437155900913542</v>
      </c>
      <c r="U231" s="77">
        <f ca="1">IF(T!$A$4&gt;=MONTH(S231),VLOOKUP(S231,'[8]Podklady MZ'!$R$2:$S$367,2,FALSE),NA())</f>
        <v>12.275837216732805</v>
      </c>
      <c r="V231" s="176">
        <f ca="1">INDEX([5]PT!$AF$16:$AF$381,DATE(2016,MONTH(S231),DAY(S231))-DATE(2016,1,1)+1,1)</f>
        <v>14.8</v>
      </c>
      <c r="W231" s="176" t="e">
        <f ca="1">IF(T!$A$4&lt;MONTH(S231),VLOOKUP(S231,'[8]Podklady MZ'!$R$2:$S$367,2,FALSE),NA())</f>
        <v>#N/A</v>
      </c>
    </row>
    <row r="232" spans="19:23" x14ac:dyDescent="0.2">
      <c r="S232" s="76">
        <f t="shared" si="3"/>
        <v>42235</v>
      </c>
      <c r="T232" s="77">
        <f ca="1">INDEX([12]ČR!$D$18:$D$383,DATE(2016,MONTH(S232),DAY(S232))-DATE(2016,1,1)+1,1)/1000000</f>
        <v>10.817177006758481</v>
      </c>
      <c r="U232" s="77">
        <f ca="1">IF(T!$A$4&gt;=MONTH(S232),VLOOKUP(S232,'[8]Podklady MZ'!$R$2:$S$367,2,FALSE),NA())</f>
        <v>10.30598544170101</v>
      </c>
      <c r="V232" s="176">
        <f ca="1">INDEX([5]PT!$AF$16:$AF$381,DATE(2016,MONTH(S232),DAY(S232))-DATE(2016,1,1)+1,1)</f>
        <v>15.6</v>
      </c>
      <c r="W232" s="176" t="e">
        <f ca="1">IF(T!$A$4&lt;MONTH(S232),VLOOKUP(S232,'[8]Podklady MZ'!$R$2:$S$367,2,FALSE),NA())</f>
        <v>#N/A</v>
      </c>
    </row>
    <row r="233" spans="19:23" x14ac:dyDescent="0.2">
      <c r="S233" s="76">
        <f t="shared" si="3"/>
        <v>42236</v>
      </c>
      <c r="T233" s="77">
        <f ca="1">INDEX([12]ČR!$D$18:$D$383,DATE(2016,MONTH(S233),DAY(S233))-DATE(2016,1,1)+1,1)/1000000</f>
        <v>10.876105489382656</v>
      </c>
      <c r="U233" s="77">
        <f ca="1">IF(T!$A$4&gt;=MONTH(S233),VLOOKUP(S233,'[8]Podklady MZ'!$R$2:$S$367,2,FALSE),NA())</f>
        <v>10.198907925134305</v>
      </c>
      <c r="V233" s="176">
        <f ca="1">INDEX([5]PT!$AF$16:$AF$381,DATE(2016,MONTH(S233),DAY(S233))-DATE(2016,1,1)+1,1)</f>
        <v>16.100000000000001</v>
      </c>
      <c r="W233" s="176" t="e">
        <f ca="1">IF(T!$A$4&lt;MONTH(S233),VLOOKUP(S233,'[8]Podklady MZ'!$R$2:$S$367,2,FALSE),NA())</f>
        <v>#N/A</v>
      </c>
    </row>
    <row r="234" spans="19:23" x14ac:dyDescent="0.2">
      <c r="S234" s="76">
        <f t="shared" si="3"/>
        <v>42237</v>
      </c>
      <c r="T234" s="77">
        <f ca="1">INDEX([12]ČR!$D$18:$D$383,DATE(2016,MONTH(S234),DAY(S234))-DATE(2016,1,1)+1,1)/1000000</f>
        <v>11.291716303982307</v>
      </c>
      <c r="U234" s="77">
        <f ca="1">IF(T!$A$4&gt;=MONTH(S234),VLOOKUP(S234,'[8]Podklady MZ'!$R$2:$S$367,2,FALSE),NA())</f>
        <v>9.732554603645001</v>
      </c>
      <c r="V234" s="176">
        <f ca="1">INDEX([5]PT!$AF$16:$AF$381,DATE(2016,MONTH(S234),DAY(S234))-DATE(2016,1,1)+1,1)</f>
        <v>16.600000000000001</v>
      </c>
      <c r="W234" s="176" t="e">
        <f ca="1">IF(T!$A$4&lt;MONTH(S234),VLOOKUP(S234,'[8]Podklady MZ'!$R$2:$S$367,2,FALSE),NA())</f>
        <v>#N/A</v>
      </c>
    </row>
    <row r="235" spans="19:23" x14ac:dyDescent="0.2">
      <c r="S235" s="76">
        <f t="shared" si="3"/>
        <v>42238</v>
      </c>
      <c r="T235" s="77">
        <f ca="1">INDEX([12]ČR!$D$18:$D$383,DATE(2016,MONTH(S235),DAY(S235))-DATE(2016,1,1)+1,1)/1000000</f>
        <v>10.608889207773215</v>
      </c>
      <c r="U235" s="77">
        <f ca="1">IF(T!$A$4&gt;=MONTH(S235),VLOOKUP(S235,'[8]Podklady MZ'!$R$2:$S$367,2,FALSE),NA())</f>
        <v>8.1906102744069553</v>
      </c>
      <c r="V235" s="176">
        <f ca="1">INDEX([5]PT!$AF$16:$AF$381,DATE(2016,MONTH(S235),DAY(S235))-DATE(2016,1,1)+1,1)</f>
        <v>16</v>
      </c>
      <c r="W235" s="176" t="e">
        <f ca="1">IF(T!$A$4&lt;MONTH(S235),VLOOKUP(S235,'[8]Podklady MZ'!$R$2:$S$367,2,FALSE),NA())</f>
        <v>#N/A</v>
      </c>
    </row>
    <row r="236" spans="19:23" x14ac:dyDescent="0.2">
      <c r="S236" s="76">
        <f t="shared" si="3"/>
        <v>42239</v>
      </c>
      <c r="T236" s="77">
        <f ca="1">INDEX([12]ČR!$D$18:$D$383,DATE(2016,MONTH(S236),DAY(S236))-DATE(2016,1,1)+1,1)/1000000</f>
        <v>9.0766717210401815</v>
      </c>
      <c r="U236" s="77">
        <f ca="1">IF(T!$A$4&gt;=MONTH(S236),VLOOKUP(S236,'[8]Podklady MZ'!$R$2:$S$367,2,FALSE),NA())</f>
        <v>8.2763648372854224</v>
      </c>
      <c r="V236" s="176">
        <f ca="1">INDEX([5]PT!$AF$16:$AF$381,DATE(2016,MONTH(S236),DAY(S236))-DATE(2016,1,1)+1,1)</f>
        <v>17.3</v>
      </c>
      <c r="W236" s="176" t="e">
        <f ca="1">IF(T!$A$4&lt;MONTH(S236),VLOOKUP(S236,'[8]Podklady MZ'!$R$2:$S$367,2,FALSE),NA())</f>
        <v>#N/A</v>
      </c>
    </row>
    <row r="237" spans="19:23" x14ac:dyDescent="0.2">
      <c r="S237" s="76">
        <f t="shared" si="3"/>
        <v>42240</v>
      </c>
      <c r="T237" s="77">
        <f ca="1">INDEX([12]ČR!$D$18:$D$383,DATE(2016,MONTH(S237),DAY(S237))-DATE(2016,1,1)+1,1)/1000000</f>
        <v>9.6811858112596934</v>
      </c>
      <c r="U237" s="77">
        <f ca="1">IF(T!$A$4&gt;=MONTH(S237),VLOOKUP(S237,'[8]Podklady MZ'!$R$2:$S$367,2,FALSE),NA())</f>
        <v>10.116631278412976</v>
      </c>
      <c r="V237" s="176">
        <f ca="1">INDEX([5]PT!$AF$16:$AF$381,DATE(2016,MONTH(S237),DAY(S237))-DATE(2016,1,1)+1,1)</f>
        <v>20.399999999999999</v>
      </c>
      <c r="W237" s="176" t="e">
        <f ca="1">IF(T!$A$4&lt;MONTH(S237),VLOOKUP(S237,'[8]Podklady MZ'!$R$2:$S$367,2,FALSE),NA())</f>
        <v>#N/A</v>
      </c>
    </row>
    <row r="238" spans="19:23" x14ac:dyDescent="0.2">
      <c r="S238" s="76">
        <f t="shared" si="3"/>
        <v>42241</v>
      </c>
      <c r="T238" s="77">
        <f ca="1">INDEX([12]ČR!$D$18:$D$383,DATE(2016,MONTH(S238),DAY(S238))-DATE(2016,1,1)+1,1)/1000000</f>
        <v>11.401840931354577</v>
      </c>
      <c r="U238" s="77">
        <f ca="1">IF(T!$A$4&gt;=MONTH(S238),VLOOKUP(S238,'[8]Podklady MZ'!$R$2:$S$367,2,FALSE),NA())</f>
        <v>10.634514211604086</v>
      </c>
      <c r="V238" s="176">
        <f ca="1">INDEX([5]PT!$AF$16:$AF$381,DATE(2016,MONTH(S238),DAY(S238))-DATE(2016,1,1)+1,1)</f>
        <v>15.6</v>
      </c>
      <c r="W238" s="176" t="e">
        <f ca="1">IF(T!$A$4&lt;MONTH(S238),VLOOKUP(S238,'[8]Podklady MZ'!$R$2:$S$367,2,FALSE),NA())</f>
        <v>#N/A</v>
      </c>
    </row>
    <row r="239" spans="19:23" x14ac:dyDescent="0.2">
      <c r="S239" s="76">
        <f t="shared" si="3"/>
        <v>42242</v>
      </c>
      <c r="T239" s="77">
        <f ca="1">INDEX([12]ČR!$D$18:$D$383,DATE(2016,MONTH(S239),DAY(S239))-DATE(2016,1,1)+1,1)/1000000</f>
        <v>12.199019353276988</v>
      </c>
      <c r="U239" s="77">
        <f ca="1">IF(T!$A$4&gt;=MONTH(S239),VLOOKUP(S239,'[8]Podklady MZ'!$R$2:$S$367,2,FALSE),NA())</f>
        <v>10.43281949410752</v>
      </c>
      <c r="V239" s="176">
        <f ca="1">INDEX([5]PT!$AF$16:$AF$381,DATE(2016,MONTH(S239),DAY(S239))-DATE(2016,1,1)+1,1)</f>
        <v>17.3</v>
      </c>
      <c r="W239" s="176" t="e">
        <f ca="1">IF(T!$A$4&lt;MONTH(S239),VLOOKUP(S239,'[8]Podklady MZ'!$R$2:$S$367,2,FALSE),NA())</f>
        <v>#N/A</v>
      </c>
    </row>
    <row r="240" spans="19:23" x14ac:dyDescent="0.2">
      <c r="S240" s="76">
        <f t="shared" si="3"/>
        <v>42243</v>
      </c>
      <c r="T240" s="77">
        <f ca="1">INDEX([12]ČR!$D$18:$D$383,DATE(2016,MONTH(S240),DAY(S240))-DATE(2016,1,1)+1,1)/1000000</f>
        <v>12.040001761096969</v>
      </c>
      <c r="U240" s="77">
        <f ca="1">IF(T!$A$4&gt;=MONTH(S240),VLOOKUP(S240,'[8]Podklady MZ'!$R$2:$S$367,2,FALSE),NA())</f>
        <v>10.258901112878878</v>
      </c>
      <c r="V240" s="176">
        <f ca="1">INDEX([5]PT!$AF$16:$AF$381,DATE(2016,MONTH(S240),DAY(S240))-DATE(2016,1,1)+1,1)</f>
        <v>20.9</v>
      </c>
      <c r="W240" s="176" t="e">
        <f ca="1">IF(T!$A$4&lt;MONTH(S240),VLOOKUP(S240,'[8]Podklady MZ'!$R$2:$S$367,2,FALSE),NA())</f>
        <v>#N/A</v>
      </c>
    </row>
    <row r="241" spans="19:23" x14ac:dyDescent="0.2">
      <c r="S241" s="76">
        <f t="shared" si="3"/>
        <v>42244</v>
      </c>
      <c r="T241" s="77">
        <f ca="1">INDEX([12]ČR!$D$18:$D$383,DATE(2016,MONTH(S241),DAY(S241))-DATE(2016,1,1)+1,1)/1000000</f>
        <v>11.614278045055139</v>
      </c>
      <c r="U241" s="77">
        <f ca="1">IF(T!$A$4&gt;=MONTH(S241),VLOOKUP(S241,'[8]Podklady MZ'!$R$2:$S$367,2,FALSE),NA())</f>
        <v>9.621705007623234</v>
      </c>
      <c r="V241" s="176">
        <f ca="1">INDEX([5]PT!$AF$16:$AF$381,DATE(2016,MONTH(S241),DAY(S241))-DATE(2016,1,1)+1,1)</f>
        <v>22.9</v>
      </c>
      <c r="W241" s="176" t="e">
        <f ca="1">IF(T!$A$4&lt;MONTH(S241),VLOOKUP(S241,'[8]Podklady MZ'!$R$2:$S$367,2,FALSE),NA())</f>
        <v>#N/A</v>
      </c>
    </row>
    <row r="242" spans="19:23" x14ac:dyDescent="0.2">
      <c r="S242" s="76">
        <f t="shared" si="3"/>
        <v>42245</v>
      </c>
      <c r="T242" s="77">
        <f ca="1">INDEX([12]ČR!$D$18:$D$383,DATE(2016,MONTH(S242),DAY(S242))-DATE(2016,1,1)+1,1)/1000000</f>
        <v>12.05634528188342</v>
      </c>
      <c r="U242" s="77">
        <f ca="1">IF(T!$A$4&gt;=MONTH(S242),VLOOKUP(S242,'[8]Podklady MZ'!$R$2:$S$367,2,FALSE),NA())</f>
        <v>7.90341361582934</v>
      </c>
      <c r="V242" s="176">
        <f ca="1">INDEX([5]PT!$AF$16:$AF$381,DATE(2016,MONTH(S242),DAY(S242))-DATE(2016,1,1)+1,1)</f>
        <v>23.4</v>
      </c>
      <c r="W242" s="176" t="e">
        <f ca="1">IF(T!$A$4&lt;MONTH(S242),VLOOKUP(S242,'[8]Podklady MZ'!$R$2:$S$367,2,FALSE),NA())</f>
        <v>#N/A</v>
      </c>
    </row>
    <row r="243" spans="19:23" x14ac:dyDescent="0.2">
      <c r="S243" s="76">
        <f t="shared" si="3"/>
        <v>42246</v>
      </c>
      <c r="T243" s="77">
        <f ca="1">INDEX([12]ČR!$D$18:$D$383,DATE(2016,MONTH(S243),DAY(S243))-DATE(2016,1,1)+1,1)/1000000</f>
        <v>9.031495101169039</v>
      </c>
      <c r="U243" s="77">
        <f ca="1">IF(T!$A$4&gt;=MONTH(S243),VLOOKUP(S243,'[8]Podklady MZ'!$R$2:$S$367,2,FALSE),NA())</f>
        <v>8.0524275904776808</v>
      </c>
      <c r="V243" s="176">
        <f ca="1">INDEX([5]PT!$AF$16:$AF$381,DATE(2016,MONTH(S243),DAY(S243))-DATE(2016,1,1)+1,1)</f>
        <v>24.3</v>
      </c>
      <c r="W243" s="176" t="e">
        <f ca="1">IF(T!$A$4&lt;MONTH(S243),VLOOKUP(S243,'[8]Podklady MZ'!$R$2:$S$367,2,FALSE),NA())</f>
        <v>#N/A</v>
      </c>
    </row>
    <row r="244" spans="19:23" x14ac:dyDescent="0.2">
      <c r="S244" s="76">
        <f t="shared" si="3"/>
        <v>42247</v>
      </c>
      <c r="T244" s="77">
        <f ca="1">INDEX([12]ČR!$D$18:$D$383,DATE(2016,MONTH(S244),DAY(S244))-DATE(2016,1,1)+1,1)/1000000</f>
        <v>9.5905805212413799</v>
      </c>
      <c r="U244" s="77">
        <f ca="1">IF(T!$A$4&gt;=MONTH(S244),VLOOKUP(S244,'[8]Podklady MZ'!$R$2:$S$367,2,FALSE),NA())</f>
        <v>10.083864108825882</v>
      </c>
      <c r="V244" s="176">
        <f ca="1">INDEX([5]PT!$AF$16:$AF$381,DATE(2016,MONTH(S244),DAY(S244))-DATE(2016,1,1)+1,1)</f>
        <v>24.4</v>
      </c>
      <c r="W244" s="176" t="e">
        <f ca="1">IF(T!$A$4&lt;MONTH(S244),VLOOKUP(S244,'[8]Podklady MZ'!$R$2:$S$367,2,FALSE),NA())</f>
        <v>#N/A</v>
      </c>
    </row>
    <row r="245" spans="19:23" x14ac:dyDescent="0.2">
      <c r="S245" s="76">
        <f t="shared" si="3"/>
        <v>42248</v>
      </c>
      <c r="T245" s="77">
        <f ca="1">INDEX([12]ČR!$D$18:$D$383,DATE(2016,MONTH(S245),DAY(S245))-DATE(2016,1,1)+1,1)/1000000</f>
        <v>13.326613626984381</v>
      </c>
      <c r="U245" s="77">
        <f ca="1">IF(T!$A$4&gt;=MONTH(S245),VLOOKUP(S245,'[8]Podklady MZ'!$R$2:$S$367,2,FALSE),NA())</f>
        <v>9.7007445267766368</v>
      </c>
      <c r="V245" s="176">
        <f ca="1">INDEX([5]PT!$AF$16:$AF$381,DATE(2016,MONTH(S245),DAY(S245))-DATE(2016,1,1)+1,1)</f>
        <v>23.5</v>
      </c>
      <c r="W245" s="176" t="e">
        <f ca="1">IF(T!$A$4&lt;MONTH(S245),VLOOKUP(S245,'[8]Podklady MZ'!$R$2:$S$367,2,FALSE),NA())</f>
        <v>#N/A</v>
      </c>
    </row>
    <row r="246" spans="19:23" x14ac:dyDescent="0.2">
      <c r="S246" s="76">
        <f t="shared" si="3"/>
        <v>42249</v>
      </c>
      <c r="T246" s="77">
        <f ca="1">INDEX([12]ČR!$D$18:$D$383,DATE(2016,MONTH(S246),DAY(S246))-DATE(2016,1,1)+1,1)/1000000</f>
        <v>14.196894787642554</v>
      </c>
      <c r="U246" s="77">
        <f ca="1">IF(T!$A$4&gt;=MONTH(S246),VLOOKUP(S246,'[8]Podklady MZ'!$R$2:$S$367,2,FALSE),NA())</f>
        <v>10.351424075733302</v>
      </c>
      <c r="V246" s="176">
        <f ca="1">INDEX([5]PT!$AF$16:$AF$381,DATE(2016,MONTH(S246),DAY(S246))-DATE(2016,1,1)+1,1)</f>
        <v>15.6</v>
      </c>
      <c r="W246" s="176" t="e">
        <f ca="1">IF(T!$A$4&lt;MONTH(S246),VLOOKUP(S246,'[8]Podklady MZ'!$R$2:$S$367,2,FALSE),NA())</f>
        <v>#N/A</v>
      </c>
    </row>
    <row r="247" spans="19:23" x14ac:dyDescent="0.2">
      <c r="S247" s="76">
        <f t="shared" si="3"/>
        <v>42250</v>
      </c>
      <c r="T247" s="77">
        <f ca="1">INDEX([12]ČR!$D$18:$D$383,DATE(2016,MONTH(S247),DAY(S247))-DATE(2016,1,1)+1,1)/1000000</f>
        <v>12.05878174257896</v>
      </c>
      <c r="U247" s="77">
        <f ca="1">IF(T!$A$4&gt;=MONTH(S247),VLOOKUP(S247,'[8]Podklady MZ'!$R$2:$S$367,2,FALSE),NA())</f>
        <v>10.675088543805986</v>
      </c>
      <c r="V247" s="176">
        <f ca="1">INDEX([5]PT!$AF$16:$AF$381,DATE(2016,MONTH(S247),DAY(S247))-DATE(2016,1,1)+1,1)</f>
        <v>16</v>
      </c>
      <c r="W247" s="176" t="e">
        <f ca="1">IF(T!$A$4&lt;MONTH(S247),VLOOKUP(S247,'[8]Podklady MZ'!$R$2:$S$367,2,FALSE),NA())</f>
        <v>#N/A</v>
      </c>
    </row>
    <row r="248" spans="19:23" x14ac:dyDescent="0.2">
      <c r="S248" s="76">
        <f t="shared" si="3"/>
        <v>42251</v>
      </c>
      <c r="T248" s="77">
        <f ca="1">INDEX([12]ČR!$D$18:$D$383,DATE(2016,MONTH(S248),DAY(S248))-DATE(2016,1,1)+1,1)/1000000</f>
        <v>11.152921822205252</v>
      </c>
      <c r="U248" s="77">
        <f ca="1">IF(T!$A$4&gt;=MONTH(S248),VLOOKUP(S248,'[8]Podklady MZ'!$R$2:$S$367,2,FALSE),NA())</f>
        <v>11.29469983214782</v>
      </c>
      <c r="V248" s="176">
        <f ca="1">INDEX([5]PT!$AF$16:$AF$381,DATE(2016,MONTH(S248),DAY(S248))-DATE(2016,1,1)+1,1)</f>
        <v>15</v>
      </c>
      <c r="W248" s="176" t="e">
        <f ca="1">IF(T!$A$4&lt;MONTH(S248),VLOOKUP(S248,'[8]Podklady MZ'!$R$2:$S$367,2,FALSE),NA())</f>
        <v>#N/A</v>
      </c>
    </row>
    <row r="249" spans="19:23" x14ac:dyDescent="0.2">
      <c r="S249" s="76">
        <f t="shared" si="3"/>
        <v>42252</v>
      </c>
      <c r="T249" s="77">
        <f ca="1">INDEX([12]ČR!$D$18:$D$383,DATE(2016,MONTH(S249),DAY(S249))-DATE(2016,1,1)+1,1)/1000000</f>
        <v>11.18945156841357</v>
      </c>
      <c r="U249" s="77">
        <f ca="1">IF(T!$A$4&gt;=MONTH(S249),VLOOKUP(S249,'[8]Podklady MZ'!$R$2:$S$367,2,FALSE),NA())</f>
        <v>8.1970730704195525</v>
      </c>
      <c r="V249" s="176">
        <f ca="1">INDEX([5]PT!$AF$16:$AF$381,DATE(2016,MONTH(S249),DAY(S249))-DATE(2016,1,1)+1,1)</f>
        <v>13.8</v>
      </c>
      <c r="W249" s="176" t="e">
        <f ca="1">IF(T!$A$4&lt;MONTH(S249),VLOOKUP(S249,'[8]Podklady MZ'!$R$2:$S$367,2,FALSE),NA())</f>
        <v>#N/A</v>
      </c>
    </row>
    <row r="250" spans="19:23" x14ac:dyDescent="0.2">
      <c r="S250" s="76">
        <f t="shared" si="3"/>
        <v>42253</v>
      </c>
      <c r="T250" s="77">
        <f ca="1">INDEX([12]ČR!$D$18:$D$383,DATE(2016,MONTH(S250),DAY(S250))-DATE(2016,1,1)+1,1)/1000000</f>
        <v>8.7177705120471813</v>
      </c>
      <c r="U250" s="77">
        <f ca="1">IF(T!$A$4&gt;=MONTH(S250),VLOOKUP(S250,'[8]Podklady MZ'!$R$2:$S$367,2,FALSE),NA())</f>
        <v>9.2336958503371118</v>
      </c>
      <c r="V250" s="176">
        <f ca="1">INDEX([5]PT!$AF$16:$AF$381,DATE(2016,MONTH(S250),DAY(S250))-DATE(2016,1,1)+1,1)</f>
        <v>11.8</v>
      </c>
      <c r="W250" s="176" t="e">
        <f ca="1">IF(T!$A$4&lt;MONTH(S250),VLOOKUP(S250,'[8]Podklady MZ'!$R$2:$S$367,2,FALSE),NA())</f>
        <v>#N/A</v>
      </c>
    </row>
    <row r="251" spans="19:23" x14ac:dyDescent="0.2">
      <c r="S251" s="76">
        <f t="shared" si="3"/>
        <v>42254</v>
      </c>
      <c r="T251" s="77">
        <f ca="1">INDEX([12]ČR!$D$18:$D$383,DATE(2016,MONTH(S251),DAY(S251))-DATE(2016,1,1)+1,1)/1000000</f>
        <v>9.0133461746747372</v>
      </c>
      <c r="U251" s="77">
        <f ca="1">IF(T!$A$4&gt;=MONTH(S251),VLOOKUP(S251,'[8]Podklady MZ'!$R$2:$S$367,2,FALSE),NA())</f>
        <v>11.597554488210992</v>
      </c>
      <c r="V251" s="176">
        <f ca="1">INDEX([5]PT!$AF$16:$AF$381,DATE(2016,MONTH(S251),DAY(S251))-DATE(2016,1,1)+1,1)</f>
        <v>10.6</v>
      </c>
      <c r="W251" s="176" t="e">
        <f ca="1">IF(T!$A$4&lt;MONTH(S251),VLOOKUP(S251,'[8]Podklady MZ'!$R$2:$S$367,2,FALSE),NA())</f>
        <v>#N/A</v>
      </c>
    </row>
    <row r="252" spans="19:23" x14ac:dyDescent="0.2">
      <c r="S252" s="76">
        <f t="shared" si="3"/>
        <v>42255</v>
      </c>
      <c r="T252" s="77">
        <f ca="1">INDEX([12]ČR!$D$18:$D$383,DATE(2016,MONTH(S252),DAY(S252))-DATE(2016,1,1)+1,1)/1000000</f>
        <v>10.548433325279383</v>
      </c>
      <c r="U252" s="77">
        <f ca="1">IF(T!$A$4&gt;=MONTH(S252),VLOOKUP(S252,'[8]Podklady MZ'!$R$2:$S$367,2,FALSE),NA())</f>
        <v>11.40204196931642</v>
      </c>
      <c r="V252" s="176">
        <f ca="1">INDEX([5]PT!$AF$16:$AF$381,DATE(2016,MONTH(S252),DAY(S252))-DATE(2016,1,1)+1,1)</f>
        <v>11.1</v>
      </c>
      <c r="W252" s="176" t="e">
        <f ca="1">IF(T!$A$4&lt;MONTH(S252),VLOOKUP(S252,'[8]Podklady MZ'!$R$2:$S$367,2,FALSE),NA())</f>
        <v>#N/A</v>
      </c>
    </row>
    <row r="253" spans="19:23" x14ac:dyDescent="0.2">
      <c r="S253" s="76">
        <f t="shared" si="3"/>
        <v>42256</v>
      </c>
      <c r="T253" s="77">
        <f ca="1">INDEX([12]ČR!$D$18:$D$383,DATE(2016,MONTH(S253),DAY(S253))-DATE(2016,1,1)+1,1)/1000000</f>
        <v>10.862729181597722</v>
      </c>
      <c r="U253" s="77">
        <f ca="1">IF(T!$A$4&gt;=MONTH(S253),VLOOKUP(S253,'[8]Podklady MZ'!$R$2:$S$367,2,FALSE),NA())</f>
        <v>12.222584744863941</v>
      </c>
      <c r="V253" s="176">
        <f ca="1">INDEX([5]PT!$AF$16:$AF$381,DATE(2016,MONTH(S253),DAY(S253))-DATE(2016,1,1)+1,1)</f>
        <v>9.9</v>
      </c>
      <c r="W253" s="176" t="e">
        <f ca="1">IF(T!$A$4&lt;MONTH(S253),VLOOKUP(S253,'[8]Podklady MZ'!$R$2:$S$367,2,FALSE),NA())</f>
        <v>#N/A</v>
      </c>
    </row>
    <row r="254" spans="19:23" x14ac:dyDescent="0.2">
      <c r="S254" s="76">
        <f t="shared" si="3"/>
        <v>42257</v>
      </c>
      <c r="T254" s="77">
        <f ca="1">INDEX([12]ČR!$D$18:$D$383,DATE(2016,MONTH(S254),DAY(S254))-DATE(2016,1,1)+1,1)/1000000</f>
        <v>11.090167949052262</v>
      </c>
      <c r="U254" s="77">
        <f ca="1">IF(T!$A$4&gt;=MONTH(S254),VLOOKUP(S254,'[8]Podklady MZ'!$R$2:$S$367,2,FALSE),NA())</f>
        <v>12.198425235856467</v>
      </c>
      <c r="V254" s="176">
        <f ca="1">INDEX([5]PT!$AF$16:$AF$381,DATE(2016,MONTH(S254),DAY(S254))-DATE(2016,1,1)+1,1)</f>
        <v>11.5</v>
      </c>
      <c r="W254" s="176" t="e">
        <f ca="1">IF(T!$A$4&lt;MONTH(S254),VLOOKUP(S254,'[8]Podklady MZ'!$R$2:$S$367,2,FALSE),NA())</f>
        <v>#N/A</v>
      </c>
    </row>
    <row r="255" spans="19:23" x14ac:dyDescent="0.2">
      <c r="S255" s="76">
        <f t="shared" si="3"/>
        <v>42258</v>
      </c>
      <c r="T255" s="77">
        <f ca="1">INDEX([12]ČR!$D$18:$D$383,DATE(2016,MONTH(S255),DAY(S255))-DATE(2016,1,1)+1,1)/1000000</f>
        <v>11.666969474165212</v>
      </c>
      <c r="U255" s="77">
        <f ca="1">IF(T!$A$4&gt;=MONTH(S255),VLOOKUP(S255,'[8]Podklady MZ'!$R$2:$S$367,2,FALSE),NA())</f>
        <v>14.667928928492055</v>
      </c>
      <c r="V255" s="176">
        <f ca="1">INDEX([5]PT!$AF$16:$AF$381,DATE(2016,MONTH(S255),DAY(S255))-DATE(2016,1,1)+1,1)</f>
        <v>13</v>
      </c>
      <c r="W255" s="176" t="e">
        <f ca="1">IF(T!$A$4&lt;MONTH(S255),VLOOKUP(S255,'[8]Podklady MZ'!$R$2:$S$367,2,FALSE),NA())</f>
        <v>#N/A</v>
      </c>
    </row>
    <row r="256" spans="19:23" x14ac:dyDescent="0.2">
      <c r="S256" s="76">
        <f t="shared" si="3"/>
        <v>42259</v>
      </c>
      <c r="T256" s="77">
        <f ca="1">INDEX([12]ČR!$D$18:$D$383,DATE(2016,MONTH(S256),DAY(S256))-DATE(2016,1,1)+1,1)/1000000</f>
        <v>11.076569173853182</v>
      </c>
      <c r="U256" s="77">
        <f ca="1">IF(T!$A$4&gt;=MONTH(S256),VLOOKUP(S256,'[8]Podklady MZ'!$R$2:$S$367,2,FALSE),NA())</f>
        <v>9.4355036584976215</v>
      </c>
      <c r="V256" s="176">
        <f ca="1">INDEX([5]PT!$AF$16:$AF$381,DATE(2016,MONTH(S256),DAY(S256))-DATE(2016,1,1)+1,1)</f>
        <v>14.9</v>
      </c>
      <c r="W256" s="176" t="e">
        <f ca="1">IF(T!$A$4&lt;MONTH(S256),VLOOKUP(S256,'[8]Podklady MZ'!$R$2:$S$367,2,FALSE),NA())</f>
        <v>#N/A</v>
      </c>
    </row>
    <row r="257" spans="19:23" x14ac:dyDescent="0.2">
      <c r="S257" s="76">
        <f t="shared" si="3"/>
        <v>42260</v>
      </c>
      <c r="T257" s="77">
        <f ca="1">INDEX([12]ČR!$D$18:$D$383,DATE(2016,MONTH(S257),DAY(S257))-DATE(2016,1,1)+1,1)/1000000</f>
        <v>9.4018983077620142</v>
      </c>
      <c r="U257" s="77">
        <f ca="1">IF(T!$A$4&gt;=MONTH(S257),VLOOKUP(S257,'[8]Podklady MZ'!$R$2:$S$367,2,FALSE),NA())</f>
        <v>9.3491360221922815</v>
      </c>
      <c r="V257" s="176">
        <f ca="1">INDEX([5]PT!$AF$16:$AF$381,DATE(2016,MONTH(S257),DAY(S257))-DATE(2016,1,1)+1,1)</f>
        <v>17.399999999999999</v>
      </c>
      <c r="W257" s="176" t="e">
        <f ca="1">IF(T!$A$4&lt;MONTH(S257),VLOOKUP(S257,'[8]Podklady MZ'!$R$2:$S$367,2,FALSE),NA())</f>
        <v>#N/A</v>
      </c>
    </row>
    <row r="258" spans="19:23" x14ac:dyDescent="0.2">
      <c r="S258" s="76">
        <f t="shared" si="3"/>
        <v>42261</v>
      </c>
      <c r="T258" s="77">
        <f ca="1">INDEX([12]ČR!$D$18:$D$383,DATE(2016,MONTH(S258),DAY(S258))-DATE(2016,1,1)+1,1)/1000000</f>
        <v>9.9522193286723191</v>
      </c>
      <c r="U258" s="77">
        <f ca="1">IF(T!$A$4&gt;=MONTH(S258),VLOOKUP(S258,'[8]Podklady MZ'!$R$2:$S$367,2,FALSE),NA())</f>
        <v>11.066872022129369</v>
      </c>
      <c r="V258" s="176">
        <f ca="1">INDEX([5]PT!$AF$16:$AF$381,DATE(2016,MONTH(S258),DAY(S258))-DATE(2016,1,1)+1,1)</f>
        <v>15.5</v>
      </c>
      <c r="W258" s="176" t="e">
        <f ca="1">IF(T!$A$4&lt;MONTH(S258),VLOOKUP(S258,'[8]Podklady MZ'!$R$2:$S$367,2,FALSE),NA())</f>
        <v>#N/A</v>
      </c>
    </row>
    <row r="259" spans="19:23" x14ac:dyDescent="0.2">
      <c r="S259" s="76">
        <f t="shared" si="3"/>
        <v>42262</v>
      </c>
      <c r="T259" s="77">
        <f ca="1">INDEX([12]ČR!$D$18:$D$383,DATE(2016,MONTH(S259),DAY(S259))-DATE(2016,1,1)+1,1)/1000000</f>
        <v>11.503468036013899</v>
      </c>
      <c r="U259" s="77">
        <f ca="1">IF(T!$A$4&gt;=MONTH(S259),VLOOKUP(S259,'[8]Podklady MZ'!$R$2:$S$367,2,FALSE),NA())</f>
        <v>11.139047681373635</v>
      </c>
      <c r="V259" s="176">
        <f ca="1">INDEX([5]PT!$AF$16:$AF$381,DATE(2016,MONTH(S259),DAY(S259))-DATE(2016,1,1)+1,1)</f>
        <v>15.6</v>
      </c>
      <c r="W259" s="176" t="e">
        <f ca="1">IF(T!$A$4&lt;MONTH(S259),VLOOKUP(S259,'[8]Podklady MZ'!$R$2:$S$367,2,FALSE),NA())</f>
        <v>#N/A</v>
      </c>
    </row>
    <row r="260" spans="19:23" x14ac:dyDescent="0.2">
      <c r="S260" s="76">
        <f t="shared" ref="S260:S323" si="4">S259+1</f>
        <v>42263</v>
      </c>
      <c r="T260" s="77">
        <f ca="1">INDEX([12]ČR!$D$18:$D$383,DATE(2016,MONTH(S260),DAY(S260))-DATE(2016,1,1)+1,1)/1000000</f>
        <v>11.57493681078339</v>
      </c>
      <c r="U260" s="77">
        <f ca="1">IF(T!$A$4&gt;=MONTH(S260),VLOOKUP(S260,'[8]Podklady MZ'!$R$2:$S$367,2,FALSE),NA())</f>
        <v>10.696748561847132</v>
      </c>
      <c r="V260" s="176">
        <f ca="1">INDEX([5]PT!$AF$16:$AF$381,DATE(2016,MONTH(S260),DAY(S260))-DATE(2016,1,1)+1,1)</f>
        <v>18.7</v>
      </c>
      <c r="W260" s="176" t="e">
        <f ca="1">IF(T!$A$4&lt;MONTH(S260),VLOOKUP(S260,'[8]Podklady MZ'!$R$2:$S$367,2,FALSE),NA())</f>
        <v>#N/A</v>
      </c>
    </row>
    <row r="261" spans="19:23" x14ac:dyDescent="0.2">
      <c r="S261" s="76">
        <f t="shared" si="4"/>
        <v>42264</v>
      </c>
      <c r="T261" s="77">
        <f ca="1">INDEX([12]ČR!$D$18:$D$383,DATE(2016,MONTH(S261),DAY(S261))-DATE(2016,1,1)+1,1)/1000000</f>
        <v>12.671244461294396</v>
      </c>
      <c r="U261" s="77">
        <f ca="1">IF(T!$A$4&gt;=MONTH(S261),VLOOKUP(S261,'[8]Podklady MZ'!$R$2:$S$367,2,FALSE),NA())</f>
        <v>10.390631158546531</v>
      </c>
      <c r="V261" s="176">
        <f ca="1">INDEX([5]PT!$AF$16:$AF$381,DATE(2016,MONTH(S261),DAY(S261))-DATE(2016,1,1)+1,1)</f>
        <v>20.6</v>
      </c>
      <c r="W261" s="176" t="e">
        <f ca="1">IF(T!$A$4&lt;MONTH(S261),VLOOKUP(S261,'[8]Podklady MZ'!$R$2:$S$367,2,FALSE),NA())</f>
        <v>#N/A</v>
      </c>
    </row>
    <row r="262" spans="19:23" x14ac:dyDescent="0.2">
      <c r="S262" s="76">
        <f t="shared" si="4"/>
        <v>42265</v>
      </c>
      <c r="T262" s="77">
        <f ca="1">INDEX([12]ČR!$D$18:$D$383,DATE(2016,MONTH(S262),DAY(S262))-DATE(2016,1,1)+1,1)/1000000</f>
        <v>11.989948031649744</v>
      </c>
      <c r="U262" s="77">
        <f ca="1">IF(T!$A$4&gt;=MONTH(S262),VLOOKUP(S262,'[8]Podklady MZ'!$R$2:$S$367,2,FALSE),NA())</f>
        <v>10.437855721536367</v>
      </c>
      <c r="V262" s="176">
        <f ca="1">INDEX([5]PT!$AF$16:$AF$381,DATE(2016,MONTH(S262),DAY(S262))-DATE(2016,1,1)+1,1)</f>
        <v>14.1</v>
      </c>
      <c r="W262" s="176" t="e">
        <f ca="1">IF(T!$A$4&lt;MONTH(S262),VLOOKUP(S262,'[8]Podklady MZ'!$R$2:$S$367,2,FALSE),NA())</f>
        <v>#N/A</v>
      </c>
    </row>
    <row r="263" spans="19:23" x14ac:dyDescent="0.2">
      <c r="S263" s="76">
        <f t="shared" si="4"/>
        <v>42266</v>
      </c>
      <c r="T263" s="77">
        <f ca="1">INDEX([12]ČR!$D$18:$D$383,DATE(2016,MONTH(S263),DAY(S263))-DATE(2016,1,1)+1,1)/1000000</f>
        <v>11.364076094157173</v>
      </c>
      <c r="U263" s="77">
        <f ca="1">IF(T!$A$4&gt;=MONTH(S263),VLOOKUP(S263,'[8]Podklady MZ'!$R$2:$S$367,2,FALSE),NA())</f>
        <v>8.9750896284534942</v>
      </c>
      <c r="V263" s="176">
        <f ca="1">INDEX([5]PT!$AF$16:$AF$381,DATE(2016,MONTH(S263),DAY(S263))-DATE(2016,1,1)+1,1)</f>
        <v>14.7</v>
      </c>
      <c r="W263" s="176" t="e">
        <f ca="1">IF(T!$A$4&lt;MONTH(S263),VLOOKUP(S263,'[8]Podklady MZ'!$R$2:$S$367,2,FALSE),NA())</f>
        <v>#N/A</v>
      </c>
    </row>
    <row r="264" spans="19:23" x14ac:dyDescent="0.2">
      <c r="S264" s="76">
        <f t="shared" si="4"/>
        <v>42267</v>
      </c>
      <c r="T264" s="77">
        <f ca="1">INDEX([12]ČR!$D$18:$D$383,DATE(2016,MONTH(S264),DAY(S264))-DATE(2016,1,1)+1,1)/1000000</f>
        <v>9.8209909016072672</v>
      </c>
      <c r="U264" s="77">
        <f ca="1">IF(T!$A$4&gt;=MONTH(S264),VLOOKUP(S264,'[8]Podklady MZ'!$R$2:$S$367,2,FALSE),NA())</f>
        <v>10.140231654609236</v>
      </c>
      <c r="V264" s="176">
        <f ca="1">INDEX([5]PT!$AF$16:$AF$381,DATE(2016,MONTH(S264),DAY(S264))-DATE(2016,1,1)+1,1)</f>
        <v>11.4</v>
      </c>
      <c r="W264" s="176" t="e">
        <f ca="1">IF(T!$A$4&lt;MONTH(S264),VLOOKUP(S264,'[8]Podklady MZ'!$R$2:$S$367,2,FALSE),NA())</f>
        <v>#N/A</v>
      </c>
    </row>
    <row r="265" spans="19:23" x14ac:dyDescent="0.2">
      <c r="S265" s="76">
        <f t="shared" si="4"/>
        <v>42268</v>
      </c>
      <c r="T265" s="77">
        <f ca="1">INDEX([12]ČR!$D$18:$D$383,DATE(2016,MONTH(S265),DAY(S265))-DATE(2016,1,1)+1,1)/1000000</f>
        <v>10.249617120759694</v>
      </c>
      <c r="U265" s="77">
        <f ca="1">IF(T!$A$4&gt;=MONTH(S265),VLOOKUP(S265,'[8]Podklady MZ'!$R$2:$S$367,2,FALSE),NA())</f>
        <v>14.685402776933721</v>
      </c>
      <c r="V265" s="176">
        <f ca="1">INDEX([5]PT!$AF$16:$AF$381,DATE(2016,MONTH(S265),DAY(S265))-DATE(2016,1,1)+1,1)</f>
        <v>10.3</v>
      </c>
      <c r="W265" s="176" t="e">
        <f ca="1">IF(T!$A$4&lt;MONTH(S265),VLOOKUP(S265,'[8]Podklady MZ'!$R$2:$S$367,2,FALSE),NA())</f>
        <v>#N/A</v>
      </c>
    </row>
    <row r="266" spans="19:23" x14ac:dyDescent="0.2">
      <c r="S266" s="76">
        <f t="shared" si="4"/>
        <v>42269</v>
      </c>
      <c r="T266" s="77">
        <f ca="1">INDEX([12]ČR!$D$18:$D$383,DATE(2016,MONTH(S266),DAY(S266))-DATE(2016,1,1)+1,1)/1000000</f>
        <v>13.441887604874745</v>
      </c>
      <c r="U266" s="77">
        <f ca="1">IF(T!$A$4&gt;=MONTH(S266),VLOOKUP(S266,'[8]Podklady MZ'!$R$2:$S$367,2,FALSE),NA())</f>
        <v>12.553554758620496</v>
      </c>
      <c r="V266" s="176">
        <f ca="1">INDEX([5]PT!$AF$16:$AF$381,DATE(2016,MONTH(S266),DAY(S266))-DATE(2016,1,1)+1,1)</f>
        <v>13.1</v>
      </c>
      <c r="W266" s="176" t="e">
        <f ca="1">IF(T!$A$4&lt;MONTH(S266),VLOOKUP(S266,'[8]Podklady MZ'!$R$2:$S$367,2,FALSE),NA())</f>
        <v>#N/A</v>
      </c>
    </row>
    <row r="267" spans="19:23" x14ac:dyDescent="0.2">
      <c r="S267" s="76">
        <f t="shared" si="4"/>
        <v>42270</v>
      </c>
      <c r="T267" s="77">
        <f ca="1">INDEX([12]ČR!$D$18:$D$383,DATE(2016,MONTH(S267),DAY(S267))-DATE(2016,1,1)+1,1)/1000000</f>
        <v>15.490501500711011</v>
      </c>
      <c r="U267" s="77">
        <f ca="1">IF(T!$A$4&gt;=MONTH(S267),VLOOKUP(S267,'[8]Podklady MZ'!$R$2:$S$367,2,FALSE),NA())</f>
        <v>14.359633688987152</v>
      </c>
      <c r="V267" s="176">
        <f ca="1">INDEX([5]PT!$AF$16:$AF$381,DATE(2016,MONTH(S267),DAY(S267))-DATE(2016,1,1)+1,1)</f>
        <v>11.5</v>
      </c>
      <c r="W267" s="176" t="e">
        <f ca="1">IF(T!$A$4&lt;MONTH(S267),VLOOKUP(S267,'[8]Podklady MZ'!$R$2:$S$367,2,FALSE),NA())</f>
        <v>#N/A</v>
      </c>
    </row>
    <row r="268" spans="19:23" x14ac:dyDescent="0.2">
      <c r="S268" s="76">
        <f t="shared" si="4"/>
        <v>42271</v>
      </c>
      <c r="T268" s="77">
        <f ca="1">INDEX([12]ČR!$D$18:$D$383,DATE(2016,MONTH(S268),DAY(S268))-DATE(2016,1,1)+1,1)/1000000</f>
        <v>16.24927609940001</v>
      </c>
      <c r="U268" s="77">
        <f ca="1">IF(T!$A$4&gt;=MONTH(S268),VLOOKUP(S268,'[8]Podklady MZ'!$R$2:$S$367,2,FALSE),NA())</f>
        <v>13.187685903645663</v>
      </c>
      <c r="V268" s="176">
        <f ca="1">INDEX([5]PT!$AF$16:$AF$381,DATE(2016,MONTH(S268),DAY(S268))-DATE(2016,1,1)+1,1)</f>
        <v>12.6</v>
      </c>
      <c r="W268" s="176" t="e">
        <f ca="1">IF(T!$A$4&lt;MONTH(S268),VLOOKUP(S268,'[8]Podklady MZ'!$R$2:$S$367,2,FALSE),NA())</f>
        <v>#N/A</v>
      </c>
    </row>
    <row r="269" spans="19:23" x14ac:dyDescent="0.2">
      <c r="S269" s="76">
        <f t="shared" si="4"/>
        <v>42272</v>
      </c>
      <c r="T269" s="77">
        <f ca="1">INDEX([12]ČR!$D$18:$D$383,DATE(2016,MONTH(S269),DAY(S269))-DATE(2016,1,1)+1,1)/1000000</f>
        <v>15.939579205348613</v>
      </c>
      <c r="U269" s="77">
        <f ca="1">IF(T!$A$4&gt;=MONTH(S269),VLOOKUP(S269,'[8]Podklady MZ'!$R$2:$S$367,2,FALSE),NA())</f>
        <v>12.952785702018016</v>
      </c>
      <c r="V269" s="176">
        <f ca="1">INDEX([5]PT!$AF$16:$AF$381,DATE(2016,MONTH(S269),DAY(S269))-DATE(2016,1,1)+1,1)</f>
        <v>13.7</v>
      </c>
      <c r="W269" s="176" t="e">
        <f ca="1">IF(T!$A$4&lt;MONTH(S269),VLOOKUP(S269,'[8]Podklady MZ'!$R$2:$S$367,2,FALSE),NA())</f>
        <v>#N/A</v>
      </c>
    </row>
    <row r="270" spans="19:23" x14ac:dyDescent="0.2">
      <c r="S270" s="76">
        <f t="shared" si="4"/>
        <v>42273</v>
      </c>
      <c r="T270" s="77">
        <f ca="1">INDEX([12]ČR!$D$18:$D$383,DATE(2016,MONTH(S270),DAY(S270))-DATE(2016,1,1)+1,1)/1000000</f>
        <v>15.784708074920571</v>
      </c>
      <c r="U270" s="77">
        <f ca="1">IF(T!$A$4&gt;=MONTH(S270),VLOOKUP(S270,'[8]Podklady MZ'!$R$2:$S$367,2,FALSE),NA())</f>
        <v>11.714102901755435</v>
      </c>
      <c r="V270" s="176">
        <f ca="1">INDEX([5]PT!$AF$16:$AF$381,DATE(2016,MONTH(S270),DAY(S270))-DATE(2016,1,1)+1,1)</f>
        <v>12.1</v>
      </c>
      <c r="W270" s="176" t="e">
        <f ca="1">IF(T!$A$4&lt;MONTH(S270),VLOOKUP(S270,'[8]Podklady MZ'!$R$2:$S$367,2,FALSE),NA())</f>
        <v>#N/A</v>
      </c>
    </row>
    <row r="271" spans="19:23" x14ac:dyDescent="0.2">
      <c r="S271" s="76">
        <f t="shared" si="4"/>
        <v>42274</v>
      </c>
      <c r="T271" s="77">
        <f ca="1">INDEX([12]ČR!$D$18:$D$383,DATE(2016,MONTH(S271),DAY(S271))-DATE(2016,1,1)+1,1)/1000000</f>
        <v>12.817301637118813</v>
      </c>
      <c r="U271" s="77">
        <f ca="1">IF(T!$A$4&gt;=MONTH(S271),VLOOKUP(S271,'[8]Podklady MZ'!$R$2:$S$367,2,FALSE),NA())</f>
        <v>12.05665177038618</v>
      </c>
      <c r="V271" s="176">
        <f ca="1">INDEX([5]PT!$AF$16:$AF$381,DATE(2016,MONTH(S271),DAY(S271))-DATE(2016,1,1)+1,1)</f>
        <v>11</v>
      </c>
      <c r="W271" s="176" t="e">
        <f ca="1">IF(T!$A$4&lt;MONTH(S271),VLOOKUP(S271,'[8]Podklady MZ'!$R$2:$S$367,2,FALSE),NA())</f>
        <v>#N/A</v>
      </c>
    </row>
    <row r="272" spans="19:23" x14ac:dyDescent="0.2">
      <c r="S272" s="76">
        <f t="shared" si="4"/>
        <v>42275</v>
      </c>
      <c r="T272" s="77">
        <f ca="1">INDEX([12]ČR!$D$18:$D$383,DATE(2016,MONTH(S272),DAY(S272))-DATE(2016,1,1)+1,1)/1000000</f>
        <v>12.838785139497604</v>
      </c>
      <c r="U272" s="77">
        <f ca="1">IF(T!$A$4&gt;=MONTH(S272),VLOOKUP(S272,'[8]Podklady MZ'!$R$2:$S$367,2,FALSE),NA())</f>
        <v>13.31929253083147</v>
      </c>
      <c r="V272" s="176">
        <f ca="1">INDEX([5]PT!$AF$16:$AF$381,DATE(2016,MONTH(S272),DAY(S272))-DATE(2016,1,1)+1,1)</f>
        <v>10</v>
      </c>
      <c r="W272" s="176" t="e">
        <f ca="1">IF(T!$A$4&lt;MONTH(S272),VLOOKUP(S272,'[8]Podklady MZ'!$R$2:$S$367,2,FALSE),NA())</f>
        <v>#N/A</v>
      </c>
    </row>
    <row r="273" spans="19:23" x14ac:dyDescent="0.2">
      <c r="S273" s="76">
        <f t="shared" si="4"/>
        <v>42276</v>
      </c>
      <c r="T273" s="77">
        <f ca="1">INDEX([12]ČR!$D$18:$D$383,DATE(2016,MONTH(S273),DAY(S273))-DATE(2016,1,1)+1,1)/1000000</f>
        <v>14.427943495360427</v>
      </c>
      <c r="U273" s="77">
        <f ca="1">IF(T!$A$4&gt;=MONTH(S273),VLOOKUP(S273,'[8]Podklady MZ'!$R$2:$S$367,2,FALSE),NA())</f>
        <v>16.378723737316371</v>
      </c>
      <c r="V273" s="176">
        <f ca="1">INDEX([5]PT!$AF$16:$AF$381,DATE(2016,MONTH(S273),DAY(S273))-DATE(2016,1,1)+1,1)</f>
        <v>9.1999999999999993</v>
      </c>
      <c r="W273" s="176" t="e">
        <f ca="1">IF(T!$A$4&lt;MONTH(S273),VLOOKUP(S273,'[8]Podklady MZ'!$R$2:$S$367,2,FALSE),NA())</f>
        <v>#N/A</v>
      </c>
    </row>
    <row r="274" spans="19:23" x14ac:dyDescent="0.2">
      <c r="S274" s="76">
        <f t="shared" si="4"/>
        <v>42277</v>
      </c>
      <c r="T274" s="77">
        <f ca="1">INDEX([12]ČR!$D$18:$D$383,DATE(2016,MONTH(S274),DAY(S274))-DATE(2016,1,1)+1,1)/1000000</f>
        <v>14.342826680174253</v>
      </c>
      <c r="U274" s="77">
        <f ca="1">IF(T!$A$4&gt;=MONTH(S274),VLOOKUP(S274,'[8]Podklady MZ'!$R$2:$S$367,2,FALSE),NA())</f>
        <v>18.580584968434316</v>
      </c>
      <c r="V274" s="176">
        <f ca="1">INDEX([5]PT!$AF$16:$AF$381,DATE(2016,MONTH(S274),DAY(S274))-DATE(2016,1,1)+1,1)</f>
        <v>7.6</v>
      </c>
      <c r="W274" s="176" t="e">
        <f ca="1">IF(T!$A$4&lt;MONTH(S274),VLOOKUP(S274,'[8]Podklady MZ'!$R$2:$S$367,2,FALSE),NA())</f>
        <v>#N/A</v>
      </c>
    </row>
    <row r="275" spans="19:23" x14ac:dyDescent="0.2">
      <c r="S275" s="76">
        <f t="shared" si="4"/>
        <v>42278</v>
      </c>
      <c r="T275" s="77">
        <f ca="1">INDEX([12]ČR!$D$18:$D$383,DATE(2016,MONTH(S275),DAY(S275))-DATE(2016,1,1)+1,1)/1000000</f>
        <v>14.672599361198165</v>
      </c>
      <c r="U275" s="77">
        <f ca="1">IF(T!$A$4&gt;=MONTH(S275),VLOOKUP(S275,'[8]Podklady MZ'!$R$2:$S$367,2,FALSE),NA())</f>
        <v>18.92168176607754</v>
      </c>
      <c r="V275" s="176">
        <f ca="1">INDEX([5]PT!$AF$16:$AF$381,DATE(2016,MONTH(S275),DAY(S275))-DATE(2016,1,1)+1,1)</f>
        <v>7.2</v>
      </c>
      <c r="W275" s="176" t="e">
        <f ca="1">IF(T!$A$4&lt;MONTH(S275),VLOOKUP(S275,'[8]Podklady MZ'!$R$2:$S$367,2,FALSE),NA())</f>
        <v>#N/A</v>
      </c>
    </row>
    <row r="276" spans="19:23" x14ac:dyDescent="0.2">
      <c r="S276" s="76">
        <f t="shared" si="4"/>
        <v>42279</v>
      </c>
      <c r="T276" s="77">
        <f ca="1">INDEX([12]ČR!$D$18:$D$383,DATE(2016,MONTH(S276),DAY(S276))-DATE(2016,1,1)+1,1)/1000000</f>
        <v>14.937437234854114</v>
      </c>
      <c r="U276" s="77">
        <f ca="1">IF(T!$A$4&gt;=MONTH(S276),VLOOKUP(S276,'[8]Podklady MZ'!$R$2:$S$367,2,FALSE),NA())</f>
        <v>17.859079077775508</v>
      </c>
      <c r="V276" s="176">
        <f ca="1">INDEX([5]PT!$AF$16:$AF$381,DATE(2016,MONTH(S276),DAY(S276))-DATE(2016,1,1)+1,1)</f>
        <v>9.8000000000000007</v>
      </c>
      <c r="W276" s="176" t="e">
        <f ca="1">IF(T!$A$4&lt;MONTH(S276),VLOOKUP(S276,'[8]Podklady MZ'!$R$2:$S$367,2,FALSE),NA())</f>
        <v>#N/A</v>
      </c>
    </row>
    <row r="277" spans="19:23" x14ac:dyDescent="0.2">
      <c r="S277" s="76">
        <f t="shared" si="4"/>
        <v>42280</v>
      </c>
      <c r="T277" s="77">
        <f ca="1">INDEX([12]ČR!$D$18:$D$383,DATE(2016,MONTH(S277),DAY(S277))-DATE(2016,1,1)+1,1)/1000000</f>
        <v>15.024224818934954</v>
      </c>
      <c r="U277" s="77">
        <f ca="1">IF(T!$A$4&gt;=MONTH(S277),VLOOKUP(S277,'[8]Podklady MZ'!$R$2:$S$367,2,FALSE),NA())</f>
        <v>14.158911197204462</v>
      </c>
      <c r="V277" s="176">
        <f ca="1">INDEX([5]PT!$AF$16:$AF$381,DATE(2016,MONTH(S277),DAY(S277))-DATE(2016,1,1)+1,1)</f>
        <v>13.1</v>
      </c>
      <c r="W277" s="176" t="e">
        <f ca="1">IF(T!$A$4&lt;MONTH(S277),VLOOKUP(S277,'[8]Podklady MZ'!$R$2:$S$367,2,FALSE),NA())</f>
        <v>#N/A</v>
      </c>
    </row>
    <row r="278" spans="19:23" x14ac:dyDescent="0.2">
      <c r="S278" s="76">
        <f t="shared" si="4"/>
        <v>42281</v>
      </c>
      <c r="T278" s="77">
        <f ca="1">INDEX([12]ČR!$D$18:$D$383,DATE(2016,MONTH(S278),DAY(S278))-DATE(2016,1,1)+1,1)/1000000</f>
        <v>14.082394436836998</v>
      </c>
      <c r="U278" s="77">
        <f ca="1">IF(T!$A$4&gt;=MONTH(S278),VLOOKUP(S278,'[8]Podklady MZ'!$R$2:$S$367,2,FALSE),NA())</f>
        <v>13.891405785625052</v>
      </c>
      <c r="V278" s="176">
        <f ca="1">INDEX([5]PT!$AF$16:$AF$381,DATE(2016,MONTH(S278),DAY(S278))-DATE(2016,1,1)+1,1)</f>
        <v>12.4</v>
      </c>
      <c r="W278" s="176" t="e">
        <f ca="1">IF(T!$A$4&lt;MONTH(S278),VLOOKUP(S278,'[8]Podklady MZ'!$R$2:$S$367,2,FALSE),NA())</f>
        <v>#N/A</v>
      </c>
    </row>
    <row r="279" spans="19:23" x14ac:dyDescent="0.2">
      <c r="S279" s="76">
        <f t="shared" si="4"/>
        <v>42282</v>
      </c>
      <c r="T279" s="77">
        <f ca="1">INDEX([12]ČR!$D$18:$D$383,DATE(2016,MONTH(S279),DAY(S279))-DATE(2016,1,1)+1,1)/1000000</f>
        <v>14.703838786388099</v>
      </c>
      <c r="U279" s="77">
        <f ca="1">IF(T!$A$4&gt;=MONTH(S279),VLOOKUP(S279,'[8]Podklady MZ'!$R$2:$S$367,2,FALSE),NA())</f>
        <v>15.701599472846643</v>
      </c>
      <c r="V279" s="176">
        <f ca="1">INDEX([5]PT!$AF$16:$AF$381,DATE(2016,MONTH(S279),DAY(S279))-DATE(2016,1,1)+1,1)</f>
        <v>12.3</v>
      </c>
      <c r="W279" s="176" t="e">
        <f ca="1">IF(T!$A$4&lt;MONTH(S279),VLOOKUP(S279,'[8]Podklady MZ'!$R$2:$S$367,2,FALSE),NA())</f>
        <v>#N/A</v>
      </c>
    </row>
    <row r="280" spans="19:23" x14ac:dyDescent="0.2">
      <c r="S280" s="76">
        <f t="shared" si="4"/>
        <v>42283</v>
      </c>
      <c r="T280" s="77">
        <f ca="1">INDEX([12]ČR!$D$18:$D$383,DATE(2016,MONTH(S280),DAY(S280))-DATE(2016,1,1)+1,1)/1000000</f>
        <v>16.851060623207204</v>
      </c>
      <c r="U280" s="77">
        <f ca="1">IF(T!$A$4&gt;=MONTH(S280),VLOOKUP(S280,'[8]Podklady MZ'!$R$2:$S$367,2,FALSE),NA())</f>
        <v>16.066707061324717</v>
      </c>
      <c r="V280" s="176">
        <f ca="1">INDEX([5]PT!$AF$16:$AF$381,DATE(2016,MONTH(S280),DAY(S280))-DATE(2016,1,1)+1,1)</f>
        <v>12.9</v>
      </c>
      <c r="W280" s="176" t="e">
        <f ca="1">IF(T!$A$4&lt;MONTH(S280),VLOOKUP(S280,'[8]Podklady MZ'!$R$2:$S$367,2,FALSE),NA())</f>
        <v>#N/A</v>
      </c>
    </row>
    <row r="281" spans="19:23" x14ac:dyDescent="0.2">
      <c r="S281" s="76">
        <f t="shared" si="4"/>
        <v>42284</v>
      </c>
      <c r="T281" s="77">
        <f ca="1">INDEX([12]ČR!$D$18:$D$383,DATE(2016,MONTH(S281),DAY(S281))-DATE(2016,1,1)+1,1)/1000000</f>
        <v>17.837122085778574</v>
      </c>
      <c r="U281" s="77">
        <f ca="1">IF(T!$A$4&gt;=MONTH(S281),VLOOKUP(S281,'[8]Podklady MZ'!$R$2:$S$367,2,FALSE),NA())</f>
        <v>18.367584583883939</v>
      </c>
      <c r="V281" s="176">
        <f ca="1">INDEX([5]PT!$AF$16:$AF$381,DATE(2016,MONTH(S281),DAY(S281))-DATE(2016,1,1)+1,1)</f>
        <v>13.4</v>
      </c>
      <c r="W281" s="176" t="e">
        <f ca="1">IF(T!$A$4&lt;MONTH(S281),VLOOKUP(S281,'[8]Podklady MZ'!$R$2:$S$367,2,FALSE),NA())</f>
        <v>#N/A</v>
      </c>
    </row>
    <row r="282" spans="19:23" x14ac:dyDescent="0.2">
      <c r="S282" s="76">
        <f t="shared" si="4"/>
        <v>42285</v>
      </c>
      <c r="T282" s="77">
        <f ca="1">INDEX([12]ČR!$D$18:$D$383,DATE(2016,MONTH(S282),DAY(S282))-DATE(2016,1,1)+1,1)/1000000</f>
        <v>16.556639874486695</v>
      </c>
      <c r="U282" s="77">
        <f ca="1">IF(T!$A$4&gt;=MONTH(S282),VLOOKUP(S282,'[8]Podklady MZ'!$R$2:$S$367,2,FALSE),NA())</f>
        <v>19.573674881397462</v>
      </c>
      <c r="V282" s="176">
        <f ca="1">INDEX([5]PT!$AF$16:$AF$381,DATE(2016,MONTH(S282),DAY(S282))-DATE(2016,1,1)+1,1)</f>
        <v>12.1</v>
      </c>
      <c r="W282" s="176" t="e">
        <f ca="1">IF(T!$A$4&lt;MONTH(S282),VLOOKUP(S282,'[8]Podklady MZ'!$R$2:$S$367,2,FALSE),NA())</f>
        <v>#N/A</v>
      </c>
    </row>
    <row r="283" spans="19:23" x14ac:dyDescent="0.2">
      <c r="S283" s="76">
        <f t="shared" si="4"/>
        <v>42286</v>
      </c>
      <c r="T283" s="77">
        <f ca="1">INDEX([12]ČR!$D$18:$D$383,DATE(2016,MONTH(S283),DAY(S283))-DATE(2016,1,1)+1,1)/1000000</f>
        <v>15.092905475487182</v>
      </c>
      <c r="U283" s="77">
        <f ca="1">IF(T!$A$4&gt;=MONTH(S283),VLOOKUP(S283,'[8]Podklady MZ'!$R$2:$S$367,2,FALSE),NA())</f>
        <v>20.108905185047394</v>
      </c>
      <c r="V283" s="176">
        <f ca="1">INDEX([5]PT!$AF$16:$AF$381,DATE(2016,MONTH(S283),DAY(S283))-DATE(2016,1,1)+1,1)</f>
        <v>10.199999999999999</v>
      </c>
      <c r="W283" s="176" t="e">
        <f ca="1">IF(T!$A$4&lt;MONTH(S283),VLOOKUP(S283,'[8]Podklady MZ'!$R$2:$S$367,2,FALSE),NA())</f>
        <v>#N/A</v>
      </c>
    </row>
    <row r="284" spans="19:23" x14ac:dyDescent="0.2">
      <c r="S284" s="76">
        <f t="shared" si="4"/>
        <v>42287</v>
      </c>
      <c r="T284" s="77">
        <f ca="1">INDEX([12]ČR!$D$18:$D$383,DATE(2016,MONTH(S284),DAY(S284))-DATE(2016,1,1)+1,1)/1000000</f>
        <v>14.757388313683579</v>
      </c>
      <c r="U284" s="77">
        <f ca="1">IF(T!$A$4&gt;=MONTH(S284),VLOOKUP(S284,'[8]Podklady MZ'!$R$2:$S$367,2,FALSE),NA())</f>
        <v>17.884759805823556</v>
      </c>
      <c r="V284" s="176">
        <f ca="1">INDEX([5]PT!$AF$16:$AF$381,DATE(2016,MONTH(S284),DAY(S284))-DATE(2016,1,1)+1,1)</f>
        <v>7.8</v>
      </c>
      <c r="W284" s="176" t="e">
        <f ca="1">IF(T!$A$4&lt;MONTH(S284),VLOOKUP(S284,'[8]Podklady MZ'!$R$2:$S$367,2,FALSE),NA())</f>
        <v>#N/A</v>
      </c>
    </row>
    <row r="285" spans="19:23" x14ac:dyDescent="0.2">
      <c r="S285" s="76">
        <f t="shared" si="4"/>
        <v>42288</v>
      </c>
      <c r="T285" s="77">
        <f ca="1">INDEX([12]ČR!$D$18:$D$383,DATE(2016,MONTH(S285),DAY(S285))-DATE(2016,1,1)+1,1)/1000000</f>
        <v>12.577807255365114</v>
      </c>
      <c r="U285" s="77">
        <f ca="1">IF(T!$A$4&gt;=MONTH(S285),VLOOKUP(S285,'[8]Podklady MZ'!$R$2:$S$367,2,FALSE),NA())</f>
        <v>20.746931442756491</v>
      </c>
      <c r="V285" s="176">
        <f ca="1">INDEX([5]PT!$AF$16:$AF$381,DATE(2016,MONTH(S285),DAY(S285))-DATE(2016,1,1)+1,1)</f>
        <v>4.4000000000000004</v>
      </c>
      <c r="W285" s="176" t="e">
        <f ca="1">IF(T!$A$4&lt;MONTH(S285),VLOOKUP(S285,'[8]Podklady MZ'!$R$2:$S$367,2,FALSE),NA())</f>
        <v>#N/A</v>
      </c>
    </row>
    <row r="286" spans="19:23" x14ac:dyDescent="0.2">
      <c r="S286" s="76">
        <f t="shared" si="4"/>
        <v>42289</v>
      </c>
      <c r="T286" s="77">
        <f ca="1">INDEX([12]ČR!$D$18:$D$383,DATE(2016,MONTH(S286),DAY(S286))-DATE(2016,1,1)+1,1)/1000000</f>
        <v>12.420204680277019</v>
      </c>
      <c r="U286" s="77">
        <f ca="1">IF(T!$A$4&gt;=MONTH(S286),VLOOKUP(S286,'[8]Podklady MZ'!$R$2:$S$367,2,FALSE),NA())</f>
        <v>27.530719494693717</v>
      </c>
      <c r="V286" s="176">
        <f ca="1">INDEX([5]PT!$AF$16:$AF$381,DATE(2016,MONTH(S286),DAY(S286))-DATE(2016,1,1)+1,1)</f>
        <v>2.1</v>
      </c>
      <c r="W286" s="176" t="e">
        <f ca="1">IF(T!$A$4&lt;MONTH(S286),VLOOKUP(S286,'[8]Podklady MZ'!$R$2:$S$367,2,FALSE),NA())</f>
        <v>#N/A</v>
      </c>
    </row>
    <row r="287" spans="19:23" x14ac:dyDescent="0.2">
      <c r="S287" s="76">
        <f t="shared" si="4"/>
        <v>42290</v>
      </c>
      <c r="T287" s="77">
        <f ca="1">INDEX([12]ČR!$D$18:$D$383,DATE(2016,MONTH(S287),DAY(S287))-DATE(2016,1,1)+1,1)/1000000</f>
        <v>14.379633515847994</v>
      </c>
      <c r="U287" s="77">
        <f ca="1">IF(T!$A$4&gt;=MONTH(S287),VLOOKUP(S287,'[8]Podklady MZ'!$R$2:$S$367,2,FALSE),NA())</f>
        <v>30.622928281272621</v>
      </c>
      <c r="V287" s="176">
        <f ca="1">INDEX([5]PT!$AF$16:$AF$381,DATE(2016,MONTH(S287),DAY(S287))-DATE(2016,1,1)+1,1)</f>
        <v>3</v>
      </c>
      <c r="W287" s="176" t="e">
        <f ca="1">IF(T!$A$4&lt;MONTH(S287),VLOOKUP(S287,'[8]Podklady MZ'!$R$2:$S$367,2,FALSE),NA())</f>
        <v>#N/A</v>
      </c>
    </row>
    <row r="288" spans="19:23" x14ac:dyDescent="0.2">
      <c r="S288" s="76">
        <f t="shared" si="4"/>
        <v>42291</v>
      </c>
      <c r="T288" s="77">
        <f ca="1">INDEX([12]ČR!$D$18:$D$383,DATE(2016,MONTH(S288),DAY(S288))-DATE(2016,1,1)+1,1)/1000000</f>
        <v>14.975768861072046</v>
      </c>
      <c r="U288" s="77">
        <f ca="1">IF(T!$A$4&gt;=MONTH(S288),VLOOKUP(S288,'[8]Podklady MZ'!$R$2:$S$367,2,FALSE),NA())</f>
        <v>29.183774606730523</v>
      </c>
      <c r="V288" s="176">
        <f ca="1">INDEX([5]PT!$AF$16:$AF$381,DATE(2016,MONTH(S288),DAY(S288))-DATE(2016,1,1)+1,1)</f>
        <v>6.3</v>
      </c>
      <c r="W288" s="176" t="e">
        <f ca="1">IF(T!$A$4&lt;MONTH(S288),VLOOKUP(S288,'[8]Podklady MZ'!$R$2:$S$367,2,FALSE),NA())</f>
        <v>#N/A</v>
      </c>
    </row>
    <row r="289" spans="19:23" x14ac:dyDescent="0.2">
      <c r="S289" s="76">
        <f t="shared" si="4"/>
        <v>42292</v>
      </c>
      <c r="T289" s="77">
        <f ca="1">INDEX([12]ČR!$D$18:$D$383,DATE(2016,MONTH(S289),DAY(S289))-DATE(2016,1,1)+1,1)/1000000</f>
        <v>16.572652806813757</v>
      </c>
      <c r="U289" s="77">
        <f ca="1">IF(T!$A$4&gt;=MONTH(S289),VLOOKUP(S289,'[8]Podklady MZ'!$R$2:$S$367,2,FALSE),NA())</f>
        <v>28.202373459662063</v>
      </c>
      <c r="V289" s="176">
        <f ca="1">INDEX([5]PT!$AF$16:$AF$381,DATE(2016,MONTH(S289),DAY(S289))-DATE(2016,1,1)+1,1)</f>
        <v>9.4</v>
      </c>
      <c r="W289" s="176" t="e">
        <f ca="1">IF(T!$A$4&lt;MONTH(S289),VLOOKUP(S289,'[8]Podklady MZ'!$R$2:$S$367,2,FALSE),NA())</f>
        <v>#N/A</v>
      </c>
    </row>
    <row r="290" spans="19:23" x14ac:dyDescent="0.2">
      <c r="S290" s="76">
        <f t="shared" si="4"/>
        <v>42293</v>
      </c>
      <c r="T290" s="77">
        <f ca="1">INDEX([12]ČR!$D$18:$D$383,DATE(2016,MONTH(S290),DAY(S290))-DATE(2016,1,1)+1,1)/1000000</f>
        <v>16.32268119993379</v>
      </c>
      <c r="U290" s="77">
        <f ca="1">IF(T!$A$4&gt;=MONTH(S290),VLOOKUP(S290,'[8]Podklady MZ'!$R$2:$S$367,2,FALSE),NA())</f>
        <v>25.078679715217604</v>
      </c>
      <c r="V290" s="176">
        <f ca="1">INDEX([5]PT!$AF$16:$AF$381,DATE(2016,MONTH(S290),DAY(S290))-DATE(2016,1,1)+1,1)</f>
        <v>8.4</v>
      </c>
      <c r="W290" s="176" t="e">
        <f ca="1">IF(T!$A$4&lt;MONTH(S290),VLOOKUP(S290,'[8]Podklady MZ'!$R$2:$S$367,2,FALSE),NA())</f>
        <v>#N/A</v>
      </c>
    </row>
    <row r="291" spans="19:23" x14ac:dyDescent="0.2">
      <c r="S291" s="76">
        <f t="shared" si="4"/>
        <v>42294</v>
      </c>
      <c r="T291" s="77">
        <f ca="1">INDEX([12]ČR!$D$18:$D$383,DATE(2016,MONTH(S291),DAY(S291))-DATE(2016,1,1)+1,1)/1000000</f>
        <v>16.501299539387901</v>
      </c>
      <c r="U291" s="77">
        <f ca="1">IF(T!$A$4&gt;=MONTH(S291),VLOOKUP(S291,'[8]Podklady MZ'!$R$2:$S$367,2,FALSE),NA())</f>
        <v>21.138062621865899</v>
      </c>
      <c r="V291" s="176">
        <f ca="1">INDEX([5]PT!$AF$16:$AF$381,DATE(2016,MONTH(S291),DAY(S291))-DATE(2016,1,1)+1,1)</f>
        <v>5.3</v>
      </c>
      <c r="W291" s="176" t="e">
        <f ca="1">IF(T!$A$4&lt;MONTH(S291),VLOOKUP(S291,'[8]Podklady MZ'!$R$2:$S$367,2,FALSE),NA())</f>
        <v>#N/A</v>
      </c>
    </row>
    <row r="292" spans="19:23" x14ac:dyDescent="0.2">
      <c r="S292" s="76">
        <f t="shared" si="4"/>
        <v>42295</v>
      </c>
      <c r="T292" s="77">
        <f ca="1">INDEX([12]ČR!$D$18:$D$383,DATE(2016,MONTH(S292),DAY(S292))-DATE(2016,1,1)+1,1)/1000000</f>
        <v>14.211969279977012</v>
      </c>
      <c r="U292" s="77">
        <f ca="1">IF(T!$A$4&gt;=MONTH(S292),VLOOKUP(S292,'[8]Podklady MZ'!$R$2:$S$367,2,FALSE),NA())</f>
        <v>22.284270149972549</v>
      </c>
      <c r="V292" s="176">
        <f ca="1">INDEX([5]PT!$AF$16:$AF$381,DATE(2016,MONTH(S292),DAY(S292))-DATE(2016,1,1)+1,1)</f>
        <v>5.9</v>
      </c>
      <c r="W292" s="176" t="e">
        <f ca="1">IF(T!$A$4&lt;MONTH(S292),VLOOKUP(S292,'[8]Podklady MZ'!$R$2:$S$367,2,FALSE),NA())</f>
        <v>#N/A</v>
      </c>
    </row>
    <row r="293" spans="19:23" x14ac:dyDescent="0.2">
      <c r="S293" s="76">
        <f t="shared" si="4"/>
        <v>42296</v>
      </c>
      <c r="T293" s="77">
        <f ca="1">INDEX([12]ČR!$D$18:$D$383,DATE(2016,MONTH(S293),DAY(S293))-DATE(2016,1,1)+1,1)/1000000</f>
        <v>14.947717499801447</v>
      </c>
      <c r="U293" s="77">
        <f ca="1">IF(T!$A$4&gt;=MONTH(S293),VLOOKUP(S293,'[8]Podklady MZ'!$R$2:$S$367,2,FALSE),NA())</f>
        <v>27.370289306637236</v>
      </c>
      <c r="V293" s="176">
        <f ca="1">INDEX([5]PT!$AF$16:$AF$381,DATE(2016,MONTH(S293),DAY(S293))-DATE(2016,1,1)+1,1)</f>
        <v>6.9</v>
      </c>
      <c r="W293" s="176" t="e">
        <f ca="1">IF(T!$A$4&lt;MONTH(S293),VLOOKUP(S293,'[8]Podklady MZ'!$R$2:$S$367,2,FALSE),NA())</f>
        <v>#N/A</v>
      </c>
    </row>
    <row r="294" spans="19:23" x14ac:dyDescent="0.2">
      <c r="S294" s="76">
        <f t="shared" si="4"/>
        <v>42297</v>
      </c>
      <c r="T294" s="77">
        <f ca="1">INDEX([12]ČR!$D$18:$D$383,DATE(2016,MONTH(S294),DAY(S294))-DATE(2016,1,1)+1,1)/1000000</f>
        <v>17.188499080847375</v>
      </c>
      <c r="U294" s="77">
        <f ca="1">IF(T!$A$4&gt;=MONTH(S294),VLOOKUP(S294,'[8]Podklady MZ'!$R$2:$S$367,2,FALSE),NA())</f>
        <v>28.051681025234185</v>
      </c>
      <c r="V294" s="176">
        <f ca="1">INDEX([5]PT!$AF$16:$AF$381,DATE(2016,MONTH(S294),DAY(S294))-DATE(2016,1,1)+1,1)</f>
        <v>5.9</v>
      </c>
      <c r="W294" s="176" t="e">
        <f ca="1">IF(T!$A$4&lt;MONTH(S294),VLOOKUP(S294,'[8]Podklady MZ'!$R$2:$S$367,2,FALSE),NA())</f>
        <v>#N/A</v>
      </c>
    </row>
    <row r="295" spans="19:23" x14ac:dyDescent="0.2">
      <c r="S295" s="76">
        <f t="shared" si="4"/>
        <v>42298</v>
      </c>
      <c r="T295" s="77">
        <f ca="1">INDEX([12]ČR!$D$18:$D$383,DATE(2016,MONTH(S295),DAY(S295))-DATE(2016,1,1)+1,1)/1000000</f>
        <v>17.722348648076419</v>
      </c>
      <c r="U295" s="77">
        <f ca="1">IF(T!$A$4&gt;=MONTH(S295),VLOOKUP(S295,'[8]Podklady MZ'!$R$2:$S$367,2,FALSE),NA())</f>
        <v>27.064873591736855</v>
      </c>
      <c r="V295" s="176">
        <f ca="1">INDEX([5]PT!$AF$16:$AF$381,DATE(2016,MONTH(S295),DAY(S295))-DATE(2016,1,1)+1,1)</f>
        <v>7.4</v>
      </c>
      <c r="W295" s="176" t="e">
        <f ca="1">IF(T!$A$4&lt;MONTH(S295),VLOOKUP(S295,'[8]Podklady MZ'!$R$2:$S$367,2,FALSE),NA())</f>
        <v>#N/A</v>
      </c>
    </row>
    <row r="296" spans="19:23" x14ac:dyDescent="0.2">
      <c r="S296" s="76">
        <f t="shared" si="4"/>
        <v>42299</v>
      </c>
      <c r="T296" s="77">
        <f ca="1">INDEX([12]ČR!$D$18:$D$383,DATE(2016,MONTH(S296),DAY(S296))-DATE(2016,1,1)+1,1)/1000000</f>
        <v>22.243381728859848</v>
      </c>
      <c r="U296" s="77">
        <f ca="1">IF(T!$A$4&gt;=MONTH(S296),VLOOKUP(S296,'[8]Podklady MZ'!$R$2:$S$367,2,FALSE),NA())</f>
        <v>24.094114205962875</v>
      </c>
      <c r="V296" s="176">
        <f ca="1">INDEX([5]PT!$AF$16:$AF$381,DATE(2016,MONTH(S296),DAY(S296))-DATE(2016,1,1)+1,1)</f>
        <v>7.6</v>
      </c>
      <c r="W296" s="176" t="e">
        <f ca="1">IF(T!$A$4&lt;MONTH(S296),VLOOKUP(S296,'[8]Podklady MZ'!$R$2:$S$367,2,FALSE),NA())</f>
        <v>#N/A</v>
      </c>
    </row>
    <row r="297" spans="19:23" x14ac:dyDescent="0.2">
      <c r="S297" s="76">
        <f t="shared" si="4"/>
        <v>42300</v>
      </c>
      <c r="T297" s="77">
        <f ca="1">INDEX([12]ČR!$D$18:$D$383,DATE(2016,MONTH(S297),DAY(S297))-DATE(2016,1,1)+1,1)/1000000</f>
        <v>23.527685238451532</v>
      </c>
      <c r="U297" s="77">
        <f ca="1">IF(T!$A$4&gt;=MONTH(S297),VLOOKUP(S297,'[8]Podklady MZ'!$R$2:$S$367,2,FALSE),NA())</f>
        <v>22.978637688539639</v>
      </c>
      <c r="V297" s="176">
        <f ca="1">INDEX([5]PT!$AF$16:$AF$381,DATE(2016,MONTH(S297),DAY(S297))-DATE(2016,1,1)+1,1)</f>
        <v>7.2</v>
      </c>
      <c r="W297" s="176" t="e">
        <f ca="1">IF(T!$A$4&lt;MONTH(S297),VLOOKUP(S297,'[8]Podklady MZ'!$R$2:$S$367,2,FALSE),NA())</f>
        <v>#N/A</v>
      </c>
    </row>
    <row r="298" spans="19:23" x14ac:dyDescent="0.2">
      <c r="S298" s="76">
        <f t="shared" si="4"/>
        <v>42301</v>
      </c>
      <c r="T298" s="77">
        <f ca="1">INDEX([12]ČR!$D$18:$D$383,DATE(2016,MONTH(S298),DAY(S298))-DATE(2016,1,1)+1,1)/1000000</f>
        <v>24.01690304632206</v>
      </c>
      <c r="U298" s="77">
        <f ca="1">IF(T!$A$4&gt;=MONTH(S298),VLOOKUP(S298,'[8]Podklady MZ'!$R$2:$S$367,2,FALSE),NA())</f>
        <v>21.87958899760692</v>
      </c>
      <c r="V298" s="176">
        <f ca="1">INDEX([5]PT!$AF$16:$AF$381,DATE(2016,MONTH(S298),DAY(S298))-DATE(2016,1,1)+1,1)</f>
        <v>5.8</v>
      </c>
      <c r="W298" s="176" t="e">
        <f ca="1">IF(T!$A$4&lt;MONTH(S298),VLOOKUP(S298,'[8]Podklady MZ'!$R$2:$S$367,2,FALSE),NA())</f>
        <v>#N/A</v>
      </c>
    </row>
    <row r="299" spans="19:23" x14ac:dyDescent="0.2">
      <c r="S299" s="76">
        <f t="shared" si="4"/>
        <v>42302</v>
      </c>
      <c r="T299" s="77">
        <f ca="1">INDEX([12]ČR!$D$18:$D$383,DATE(2016,MONTH(S299),DAY(S299))-DATE(2016,1,1)+1,1)/1000000</f>
        <v>22.937737450480171</v>
      </c>
      <c r="U299" s="77">
        <f ca="1">IF(T!$A$4&gt;=MONTH(S299),VLOOKUP(S299,'[8]Podklady MZ'!$R$2:$S$367,2,FALSE),NA())</f>
        <v>21.544798719380612</v>
      </c>
      <c r="V299" s="176">
        <f ca="1">INDEX([5]PT!$AF$16:$AF$381,DATE(2016,MONTH(S299),DAY(S299))-DATE(2016,1,1)+1,1)</f>
        <v>7.9</v>
      </c>
      <c r="W299" s="176" t="e">
        <f ca="1">IF(T!$A$4&lt;MONTH(S299),VLOOKUP(S299,'[8]Podklady MZ'!$R$2:$S$367,2,FALSE),NA())</f>
        <v>#N/A</v>
      </c>
    </row>
    <row r="300" spans="19:23" x14ac:dyDescent="0.2">
      <c r="S300" s="76">
        <f t="shared" si="4"/>
        <v>42303</v>
      </c>
      <c r="T300" s="77">
        <f ca="1">INDEX([12]ČR!$D$18:$D$383,DATE(2016,MONTH(S300),DAY(S300))-DATE(2016,1,1)+1,1)/1000000</f>
        <v>21.763778511162005</v>
      </c>
      <c r="U300" s="77">
        <f ca="1">IF(T!$A$4&gt;=MONTH(S300),VLOOKUP(S300,'[8]Podklady MZ'!$R$2:$S$367,2,FALSE),NA())</f>
        <v>23.314474077801947</v>
      </c>
      <c r="V300" s="176">
        <f ca="1">INDEX([5]PT!$AF$16:$AF$381,DATE(2016,MONTH(S300),DAY(S300))-DATE(2016,1,1)+1,1)</f>
        <v>8.6</v>
      </c>
      <c r="W300" s="176" t="e">
        <f ca="1">IF(T!$A$4&lt;MONTH(S300),VLOOKUP(S300,'[8]Podklady MZ'!$R$2:$S$367,2,FALSE),NA())</f>
        <v>#N/A</v>
      </c>
    </row>
    <row r="301" spans="19:23" x14ac:dyDescent="0.2">
      <c r="S301" s="76">
        <f t="shared" si="4"/>
        <v>42304</v>
      </c>
      <c r="T301" s="77">
        <f ca="1">INDEX([12]ČR!$D$18:$D$383,DATE(2016,MONTH(S301),DAY(S301))-DATE(2016,1,1)+1,1)/1000000</f>
        <v>24.888371905281861</v>
      </c>
      <c r="U301" s="77">
        <f ca="1">IF(T!$A$4&gt;=MONTH(S301),VLOOKUP(S301,'[8]Podklady MZ'!$R$2:$S$367,2,FALSE),NA())</f>
        <v>23.946853764479457</v>
      </c>
      <c r="V301" s="176">
        <f ca="1">INDEX([5]PT!$AF$16:$AF$381,DATE(2016,MONTH(S301),DAY(S301))-DATE(2016,1,1)+1,1)</f>
        <v>8.3000000000000007</v>
      </c>
      <c r="W301" s="176" t="e">
        <f ca="1">IF(T!$A$4&lt;MONTH(S301),VLOOKUP(S301,'[8]Podklady MZ'!$R$2:$S$367,2,FALSE),NA())</f>
        <v>#N/A</v>
      </c>
    </row>
    <row r="302" spans="19:23" x14ac:dyDescent="0.2">
      <c r="S302" s="76">
        <f t="shared" si="4"/>
        <v>42305</v>
      </c>
      <c r="T302" s="77">
        <f ca="1">INDEX([12]ČR!$D$18:$D$383,DATE(2016,MONTH(S302),DAY(S302))-DATE(2016,1,1)+1,1)/1000000</f>
        <v>25.370627351791391</v>
      </c>
      <c r="U302" s="77">
        <f ca="1">IF(T!$A$4&gt;=MONTH(S302),VLOOKUP(S302,'[8]Podklady MZ'!$R$2:$S$367,2,FALSE),NA())</f>
        <v>24.437909136442212</v>
      </c>
      <c r="V302" s="176">
        <f ca="1">INDEX([5]PT!$AF$16:$AF$381,DATE(2016,MONTH(S302),DAY(S302))-DATE(2016,1,1)+1,1)</f>
        <v>8.1</v>
      </c>
      <c r="W302" s="176" t="e">
        <f ca="1">IF(T!$A$4&lt;MONTH(S302),VLOOKUP(S302,'[8]Podklady MZ'!$R$2:$S$367,2,FALSE),NA())</f>
        <v>#N/A</v>
      </c>
    </row>
    <row r="303" spans="19:23" x14ac:dyDescent="0.2">
      <c r="S303" s="76">
        <f t="shared" si="4"/>
        <v>42306</v>
      </c>
      <c r="T303" s="77">
        <f ca="1">INDEX([12]ČR!$D$18:$D$383,DATE(2016,MONTH(S303),DAY(S303))-DATE(2016,1,1)+1,1)/1000000</f>
        <v>28.2283612955835</v>
      </c>
      <c r="U303" s="77">
        <f ca="1">IF(T!$A$4&gt;=MONTH(S303),VLOOKUP(S303,'[8]Podklady MZ'!$R$2:$S$367,2,FALSE),NA())</f>
        <v>25.783659866615498</v>
      </c>
      <c r="V303" s="176">
        <f ca="1">INDEX([5]PT!$AF$16:$AF$381,DATE(2016,MONTH(S303),DAY(S303))-DATE(2016,1,1)+1,1)</f>
        <v>7.9</v>
      </c>
      <c r="W303" s="176" t="e">
        <f ca="1">IF(T!$A$4&lt;MONTH(S303),VLOOKUP(S303,'[8]Podklady MZ'!$R$2:$S$367,2,FALSE),NA())</f>
        <v>#N/A</v>
      </c>
    </row>
    <row r="304" spans="19:23" x14ac:dyDescent="0.2">
      <c r="S304" s="76">
        <f t="shared" si="4"/>
        <v>42307</v>
      </c>
      <c r="T304" s="77">
        <f ca="1">INDEX([12]ČR!$D$18:$D$383,DATE(2016,MONTH(S304),DAY(S304))-DATE(2016,1,1)+1,1)/1000000</f>
        <v>26.823677433161933</v>
      </c>
      <c r="U304" s="77">
        <f ca="1">IF(T!$A$4&gt;=MONTH(S304),VLOOKUP(S304,'[8]Podklady MZ'!$R$2:$S$367,2,FALSE),NA())</f>
        <v>24.610811256989859</v>
      </c>
      <c r="V304" s="176">
        <f ca="1">INDEX([5]PT!$AF$16:$AF$381,DATE(2016,MONTH(S304),DAY(S304))-DATE(2016,1,1)+1,1)</f>
        <v>7.5</v>
      </c>
      <c r="W304" s="176" t="e">
        <f ca="1">IF(T!$A$4&lt;MONTH(S304),VLOOKUP(S304,'[8]Podklady MZ'!$R$2:$S$367,2,FALSE),NA())</f>
        <v>#N/A</v>
      </c>
    </row>
    <row r="305" spans="19:23" x14ac:dyDescent="0.2">
      <c r="S305" s="76">
        <f t="shared" si="4"/>
        <v>42308</v>
      </c>
      <c r="T305" s="77">
        <f ca="1">INDEX([12]ČR!$D$18:$D$383,DATE(2016,MONTH(S305),DAY(S305))-DATE(2016,1,1)+1,1)/1000000</f>
        <v>24.493415582819839</v>
      </c>
      <c r="U305" s="77">
        <f ca="1">IF(T!$A$4&gt;=MONTH(S305),VLOOKUP(S305,'[8]Podklady MZ'!$R$2:$S$367,2,FALSE),NA())</f>
        <v>19.977506028373849</v>
      </c>
      <c r="V305" s="176">
        <f ca="1">INDEX([5]PT!$AF$16:$AF$381,DATE(2016,MONTH(S305),DAY(S305))-DATE(2016,1,1)+1,1)</f>
        <v>7.8</v>
      </c>
      <c r="W305" s="176" t="e">
        <f ca="1">IF(T!$A$4&lt;MONTH(S305),VLOOKUP(S305,'[8]Podklady MZ'!$R$2:$S$367,2,FALSE),NA())</f>
        <v>#N/A</v>
      </c>
    </row>
    <row r="306" spans="19:23" x14ac:dyDescent="0.2">
      <c r="S306" s="76">
        <f t="shared" si="4"/>
        <v>42309</v>
      </c>
      <c r="T306" s="77">
        <f ca="1">INDEX([12]ČR!$D$18:$D$383,DATE(2016,MONTH(S306),DAY(S306))-DATE(2016,1,1)+1,1)/1000000</f>
        <v>20.912289029639432</v>
      </c>
      <c r="U306" s="77" t="e">
        <f ca="1">IF(T!$A$4&gt;=MONTH(S306),VLOOKUP(S306,'[8]Podklady MZ'!$R$2:$S$367,2,FALSE),NA())</f>
        <v>#N/A</v>
      </c>
      <c r="V306" s="176">
        <f ca="1">INDEX([5]PT!$AF$16:$AF$381,DATE(2016,MONTH(S306),DAY(S306))-DATE(2016,1,1)+1,1)</f>
        <v>0</v>
      </c>
      <c r="W306" s="176">
        <f ca="1">IF(T!$A$4&lt;MONTH(S306),VLOOKUP(S306,'[8]Podklady MZ'!$R$2:$S$367,2,FALSE),NA())</f>
        <v>22.034743396226414</v>
      </c>
    </row>
    <row r="307" spans="19:23" x14ac:dyDescent="0.2">
      <c r="S307" s="76">
        <f t="shared" si="4"/>
        <v>42310</v>
      </c>
      <c r="T307" s="77">
        <f ca="1">INDEX([12]ČR!$D$18:$D$383,DATE(2016,MONTH(S307),DAY(S307))-DATE(2016,1,1)+1,1)/1000000</f>
        <v>21.982390211384921</v>
      </c>
      <c r="U307" s="77" t="e">
        <f ca="1">IF(T!$A$4&gt;=MONTH(S307),VLOOKUP(S307,'[8]Podklady MZ'!$R$2:$S$367,2,FALSE),NA())</f>
        <v>#N/A</v>
      </c>
      <c r="V307" s="176">
        <f ca="1">INDEX([5]PT!$AF$16:$AF$381,DATE(2016,MONTH(S307),DAY(S307))-DATE(2016,1,1)+1,1)</f>
        <v>0</v>
      </c>
      <c r="W307" s="176">
        <f ca="1">IF(T!$A$4&lt;MONTH(S307),VLOOKUP(S307,'[8]Podklady MZ'!$R$2:$S$367,2,FALSE),NA())</f>
        <v>26.899983301886788</v>
      </c>
    </row>
    <row r="308" spans="19:23" x14ac:dyDescent="0.2">
      <c r="S308" s="76">
        <f t="shared" si="4"/>
        <v>42311</v>
      </c>
      <c r="T308" s="77">
        <f ca="1">INDEX([12]ČR!$D$18:$D$383,DATE(2016,MONTH(S308),DAY(S308))-DATE(2016,1,1)+1,1)/1000000</f>
        <v>25.279865911936046</v>
      </c>
      <c r="U308" s="77" t="e">
        <f ca="1">IF(T!$A$4&gt;=MONTH(S308),VLOOKUP(S308,'[8]Podklady MZ'!$R$2:$S$367,2,FALSE),NA())</f>
        <v>#N/A</v>
      </c>
      <c r="V308" s="176">
        <f ca="1">INDEX([5]PT!$AF$16:$AF$381,DATE(2016,MONTH(S308),DAY(S308))-DATE(2016,1,1)+1,1)</f>
        <v>0</v>
      </c>
      <c r="W308" s="176">
        <f ca="1">IF(T!$A$4&lt;MONTH(S308),VLOOKUP(S308,'[8]Podklady MZ'!$R$2:$S$367,2,FALSE),NA())</f>
        <v>28.323663301886789</v>
      </c>
    </row>
    <row r="309" spans="19:23" x14ac:dyDescent="0.2">
      <c r="S309" s="76">
        <f t="shared" si="4"/>
        <v>42312</v>
      </c>
      <c r="T309" s="77">
        <f ca="1">INDEX([12]ČR!$D$18:$D$383,DATE(2016,MONTH(S309),DAY(S309))-DATE(2016,1,1)+1,1)/1000000</f>
        <v>23.073164608872553</v>
      </c>
      <c r="U309" s="77" t="e">
        <f ca="1">IF(T!$A$4&gt;=MONTH(S309),VLOOKUP(S309,'[8]Podklady MZ'!$R$2:$S$367,2,FALSE),NA())</f>
        <v>#N/A</v>
      </c>
      <c r="V309" s="176">
        <f ca="1">INDEX([5]PT!$AF$16:$AF$381,DATE(2016,MONTH(S309),DAY(S309))-DATE(2016,1,1)+1,1)</f>
        <v>0</v>
      </c>
      <c r="W309" s="176">
        <f ca="1">IF(T!$A$4&lt;MONTH(S309),VLOOKUP(S309,'[8]Podklady MZ'!$R$2:$S$367,2,FALSE),NA())</f>
        <v>28.432166132075469</v>
      </c>
    </row>
    <row r="310" spans="19:23" x14ac:dyDescent="0.2">
      <c r="S310" s="76">
        <f t="shared" si="4"/>
        <v>42313</v>
      </c>
      <c r="T310" s="77">
        <f ca="1">INDEX([12]ČR!$D$18:$D$383,DATE(2016,MONTH(S310),DAY(S310))-DATE(2016,1,1)+1,1)/1000000</f>
        <v>21.650747595276584</v>
      </c>
      <c r="U310" s="77" t="e">
        <f ca="1">IF(T!$A$4&gt;=MONTH(S310),VLOOKUP(S310,'[8]Podklady MZ'!$R$2:$S$367,2,FALSE),NA())</f>
        <v>#N/A</v>
      </c>
      <c r="V310" s="176">
        <f ca="1">INDEX([5]PT!$AF$16:$AF$381,DATE(2016,MONTH(S310),DAY(S310))-DATE(2016,1,1)+1,1)</f>
        <v>0</v>
      </c>
      <c r="W310" s="176">
        <f ca="1">IF(T!$A$4&lt;MONTH(S310),VLOOKUP(S310,'[8]Podklady MZ'!$R$2:$S$367,2,FALSE),NA())</f>
        <v>26.914944716981129</v>
      </c>
    </row>
    <row r="311" spans="19:23" x14ac:dyDescent="0.2">
      <c r="S311" s="76">
        <f t="shared" si="4"/>
        <v>42314</v>
      </c>
      <c r="T311" s="77">
        <f ca="1">INDEX([12]ČR!$D$18:$D$383,DATE(2016,MONTH(S311),DAY(S311))-DATE(2016,1,1)+1,1)/1000000</f>
        <v>22.316157050328712</v>
      </c>
      <c r="U311" s="77" t="e">
        <f ca="1">IF(T!$A$4&gt;=MONTH(S311),VLOOKUP(S311,'[8]Podklady MZ'!$R$2:$S$367,2,FALSE),NA())</f>
        <v>#N/A</v>
      </c>
      <c r="V311" s="176">
        <f ca="1">INDEX([5]PT!$AF$16:$AF$381,DATE(2016,MONTH(S311),DAY(S311))-DATE(2016,1,1)+1,1)</f>
        <v>0</v>
      </c>
      <c r="W311" s="176">
        <f ca="1">IF(T!$A$4&lt;MONTH(S311),VLOOKUP(S311,'[8]Podklady MZ'!$R$2:$S$367,2,FALSE),NA())</f>
        <v>24.930976603773583</v>
      </c>
    </row>
    <row r="312" spans="19:23" x14ac:dyDescent="0.2">
      <c r="S312" s="76">
        <f t="shared" si="4"/>
        <v>42315</v>
      </c>
      <c r="T312" s="77">
        <f ca="1">INDEX([12]ČR!$D$18:$D$383,DATE(2016,MONTH(S312),DAY(S312))-DATE(2016,1,1)+1,1)/1000000</f>
        <v>22.275786396136745</v>
      </c>
      <c r="U312" s="77" t="e">
        <f ca="1">IF(T!$A$4&gt;=MONTH(S312),VLOOKUP(S312,'[8]Podklady MZ'!$R$2:$S$367,2,FALSE),NA())</f>
        <v>#N/A</v>
      </c>
      <c r="V312" s="176">
        <f ca="1">INDEX([5]PT!$AF$16:$AF$381,DATE(2016,MONTH(S312),DAY(S312))-DATE(2016,1,1)+1,1)</f>
        <v>0</v>
      </c>
      <c r="W312" s="176">
        <f ca="1">IF(T!$A$4&lt;MONTH(S312),VLOOKUP(S312,'[8]Podklady MZ'!$R$2:$S$367,2,FALSE),NA())</f>
        <v>20.263146603773581</v>
      </c>
    </row>
    <row r="313" spans="19:23" x14ac:dyDescent="0.2">
      <c r="S313" s="76">
        <f t="shared" si="4"/>
        <v>42316</v>
      </c>
      <c r="T313" s="77">
        <f ca="1">INDEX([12]ČR!$D$18:$D$383,DATE(2016,MONTH(S313),DAY(S313))-DATE(2016,1,1)+1,1)/1000000</f>
        <v>20.698948451862091</v>
      </c>
      <c r="U313" s="77" t="e">
        <f ca="1">IF(T!$A$4&gt;=MONTH(S313),VLOOKUP(S313,'[8]Podklady MZ'!$R$2:$S$367,2,FALSE),NA())</f>
        <v>#N/A</v>
      </c>
      <c r="V313" s="176">
        <f ca="1">INDEX([5]PT!$AF$16:$AF$381,DATE(2016,MONTH(S313),DAY(S313))-DATE(2016,1,1)+1,1)</f>
        <v>0</v>
      </c>
      <c r="W313" s="176">
        <f ca="1">IF(T!$A$4&lt;MONTH(S313),VLOOKUP(S313,'[8]Podklady MZ'!$R$2:$S$367,2,FALSE),NA())</f>
        <v>18.784762641509431</v>
      </c>
    </row>
    <row r="314" spans="19:23" x14ac:dyDescent="0.2">
      <c r="S314" s="76">
        <f t="shared" si="4"/>
        <v>42317</v>
      </c>
      <c r="T314" s="77">
        <f ca="1">INDEX([12]ČR!$D$18:$D$383,DATE(2016,MONTH(S314),DAY(S314))-DATE(2016,1,1)+1,1)/1000000</f>
        <v>21.200649889084382</v>
      </c>
      <c r="U314" s="77" t="e">
        <f ca="1">IF(T!$A$4&gt;=MONTH(S314),VLOOKUP(S314,'[8]Podklady MZ'!$R$2:$S$367,2,FALSE),NA())</f>
        <v>#N/A</v>
      </c>
      <c r="V314" s="176">
        <f ca="1">INDEX([5]PT!$AF$16:$AF$381,DATE(2016,MONTH(S314),DAY(S314))-DATE(2016,1,1)+1,1)</f>
        <v>0</v>
      </c>
      <c r="W314" s="176">
        <f ca="1">IF(T!$A$4&lt;MONTH(S314),VLOOKUP(S314,'[8]Podklady MZ'!$R$2:$S$367,2,FALSE),NA())</f>
        <v>22.75833716981132</v>
      </c>
    </row>
    <row r="315" spans="19:23" x14ac:dyDescent="0.2">
      <c r="S315" s="76">
        <f t="shared" si="4"/>
        <v>42318</v>
      </c>
      <c r="T315" s="77">
        <f ca="1">INDEX([12]ČR!$D$18:$D$383,DATE(2016,MONTH(S315),DAY(S315))-DATE(2016,1,1)+1,1)/1000000</f>
        <v>22.81117837236047</v>
      </c>
      <c r="U315" s="77" t="e">
        <f ca="1">IF(T!$A$4&gt;=MONTH(S315),VLOOKUP(S315,'[8]Podklady MZ'!$R$2:$S$367,2,FALSE),NA())</f>
        <v>#N/A</v>
      </c>
      <c r="V315" s="176">
        <f ca="1">INDEX([5]PT!$AF$16:$AF$381,DATE(2016,MONTH(S315),DAY(S315))-DATE(2016,1,1)+1,1)</f>
        <v>0</v>
      </c>
      <c r="W315" s="176">
        <f ca="1">IF(T!$A$4&lt;MONTH(S315),VLOOKUP(S315,'[8]Podklady MZ'!$R$2:$S$367,2,FALSE),NA())</f>
        <v>20.041038962264146</v>
      </c>
    </row>
    <row r="316" spans="19:23" x14ac:dyDescent="0.2">
      <c r="S316" s="76">
        <f t="shared" si="4"/>
        <v>42319</v>
      </c>
      <c r="T316" s="77">
        <f ca="1">INDEX([12]ČR!$D$18:$D$383,DATE(2016,MONTH(S316),DAY(S316))-DATE(2016,1,1)+1,1)/1000000</f>
        <v>21.80496826783623</v>
      </c>
      <c r="U316" s="77" t="e">
        <f ca="1">IF(T!$A$4&gt;=MONTH(S316),VLOOKUP(S316,'[8]Podklady MZ'!$R$2:$S$367,2,FALSE),NA())</f>
        <v>#N/A</v>
      </c>
      <c r="V316" s="176">
        <f ca="1">INDEX([5]PT!$AF$16:$AF$381,DATE(2016,MONTH(S316),DAY(S316))-DATE(2016,1,1)+1,1)</f>
        <v>0</v>
      </c>
      <c r="W316" s="176">
        <f ca="1">IF(T!$A$4&lt;MONTH(S316),VLOOKUP(S316,'[8]Podklady MZ'!$R$2:$S$367,2,FALSE),NA())</f>
        <v>20.115313396226412</v>
      </c>
    </row>
    <row r="317" spans="19:23" x14ac:dyDescent="0.2">
      <c r="S317" s="76">
        <f t="shared" si="4"/>
        <v>42320</v>
      </c>
      <c r="T317" s="77">
        <f ca="1">INDEX([12]ČR!$D$18:$D$383,DATE(2016,MONTH(S317),DAY(S317))-DATE(2016,1,1)+1,1)/1000000</f>
        <v>21.557851782787974</v>
      </c>
      <c r="U317" s="77" t="e">
        <f ca="1">IF(T!$A$4&gt;=MONTH(S317),VLOOKUP(S317,'[8]Podklady MZ'!$R$2:$S$367,2,FALSE),NA())</f>
        <v>#N/A</v>
      </c>
      <c r="V317" s="176">
        <f ca="1">INDEX([5]PT!$AF$16:$AF$381,DATE(2016,MONTH(S317),DAY(S317))-DATE(2016,1,1)+1,1)</f>
        <v>0</v>
      </c>
      <c r="W317" s="176">
        <f ca="1">IF(T!$A$4&lt;MONTH(S317),VLOOKUP(S317,'[8]Podklady MZ'!$R$2:$S$367,2,FALSE),NA())</f>
        <v>21.880781792452826</v>
      </c>
    </row>
    <row r="318" spans="19:23" x14ac:dyDescent="0.2">
      <c r="S318" s="76">
        <f t="shared" si="4"/>
        <v>42321</v>
      </c>
      <c r="T318" s="77">
        <f ca="1">INDEX([12]ČR!$D$18:$D$383,DATE(2016,MONTH(S318),DAY(S318))-DATE(2016,1,1)+1,1)/1000000</f>
        <v>22.454958396599547</v>
      </c>
      <c r="U318" s="77" t="e">
        <f ca="1">IF(T!$A$4&gt;=MONTH(S318),VLOOKUP(S318,'[8]Podklady MZ'!$R$2:$S$367,2,FALSE),NA())</f>
        <v>#N/A</v>
      </c>
      <c r="V318" s="176">
        <f ca="1">INDEX([5]PT!$AF$16:$AF$381,DATE(2016,MONTH(S318),DAY(S318))-DATE(2016,1,1)+1,1)</f>
        <v>0</v>
      </c>
      <c r="W318" s="176">
        <f ca="1">IF(T!$A$4&lt;MONTH(S318),VLOOKUP(S318,'[8]Podklady MZ'!$R$2:$S$367,2,FALSE),NA())</f>
        <v>22.265769905660378</v>
      </c>
    </row>
    <row r="319" spans="19:23" x14ac:dyDescent="0.2">
      <c r="S319" s="76">
        <f t="shared" si="4"/>
        <v>42322</v>
      </c>
      <c r="T319" s="77">
        <f ca="1">INDEX([12]ČR!$D$18:$D$383,DATE(2016,MONTH(S319),DAY(S319))-DATE(2016,1,1)+1,1)/1000000</f>
        <v>22.257612890457679</v>
      </c>
      <c r="U319" s="77" t="e">
        <f ca="1">IF(T!$A$4&gt;=MONTH(S319),VLOOKUP(S319,'[8]Podklady MZ'!$R$2:$S$367,2,FALSE),NA())</f>
        <v>#N/A</v>
      </c>
      <c r="V319" s="176">
        <f ca="1">INDEX([5]PT!$AF$16:$AF$381,DATE(2016,MONTH(S319),DAY(S319))-DATE(2016,1,1)+1,1)</f>
        <v>0</v>
      </c>
      <c r="W319" s="176">
        <f ca="1">IF(T!$A$4&lt;MONTH(S319),VLOOKUP(S319,'[8]Podklady MZ'!$R$2:$S$367,2,FALSE),NA())</f>
        <v>21.177034999999997</v>
      </c>
    </row>
    <row r="320" spans="19:23" x14ac:dyDescent="0.2">
      <c r="S320" s="76">
        <f t="shared" si="4"/>
        <v>42323</v>
      </c>
      <c r="T320" s="77">
        <f ca="1">INDEX([12]ČR!$D$18:$D$383,DATE(2016,MONTH(S320),DAY(S320))-DATE(2016,1,1)+1,1)/1000000</f>
        <v>19.787129472882192</v>
      </c>
      <c r="U320" s="77" t="e">
        <f ca="1">IF(T!$A$4&gt;=MONTH(S320),VLOOKUP(S320,'[8]Podklady MZ'!$R$2:$S$367,2,FALSE),NA())</f>
        <v>#N/A</v>
      </c>
      <c r="V320" s="176">
        <f ca="1">INDEX([5]PT!$AF$16:$AF$381,DATE(2016,MONTH(S320),DAY(S320))-DATE(2016,1,1)+1,1)</f>
        <v>0</v>
      </c>
      <c r="W320" s="176">
        <f ca="1">IF(T!$A$4&lt;MONTH(S320),VLOOKUP(S320,'[8]Podklady MZ'!$R$2:$S$367,2,FALSE),NA())</f>
        <v>21.929112075471696</v>
      </c>
    </row>
    <row r="321" spans="19:23" x14ac:dyDescent="0.2">
      <c r="S321" s="76">
        <f t="shared" si="4"/>
        <v>42324</v>
      </c>
      <c r="T321" s="77">
        <f ca="1">INDEX([12]ČR!$D$18:$D$383,DATE(2016,MONTH(S321),DAY(S321))-DATE(2016,1,1)+1,1)/1000000</f>
        <v>20.345206402121487</v>
      </c>
      <c r="U321" s="77" t="e">
        <f ca="1">IF(T!$A$4&gt;=MONTH(S321),VLOOKUP(S321,'[8]Podklady MZ'!$R$2:$S$367,2,FALSE),NA())</f>
        <v>#N/A</v>
      </c>
      <c r="V321" s="176">
        <f ca="1">INDEX([5]PT!$AF$16:$AF$381,DATE(2016,MONTH(S321),DAY(S321))-DATE(2016,1,1)+1,1)</f>
        <v>0</v>
      </c>
      <c r="W321" s="176">
        <f ca="1">IF(T!$A$4&lt;MONTH(S321),VLOOKUP(S321,'[8]Podklady MZ'!$R$2:$S$367,2,FALSE),NA())</f>
        <v>22.077209999999997</v>
      </c>
    </row>
    <row r="322" spans="19:23" x14ac:dyDescent="0.2">
      <c r="S322" s="76">
        <f t="shared" si="4"/>
        <v>42325</v>
      </c>
      <c r="T322" s="77">
        <f ca="1">INDEX([12]ČR!$D$18:$D$383,DATE(2016,MONTH(S322),DAY(S322))-DATE(2016,1,1)+1,1)/1000000</f>
        <v>22.738910999606844</v>
      </c>
      <c r="U322" s="77" t="e">
        <f ca="1">IF(T!$A$4&gt;=MONTH(S322),VLOOKUP(S322,'[8]Podklady MZ'!$R$2:$S$367,2,FALSE),NA())</f>
        <v>#N/A</v>
      </c>
      <c r="V322" s="176">
        <f ca="1">INDEX([5]PT!$AF$16:$AF$381,DATE(2016,MONTH(S322),DAY(S322))-DATE(2016,1,1)+1,1)</f>
        <v>0</v>
      </c>
      <c r="W322" s="176">
        <f ca="1">IF(T!$A$4&lt;MONTH(S322),VLOOKUP(S322,'[8]Podklady MZ'!$R$2:$S$367,2,FALSE),NA())</f>
        <v>22.331408396226415</v>
      </c>
    </row>
    <row r="323" spans="19:23" x14ac:dyDescent="0.2">
      <c r="S323" s="76">
        <f t="shared" si="4"/>
        <v>42326</v>
      </c>
      <c r="T323" s="77">
        <f ca="1">INDEX([12]ČR!$D$18:$D$383,DATE(2016,MONTH(S323),DAY(S323))-DATE(2016,1,1)+1,1)/1000000</f>
        <v>25.684126201302274</v>
      </c>
      <c r="U323" s="77" t="e">
        <f ca="1">IF(T!$A$4&gt;=MONTH(S323),VLOOKUP(S323,'[8]Podklady MZ'!$R$2:$S$367,2,FALSE),NA())</f>
        <v>#N/A</v>
      </c>
      <c r="V323" s="176">
        <f ca="1">INDEX([5]PT!$AF$16:$AF$381,DATE(2016,MONTH(S323),DAY(S323))-DATE(2016,1,1)+1,1)</f>
        <v>0</v>
      </c>
      <c r="W323" s="176">
        <f ca="1">IF(T!$A$4&lt;MONTH(S323),VLOOKUP(S323,'[8]Podklady MZ'!$R$2:$S$367,2,FALSE),NA())</f>
        <v>22.311003396226415</v>
      </c>
    </row>
    <row r="324" spans="19:23" x14ac:dyDescent="0.2">
      <c r="S324" s="76">
        <f t="shared" ref="S324:S367" si="5">S323+1</f>
        <v>42327</v>
      </c>
      <c r="T324" s="77">
        <f ca="1">INDEX([12]ČR!$D$18:$D$383,DATE(2016,MONTH(S324),DAY(S324))-DATE(2016,1,1)+1,1)/1000000</f>
        <v>27.277887054788337</v>
      </c>
      <c r="U324" s="77" t="e">
        <f ca="1">IF(T!$A$4&gt;=MONTH(S324),VLOOKUP(S324,'[8]Podklady MZ'!$R$2:$S$367,2,FALSE),NA())</f>
        <v>#N/A</v>
      </c>
      <c r="V324" s="176">
        <f ca="1">INDEX([5]PT!$AF$16:$AF$381,DATE(2016,MONTH(S324),DAY(S324))-DATE(2016,1,1)+1,1)</f>
        <v>0</v>
      </c>
      <c r="W324" s="176">
        <f ca="1">IF(T!$A$4&lt;MONTH(S324),VLOOKUP(S324,'[8]Podklady MZ'!$R$2:$S$367,2,FALSE),NA())</f>
        <v>23.218380849056601</v>
      </c>
    </row>
    <row r="325" spans="19:23" x14ac:dyDescent="0.2">
      <c r="S325" s="76">
        <f t="shared" si="5"/>
        <v>42328</v>
      </c>
      <c r="T325" s="77">
        <f ca="1">INDEX([12]ČR!$D$18:$D$383,DATE(2016,MONTH(S325),DAY(S325))-DATE(2016,1,1)+1,1)/1000000</f>
        <v>29.719113556801638</v>
      </c>
      <c r="U325" s="77" t="e">
        <f ca="1">IF(T!$A$4&gt;=MONTH(S325),VLOOKUP(S325,'[8]Podklady MZ'!$R$2:$S$367,2,FALSE),NA())</f>
        <v>#N/A</v>
      </c>
      <c r="V325" s="176">
        <f ca="1">INDEX([5]PT!$AF$16:$AF$381,DATE(2016,MONTH(S325),DAY(S325))-DATE(2016,1,1)+1,1)</f>
        <v>0</v>
      </c>
      <c r="W325" s="176">
        <f ca="1">IF(T!$A$4&lt;MONTH(S325),VLOOKUP(S325,'[8]Podklady MZ'!$R$2:$S$367,2,FALSE),NA())</f>
        <v>24.919613867924525</v>
      </c>
    </row>
    <row r="326" spans="19:23" x14ac:dyDescent="0.2">
      <c r="S326" s="76">
        <f t="shared" si="5"/>
        <v>42329</v>
      </c>
      <c r="T326" s="77">
        <f ca="1">INDEX([12]ČR!$D$18:$D$383,DATE(2016,MONTH(S326),DAY(S326))-DATE(2016,1,1)+1,1)/1000000</f>
        <v>29.621216859039418</v>
      </c>
      <c r="U326" s="77" t="e">
        <f ca="1">IF(T!$A$4&gt;=MONTH(S326),VLOOKUP(S326,'[8]Podklady MZ'!$R$2:$S$367,2,FALSE),NA())</f>
        <v>#N/A</v>
      </c>
      <c r="V326" s="176">
        <f ca="1">INDEX([5]PT!$AF$16:$AF$381,DATE(2016,MONTH(S326),DAY(S326))-DATE(2016,1,1)+1,1)</f>
        <v>0</v>
      </c>
      <c r="W326" s="176">
        <f ca="1">IF(T!$A$4&lt;MONTH(S326),VLOOKUP(S326,'[8]Podklady MZ'!$R$2:$S$367,2,FALSE),NA())</f>
        <v>25.378650754716979</v>
      </c>
    </row>
    <row r="327" spans="19:23" x14ac:dyDescent="0.2">
      <c r="S327" s="76">
        <f t="shared" si="5"/>
        <v>42330</v>
      </c>
      <c r="T327" s="77">
        <f ca="1">INDEX([12]ČR!$D$18:$D$383,DATE(2016,MONTH(S327),DAY(S327))-DATE(2016,1,1)+1,1)/1000000</f>
        <v>26.33254105264739</v>
      </c>
      <c r="U327" s="77" t="e">
        <f ca="1">IF(T!$A$4&gt;=MONTH(S327),VLOOKUP(S327,'[8]Podklady MZ'!$R$2:$S$367,2,FALSE),NA())</f>
        <v>#N/A</v>
      </c>
      <c r="V327" s="176">
        <f ca="1">INDEX([5]PT!$AF$16:$AF$381,DATE(2016,MONTH(S327),DAY(S327))-DATE(2016,1,1)+1,1)</f>
        <v>0</v>
      </c>
      <c r="W327" s="176">
        <f ca="1">IF(T!$A$4&lt;MONTH(S327),VLOOKUP(S327,'[8]Podklady MZ'!$R$2:$S$367,2,FALSE),NA())</f>
        <v>28.784254622641509</v>
      </c>
    </row>
    <row r="328" spans="19:23" x14ac:dyDescent="0.2">
      <c r="S328" s="76">
        <f t="shared" si="5"/>
        <v>42331</v>
      </c>
      <c r="T328" s="77">
        <f ca="1">INDEX([12]ČR!$D$18:$D$383,DATE(2016,MONTH(S328),DAY(S328))-DATE(2016,1,1)+1,1)/1000000</f>
        <v>27.115409336794084</v>
      </c>
      <c r="U328" s="77" t="e">
        <f ca="1">IF(T!$A$4&gt;=MONTH(S328),VLOOKUP(S328,'[8]Podklady MZ'!$R$2:$S$367,2,FALSE),NA())</f>
        <v>#N/A</v>
      </c>
      <c r="V328" s="176">
        <f ca="1">INDEX([5]PT!$AF$16:$AF$381,DATE(2016,MONTH(S328),DAY(S328))-DATE(2016,1,1)+1,1)</f>
        <v>0</v>
      </c>
      <c r="W328" s="176">
        <f ca="1">IF(T!$A$4&lt;MONTH(S328),VLOOKUP(S328,'[8]Podklady MZ'!$R$2:$S$367,2,FALSE),NA())</f>
        <v>34.51707009433963</v>
      </c>
    </row>
    <row r="329" spans="19:23" x14ac:dyDescent="0.2">
      <c r="S329" s="76">
        <f t="shared" si="5"/>
        <v>42332</v>
      </c>
      <c r="T329" s="77">
        <f ca="1">INDEX([12]ČR!$D$18:$D$383,DATE(2016,MONTH(S329),DAY(S329))-DATE(2016,1,1)+1,1)/1000000</f>
        <v>30.724654955265521</v>
      </c>
      <c r="U329" s="77" t="e">
        <f ca="1">IF(T!$A$4&gt;=MONTH(S329),VLOOKUP(S329,'[8]Podklady MZ'!$R$2:$S$367,2,FALSE),NA())</f>
        <v>#N/A</v>
      </c>
      <c r="V329" s="176">
        <f ca="1">INDEX([5]PT!$AF$16:$AF$381,DATE(2016,MONTH(S329),DAY(S329))-DATE(2016,1,1)+1,1)</f>
        <v>0</v>
      </c>
      <c r="W329" s="176">
        <f ca="1">IF(T!$A$4&lt;MONTH(S329),VLOOKUP(S329,'[8]Podklady MZ'!$R$2:$S$367,2,FALSE),NA())</f>
        <v>35.757742735849057</v>
      </c>
    </row>
    <row r="330" spans="19:23" x14ac:dyDescent="0.2">
      <c r="S330" s="76">
        <f t="shared" si="5"/>
        <v>42333</v>
      </c>
      <c r="T330" s="77">
        <f ca="1">INDEX([12]ČR!$D$18:$D$383,DATE(2016,MONTH(S330),DAY(S330))-DATE(2016,1,1)+1,1)/1000000</f>
        <v>31.346045493034111</v>
      </c>
      <c r="U330" s="77" t="e">
        <f ca="1">IF(T!$A$4&gt;=MONTH(S330),VLOOKUP(S330,'[8]Podklady MZ'!$R$2:$S$367,2,FALSE),NA())</f>
        <v>#N/A</v>
      </c>
      <c r="V330" s="176">
        <f ca="1">INDEX([5]PT!$AF$16:$AF$381,DATE(2016,MONTH(S330),DAY(S330))-DATE(2016,1,1)+1,1)</f>
        <v>0</v>
      </c>
      <c r="W330" s="176">
        <f ca="1">IF(T!$A$4&lt;MONTH(S330),VLOOKUP(S330,'[8]Podklady MZ'!$R$2:$S$367,2,FALSE),NA())</f>
        <v>36.309744150943402</v>
      </c>
    </row>
    <row r="331" spans="19:23" x14ac:dyDescent="0.2">
      <c r="S331" s="76">
        <f t="shared" si="5"/>
        <v>42334</v>
      </c>
      <c r="T331" s="77">
        <f ca="1">INDEX([12]ČR!$D$18:$D$383,DATE(2016,MONTH(S331),DAY(S331))-DATE(2016,1,1)+1,1)/1000000</f>
        <v>32.961816098163993</v>
      </c>
      <c r="U331" s="77" t="e">
        <f ca="1">IF(T!$A$4&gt;=MONTH(S331),VLOOKUP(S331,'[8]Podklady MZ'!$R$2:$S$367,2,FALSE),NA())</f>
        <v>#N/A</v>
      </c>
      <c r="V331" s="176">
        <f ca="1">INDEX([5]PT!$AF$16:$AF$381,DATE(2016,MONTH(S331),DAY(S331))-DATE(2016,1,1)+1,1)</f>
        <v>0</v>
      </c>
      <c r="W331" s="176">
        <f ca="1">IF(T!$A$4&lt;MONTH(S331),VLOOKUP(S331,'[8]Podklady MZ'!$R$2:$S$367,2,FALSE),NA())</f>
        <v>34.825585377358493</v>
      </c>
    </row>
    <row r="332" spans="19:23" x14ac:dyDescent="0.2">
      <c r="S332" s="76">
        <f t="shared" si="5"/>
        <v>42335</v>
      </c>
      <c r="T332" s="77">
        <f ca="1">INDEX([12]ČR!$D$18:$D$383,DATE(2016,MONTH(S332),DAY(S332))-DATE(2016,1,1)+1,1)/1000000</f>
        <v>34.212026424236335</v>
      </c>
      <c r="U332" s="77" t="e">
        <f ca="1">IF(T!$A$4&gt;=MONTH(S332),VLOOKUP(S332,'[8]Podklady MZ'!$R$2:$S$367,2,FALSE),NA())</f>
        <v>#N/A</v>
      </c>
      <c r="V332" s="176">
        <f ca="1">INDEX([5]PT!$AF$16:$AF$381,DATE(2016,MONTH(S332),DAY(S332))-DATE(2016,1,1)+1,1)</f>
        <v>0</v>
      </c>
      <c r="W332" s="176">
        <f ca="1">IF(T!$A$4&lt;MONTH(S332),VLOOKUP(S332,'[8]Podklady MZ'!$R$2:$S$367,2,FALSE),NA())</f>
        <v>33.687207830188676</v>
      </c>
    </row>
    <row r="333" spans="19:23" x14ac:dyDescent="0.2">
      <c r="S333" s="76">
        <f t="shared" si="5"/>
        <v>42336</v>
      </c>
      <c r="T333" s="77">
        <f ca="1">INDEX([12]ČR!$D$18:$D$383,DATE(2016,MONTH(S333),DAY(S333))-DATE(2016,1,1)+1,1)/1000000</f>
        <v>34.11248068993433</v>
      </c>
      <c r="U333" s="77" t="e">
        <f ca="1">IF(T!$A$4&gt;=MONTH(S333),VLOOKUP(S333,'[8]Podklady MZ'!$R$2:$S$367,2,FALSE),NA())</f>
        <v>#N/A</v>
      </c>
      <c r="V333" s="176">
        <f ca="1">INDEX([5]PT!$AF$16:$AF$381,DATE(2016,MONTH(S333),DAY(S333))-DATE(2016,1,1)+1,1)</f>
        <v>0</v>
      </c>
      <c r="W333" s="176">
        <f ca="1">IF(T!$A$4&lt;MONTH(S333),VLOOKUP(S333,'[8]Podklady MZ'!$R$2:$S$367,2,FALSE),NA())</f>
        <v>31.108957169811319</v>
      </c>
    </row>
    <row r="334" spans="19:23" x14ac:dyDescent="0.2">
      <c r="S334" s="76">
        <f t="shared" si="5"/>
        <v>42337</v>
      </c>
      <c r="T334" s="77">
        <f ca="1">INDEX([12]ČR!$D$18:$D$383,DATE(2016,MONTH(S334),DAY(S334))-DATE(2016,1,1)+1,1)/1000000</f>
        <v>31.936827460860446</v>
      </c>
      <c r="U334" s="77" t="e">
        <f ca="1">IF(T!$A$4&gt;=MONTH(S334),VLOOKUP(S334,'[8]Podklady MZ'!$R$2:$S$367,2,FALSE),NA())</f>
        <v>#N/A</v>
      </c>
      <c r="V334" s="176">
        <f ca="1">INDEX([5]PT!$AF$16:$AF$381,DATE(2016,MONTH(S334),DAY(S334))-DATE(2016,1,1)+1,1)</f>
        <v>0</v>
      </c>
      <c r="W334" s="176">
        <f ca="1">IF(T!$A$4&lt;MONTH(S334),VLOOKUP(S334,'[8]Podklady MZ'!$R$2:$S$367,2,FALSE),NA())</f>
        <v>30.708528207547168</v>
      </c>
    </row>
    <row r="335" spans="19:23" x14ac:dyDescent="0.2">
      <c r="S335" s="76">
        <f t="shared" si="5"/>
        <v>42338</v>
      </c>
      <c r="T335" s="77">
        <f ca="1">INDEX([12]ČR!$D$18:$D$383,DATE(2016,MONTH(S335),DAY(S335))-DATE(2016,1,1)+1,1)/1000000</f>
        <v>32.779629590800965</v>
      </c>
      <c r="U335" s="77" t="e">
        <f ca="1">IF(T!$A$4&gt;=MONTH(S335),VLOOKUP(S335,'[8]Podklady MZ'!$R$2:$S$367,2,FALSE),NA())</f>
        <v>#N/A</v>
      </c>
      <c r="V335" s="176">
        <f ca="1">INDEX([5]PT!$AF$16:$AF$381,DATE(2016,MONTH(S335),DAY(S335))-DATE(2016,1,1)+1,1)</f>
        <v>0</v>
      </c>
      <c r="W335" s="176">
        <f ca="1">IF(T!$A$4&lt;MONTH(S335),VLOOKUP(S335,'[8]Podklady MZ'!$R$2:$S$367,2,FALSE),NA())</f>
        <v>31.339612169811321</v>
      </c>
    </row>
    <row r="336" spans="19:23" x14ac:dyDescent="0.2">
      <c r="S336" s="76">
        <f t="shared" si="5"/>
        <v>42339</v>
      </c>
      <c r="T336" s="77">
        <f ca="1">INDEX([12]ČR!$D$18:$D$383,DATE(2016,MONTH(S336),DAY(S336))-DATE(2016,1,1)+1,1)/1000000</f>
        <v>37.854518178144026</v>
      </c>
      <c r="U336" s="77" t="e">
        <f ca="1">IF(T!$A$4&gt;=MONTH(S336),VLOOKUP(S336,'[8]Podklady MZ'!$R$2:$S$367,2,FALSE),NA())</f>
        <v>#N/A</v>
      </c>
      <c r="V336" s="176">
        <f ca="1">INDEX([5]PT!$AF$16:$AF$381,DATE(2016,MONTH(S336),DAY(S336))-DATE(2016,1,1)+1,1)</f>
        <v>0</v>
      </c>
      <c r="W336" s="176">
        <f ca="1"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 ca="1">INDEX([12]ČR!$D$18:$D$383,DATE(2016,MONTH(S337),DAY(S337))-DATE(2016,1,1)+1,1)/1000000</f>
        <v>38.441498500806389</v>
      </c>
      <c r="U337" s="77" t="e">
        <f ca="1">IF(T!$A$4&gt;=MONTH(S337),VLOOKUP(S337,'[8]Podklady MZ'!$R$2:$S$367,2,FALSE),NA())</f>
        <v>#N/A</v>
      </c>
      <c r="V337" s="176">
        <f ca="1">INDEX([5]PT!$AF$16:$AF$381,DATE(2016,MONTH(S337),DAY(S337))-DATE(2016,1,1)+1,1)</f>
        <v>0</v>
      </c>
      <c r="W337" s="176">
        <f ca="1"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 ca="1">INDEX([12]ČR!$D$18:$D$383,DATE(2016,MONTH(S338),DAY(S338))-DATE(2016,1,1)+1,1)/1000000</f>
        <v>36.109693127145711</v>
      </c>
      <c r="U338" s="77" t="e">
        <f ca="1">IF(T!$A$4&gt;=MONTH(S338),VLOOKUP(S338,'[8]Podklady MZ'!$R$2:$S$367,2,FALSE),NA())</f>
        <v>#N/A</v>
      </c>
      <c r="V338" s="176">
        <f ca="1">INDEX([5]PT!$AF$16:$AF$381,DATE(2016,MONTH(S338),DAY(S338))-DATE(2016,1,1)+1,1)</f>
        <v>0</v>
      </c>
      <c r="W338" s="176">
        <f ca="1"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 ca="1">INDEX([12]ČR!$D$18:$D$383,DATE(2016,MONTH(S339),DAY(S339))-DATE(2016,1,1)+1,1)/1000000</f>
        <v>33.026257705300381</v>
      </c>
      <c r="U339" s="77" t="e">
        <f ca="1">IF(T!$A$4&gt;=MONTH(S339),VLOOKUP(S339,'[8]Podklady MZ'!$R$2:$S$367,2,FALSE),NA())</f>
        <v>#N/A</v>
      </c>
      <c r="V339" s="176">
        <f ca="1">INDEX([5]PT!$AF$16:$AF$381,DATE(2016,MONTH(S339),DAY(S339))-DATE(2016,1,1)+1,1)</f>
        <v>0</v>
      </c>
      <c r="W339" s="176">
        <f ca="1"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 ca="1">INDEX([12]ČR!$D$18:$D$383,DATE(2016,MONTH(S340),DAY(S340))-DATE(2016,1,1)+1,1)/1000000</f>
        <v>31.364279491276438</v>
      </c>
      <c r="U340" s="77" t="e">
        <f ca="1">IF(T!$A$4&gt;=MONTH(S340),VLOOKUP(S340,'[8]Podklady MZ'!$R$2:$S$367,2,FALSE),NA())</f>
        <v>#N/A</v>
      </c>
      <c r="V340" s="176">
        <f ca="1">INDEX([5]PT!$AF$16:$AF$381,DATE(2016,MONTH(S340),DAY(S340))-DATE(2016,1,1)+1,1)</f>
        <v>0</v>
      </c>
      <c r="W340" s="176">
        <f ca="1"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 ca="1">INDEX([12]ČR!$D$18:$D$383,DATE(2016,MONTH(S341),DAY(S341))-DATE(2016,1,1)+1,1)/1000000</f>
        <v>28.517927459846142</v>
      </c>
      <c r="U341" s="77" t="e">
        <f ca="1">IF(T!$A$4&gt;=MONTH(S341),VLOOKUP(S341,'[8]Podklady MZ'!$R$2:$S$367,2,FALSE),NA())</f>
        <v>#N/A</v>
      </c>
      <c r="V341" s="176">
        <f ca="1">INDEX([5]PT!$AF$16:$AF$381,DATE(2016,MONTH(S341),DAY(S341))-DATE(2016,1,1)+1,1)</f>
        <v>0</v>
      </c>
      <c r="W341" s="176">
        <f ca="1"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 ca="1">INDEX([12]ČR!$D$18:$D$383,DATE(2016,MONTH(S342),DAY(S342))-DATE(2016,1,1)+1,1)/1000000</f>
        <v>29.51894368749495</v>
      </c>
      <c r="U342" s="77" t="e">
        <f ca="1">IF(T!$A$4&gt;=MONTH(S342),VLOOKUP(S342,'[8]Podklady MZ'!$R$2:$S$367,2,FALSE),NA())</f>
        <v>#N/A</v>
      </c>
      <c r="V342" s="176">
        <f ca="1">INDEX([5]PT!$AF$16:$AF$381,DATE(2016,MONTH(S342),DAY(S342))-DATE(2016,1,1)+1,1)</f>
        <v>0</v>
      </c>
      <c r="W342" s="176">
        <f ca="1"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 ca="1">INDEX([12]ČR!$D$18:$D$383,DATE(2016,MONTH(S343),DAY(S343))-DATE(2016,1,1)+1,1)/1000000</f>
        <v>34.209591018453935</v>
      </c>
      <c r="U343" s="77" t="e">
        <f ca="1">IF(T!$A$4&gt;=MONTH(S343),VLOOKUP(S343,'[8]Podklady MZ'!$R$2:$S$367,2,FALSE),NA())</f>
        <v>#N/A</v>
      </c>
      <c r="V343" s="176">
        <f ca="1">INDEX([5]PT!$AF$16:$AF$381,DATE(2016,MONTH(S343),DAY(S343))-DATE(2016,1,1)+1,1)</f>
        <v>0</v>
      </c>
      <c r="W343" s="176">
        <f ca="1"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 ca="1">INDEX([12]ČR!$D$18:$D$383,DATE(2016,MONTH(S344),DAY(S344))-DATE(2016,1,1)+1,1)/1000000</f>
        <v>37.338847312350239</v>
      </c>
      <c r="U344" s="77" t="e">
        <f ca="1">IF(T!$A$4&gt;=MONTH(S344),VLOOKUP(S344,'[8]Podklady MZ'!$R$2:$S$367,2,FALSE),NA())</f>
        <v>#N/A</v>
      </c>
      <c r="V344" s="176">
        <f ca="1">INDEX([5]PT!$AF$16:$AF$381,DATE(2016,MONTH(S344),DAY(S344))-DATE(2016,1,1)+1,1)</f>
        <v>0</v>
      </c>
      <c r="W344" s="176">
        <f ca="1"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 ca="1">INDEX([12]ČR!$D$18:$D$383,DATE(2016,MONTH(S345),DAY(S345))-DATE(2016,1,1)+1,1)/1000000</f>
        <v>38.204923429852293</v>
      </c>
      <c r="U345" s="77" t="e">
        <f ca="1">IF(T!$A$4&gt;=MONTH(S345),VLOOKUP(S345,'[8]Podklady MZ'!$R$2:$S$367,2,FALSE),NA())</f>
        <v>#N/A</v>
      </c>
      <c r="V345" s="176">
        <f ca="1">INDEX([5]PT!$AF$16:$AF$381,DATE(2016,MONTH(S345),DAY(S345))-DATE(2016,1,1)+1,1)</f>
        <v>0</v>
      </c>
      <c r="W345" s="176">
        <f ca="1"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 ca="1">INDEX([12]ČR!$D$18:$D$383,DATE(2016,MONTH(S346),DAY(S346))-DATE(2016,1,1)+1,1)/1000000</f>
        <v>35.644809926941086</v>
      </c>
      <c r="U346" s="77" t="e">
        <f ca="1">IF(T!$A$4&gt;=MONTH(S346),VLOOKUP(S346,'[8]Podklady MZ'!$R$2:$S$367,2,FALSE),NA())</f>
        <v>#N/A</v>
      </c>
      <c r="V346" s="176">
        <f ca="1">INDEX([5]PT!$AF$16:$AF$381,DATE(2016,MONTH(S346),DAY(S346))-DATE(2016,1,1)+1,1)</f>
        <v>0</v>
      </c>
      <c r="W346" s="176">
        <f ca="1"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 ca="1">INDEX([12]ČR!$D$18:$D$383,DATE(2016,MONTH(S347),DAY(S347))-DATE(2016,1,1)+1,1)/1000000</f>
        <v>31.430502833099503</v>
      </c>
      <c r="U347" s="77" t="e">
        <f ca="1">IF(T!$A$4&gt;=MONTH(S347),VLOOKUP(S347,'[8]Podklady MZ'!$R$2:$S$367,2,FALSE),NA())</f>
        <v>#N/A</v>
      </c>
      <c r="V347" s="176">
        <f ca="1">INDEX([5]PT!$AF$16:$AF$381,DATE(2016,MONTH(S347),DAY(S347))-DATE(2016,1,1)+1,1)</f>
        <v>0</v>
      </c>
      <c r="W347" s="176">
        <f ca="1"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 ca="1">INDEX([12]ČR!$D$18:$D$383,DATE(2016,MONTH(S348),DAY(S348))-DATE(2016,1,1)+1,1)/1000000</f>
        <v>27.420865255375002</v>
      </c>
      <c r="U348" s="77" t="e">
        <f ca="1">IF(T!$A$4&gt;=MONTH(S348),VLOOKUP(S348,'[8]Podklady MZ'!$R$2:$S$367,2,FALSE),NA())</f>
        <v>#N/A</v>
      </c>
      <c r="V348" s="176">
        <f ca="1">INDEX([5]PT!$AF$16:$AF$381,DATE(2016,MONTH(S348),DAY(S348))-DATE(2016,1,1)+1,1)</f>
        <v>0</v>
      </c>
      <c r="W348" s="176">
        <f ca="1"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 ca="1">INDEX([12]ČR!$D$18:$D$383,DATE(2016,MONTH(S349),DAY(S349))-DATE(2016,1,1)+1,1)/1000000</f>
        <v>28.083426580878104</v>
      </c>
      <c r="U349" s="77" t="e">
        <f ca="1">IF(T!$A$4&gt;=MONTH(S349),VLOOKUP(S349,'[8]Podklady MZ'!$R$2:$S$367,2,FALSE),NA())</f>
        <v>#N/A</v>
      </c>
      <c r="V349" s="176">
        <f ca="1">INDEX([5]PT!$AF$16:$AF$381,DATE(2016,MONTH(S349),DAY(S349))-DATE(2016,1,1)+1,1)</f>
        <v>0</v>
      </c>
      <c r="W349" s="176">
        <f ca="1"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 ca="1">INDEX([12]ČR!$D$18:$D$383,DATE(2016,MONTH(S350),DAY(S350))-DATE(2016,1,1)+1,1)/1000000</f>
        <v>30.529867411220717</v>
      </c>
      <c r="U350" s="77" t="e">
        <f ca="1">IF(T!$A$4&gt;=MONTH(S350),VLOOKUP(S350,'[8]Podklady MZ'!$R$2:$S$367,2,FALSE),NA())</f>
        <v>#N/A</v>
      </c>
      <c r="V350" s="176">
        <f ca="1">INDEX([5]PT!$AF$16:$AF$381,DATE(2016,MONTH(S350),DAY(S350))-DATE(2016,1,1)+1,1)</f>
        <v>0</v>
      </c>
      <c r="W350" s="176">
        <f ca="1"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 ca="1">INDEX([12]ČR!$D$18:$D$383,DATE(2016,MONTH(S351),DAY(S351))-DATE(2016,1,1)+1,1)/1000000</f>
        <v>30.919331233765597</v>
      </c>
      <c r="U351" s="77" t="e">
        <f ca="1">IF(T!$A$4&gt;=MONTH(S351),VLOOKUP(S351,'[8]Podklady MZ'!$R$2:$S$367,2,FALSE),NA())</f>
        <v>#N/A</v>
      </c>
      <c r="V351" s="176">
        <f ca="1">INDEX([5]PT!$AF$16:$AF$381,DATE(2016,MONTH(S351),DAY(S351))-DATE(2016,1,1)+1,1)</f>
        <v>0</v>
      </c>
      <c r="W351" s="176">
        <f ca="1"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 ca="1">INDEX([12]ČR!$D$18:$D$383,DATE(2016,MONTH(S352),DAY(S352))-DATE(2016,1,1)+1,1)/1000000</f>
        <v>31.288395402017816</v>
      </c>
      <c r="U352" s="77" t="e">
        <f ca="1">IF(T!$A$4&gt;=MONTH(S352),VLOOKUP(S352,'[8]Podklady MZ'!$R$2:$S$367,2,FALSE),NA())</f>
        <v>#N/A</v>
      </c>
      <c r="V352" s="176">
        <f ca="1">INDEX([5]PT!$AF$16:$AF$381,DATE(2016,MONTH(S352),DAY(S352))-DATE(2016,1,1)+1,1)</f>
        <v>0</v>
      </c>
      <c r="W352" s="176">
        <f ca="1"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 ca="1">INDEX([12]ČR!$D$18:$D$383,DATE(2016,MONTH(S353),DAY(S353))-DATE(2016,1,1)+1,1)/1000000</f>
        <v>28.572530961628207</v>
      </c>
      <c r="U353" s="77" t="e">
        <f ca="1">IF(T!$A$4&gt;=MONTH(S353),VLOOKUP(S353,'[8]Podklady MZ'!$R$2:$S$367,2,FALSE),NA())</f>
        <v>#N/A</v>
      </c>
      <c r="V353" s="176">
        <f ca="1">INDEX([5]PT!$AF$16:$AF$381,DATE(2016,MONTH(S353),DAY(S353))-DATE(2016,1,1)+1,1)</f>
        <v>0</v>
      </c>
      <c r="W353" s="176">
        <f ca="1"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 ca="1">INDEX([12]ČR!$D$18:$D$383,DATE(2016,MONTH(S354),DAY(S354))-DATE(2016,1,1)+1,1)/1000000</f>
        <v>25.029565808429169</v>
      </c>
      <c r="U354" s="77" t="e">
        <f ca="1">IF(T!$A$4&gt;=MONTH(S354),VLOOKUP(S354,'[8]Podklady MZ'!$R$2:$S$367,2,FALSE),NA())</f>
        <v>#N/A</v>
      </c>
      <c r="V354" s="176">
        <f ca="1">INDEX([5]PT!$AF$16:$AF$381,DATE(2016,MONTH(S354),DAY(S354))-DATE(2016,1,1)+1,1)</f>
        <v>0</v>
      </c>
      <c r="W354" s="176">
        <f ca="1"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 ca="1">INDEX([12]ČR!$D$18:$D$383,DATE(2016,MONTH(S355),DAY(S355))-DATE(2016,1,1)+1,1)/1000000</f>
        <v>25.921658317524329</v>
      </c>
      <c r="U355" s="77" t="e">
        <f ca="1">IF(T!$A$4&gt;=MONTH(S355),VLOOKUP(S355,'[8]Podklady MZ'!$R$2:$S$367,2,FALSE),NA())</f>
        <v>#N/A</v>
      </c>
      <c r="V355" s="176">
        <f ca="1">INDEX([5]PT!$AF$16:$AF$381,DATE(2016,MONTH(S355),DAY(S355))-DATE(2016,1,1)+1,1)</f>
        <v>0</v>
      </c>
      <c r="W355" s="176">
        <f ca="1"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 ca="1">INDEX([12]ČR!$D$18:$D$383,DATE(2016,MONTH(S356),DAY(S356))-DATE(2016,1,1)+1,1)/1000000</f>
        <v>27.286221259888482</v>
      </c>
      <c r="U356" s="77" t="e">
        <f ca="1">IF(T!$A$4&gt;=MONTH(S356),VLOOKUP(S356,'[8]Podklady MZ'!$R$2:$S$367,2,FALSE),NA())</f>
        <v>#N/A</v>
      </c>
      <c r="V356" s="176">
        <f ca="1">INDEX([5]PT!$AF$16:$AF$381,DATE(2016,MONTH(S356),DAY(S356))-DATE(2016,1,1)+1,1)</f>
        <v>0</v>
      </c>
      <c r="W356" s="176">
        <f ca="1"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 ca="1">INDEX([12]ČR!$D$18:$D$383,DATE(2016,MONTH(S357),DAY(S357))-DATE(2016,1,1)+1,1)/1000000</f>
        <v>27.236034880550331</v>
      </c>
      <c r="U357" s="77" t="e">
        <f ca="1">IF(T!$A$4&gt;=MONTH(S357),VLOOKUP(S357,'[8]Podklady MZ'!$R$2:$S$367,2,FALSE),NA())</f>
        <v>#N/A</v>
      </c>
      <c r="V357" s="176">
        <f ca="1">INDEX([5]PT!$AF$16:$AF$381,DATE(2016,MONTH(S357),DAY(S357))-DATE(2016,1,1)+1,1)</f>
        <v>0</v>
      </c>
      <c r="W357" s="176">
        <f ca="1"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 ca="1">INDEX([12]ČR!$D$18:$D$383,DATE(2016,MONTH(S358),DAY(S358))-DATE(2016,1,1)+1,1)/1000000</f>
        <v>24.182742733133647</v>
      </c>
      <c r="U358" s="77" t="e">
        <f ca="1">IF(T!$A$4&gt;=MONTH(S358),VLOOKUP(S358,'[8]Podklady MZ'!$R$2:$S$367,2,FALSE),NA())</f>
        <v>#N/A</v>
      </c>
      <c r="V358" s="176">
        <f ca="1">INDEX([5]PT!$AF$16:$AF$381,DATE(2016,MONTH(S358),DAY(S358))-DATE(2016,1,1)+1,1)</f>
        <v>0</v>
      </c>
      <c r="W358" s="176">
        <f ca="1"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 ca="1">INDEX([12]ČR!$D$18:$D$383,DATE(2016,MONTH(S359),DAY(S359))-DATE(2016,1,1)+1,1)/1000000</f>
        <v>23.168486093916595</v>
      </c>
      <c r="U359" s="77" t="e">
        <f ca="1">IF(T!$A$4&gt;=MONTH(S359),VLOOKUP(S359,'[8]Podklady MZ'!$R$2:$S$367,2,FALSE),NA())</f>
        <v>#N/A</v>
      </c>
      <c r="V359" s="176">
        <f ca="1">INDEX([5]PT!$AF$16:$AF$381,DATE(2016,MONTH(S359),DAY(S359))-DATE(2016,1,1)+1,1)</f>
        <v>0</v>
      </c>
      <c r="W359" s="176">
        <f ca="1"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 ca="1">INDEX([12]ČR!$D$18:$D$383,DATE(2016,MONTH(S360),DAY(S360))-DATE(2016,1,1)+1,1)/1000000</f>
        <v>25.0502196645295</v>
      </c>
      <c r="U360" s="77" t="e">
        <f ca="1">IF(T!$A$4&gt;=MONTH(S360),VLOOKUP(S360,'[8]Podklady MZ'!$R$2:$S$367,2,FALSE),NA())</f>
        <v>#N/A</v>
      </c>
      <c r="V360" s="176">
        <f ca="1">INDEX([5]PT!$AF$16:$AF$381,DATE(2016,MONTH(S360),DAY(S360))-DATE(2016,1,1)+1,1)</f>
        <v>0</v>
      </c>
      <c r="W360" s="176">
        <f ca="1"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 ca="1">INDEX([12]ČR!$D$18:$D$383,DATE(2016,MONTH(S361),DAY(S361))-DATE(2016,1,1)+1,1)/1000000</f>
        <v>30.002314163589158</v>
      </c>
      <c r="U361" s="77" t="e">
        <f ca="1">IF(T!$A$4&gt;=MONTH(S361),VLOOKUP(S361,'[8]Podklady MZ'!$R$2:$S$367,2,FALSE),NA())</f>
        <v>#N/A</v>
      </c>
      <c r="V361" s="176">
        <f ca="1">INDEX([5]PT!$AF$16:$AF$381,DATE(2016,MONTH(S361),DAY(S361))-DATE(2016,1,1)+1,1)</f>
        <v>0</v>
      </c>
      <c r="W361" s="176">
        <f ca="1"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 ca="1">INDEX([12]ČR!$D$18:$D$383,DATE(2016,MONTH(S362),DAY(S362))-DATE(2016,1,1)+1,1)/1000000</f>
        <v>33.819575464437477</v>
      </c>
      <c r="U362" s="77" t="e">
        <f ca="1">IF(T!$A$4&gt;=MONTH(S362),VLOOKUP(S362,'[8]Podklady MZ'!$R$2:$S$367,2,FALSE),NA())</f>
        <v>#N/A</v>
      </c>
      <c r="V362" s="176">
        <f ca="1">INDEX([5]PT!$AF$16:$AF$381,DATE(2016,MONTH(S362),DAY(S362))-DATE(2016,1,1)+1,1)</f>
        <v>0</v>
      </c>
      <c r="W362" s="176">
        <f ca="1"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 ca="1">INDEX([12]ČR!$D$18:$D$383,DATE(2016,MONTH(S363),DAY(S363))-DATE(2016,1,1)+1,1)/1000000</f>
        <v>38.256776847175416</v>
      </c>
      <c r="U363" s="77" t="e">
        <f ca="1">IF(T!$A$4&gt;=MONTH(S363),VLOOKUP(S363,'[8]Podklady MZ'!$R$2:$S$367,2,FALSE),NA())</f>
        <v>#N/A</v>
      </c>
      <c r="V363" s="176">
        <f ca="1">INDEX([5]PT!$AF$16:$AF$381,DATE(2016,MONTH(S363),DAY(S363))-DATE(2016,1,1)+1,1)</f>
        <v>0</v>
      </c>
      <c r="W363" s="176">
        <f ca="1"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 ca="1">INDEX([12]ČR!$D$18:$D$383,DATE(2016,MONTH(S364),DAY(S364))-DATE(2016,1,1)+1,1)/1000000</f>
        <v>41.016428883228755</v>
      </c>
      <c r="U364" s="77" t="e">
        <f ca="1">IF(T!$A$4&gt;=MONTH(S364),VLOOKUP(S364,'[8]Podklady MZ'!$R$2:$S$367,2,FALSE),NA())</f>
        <v>#N/A</v>
      </c>
      <c r="V364" s="176">
        <f ca="1">INDEX([5]PT!$AF$16:$AF$381,DATE(2016,MONTH(S364),DAY(S364))-DATE(2016,1,1)+1,1)</f>
        <v>0</v>
      </c>
      <c r="W364" s="176">
        <f ca="1"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 ca="1">INDEX([12]ČR!$D$18:$D$383,DATE(2016,MONTH(S365),DAY(S365))-DATE(2016,1,1)+1,1)/1000000</f>
        <v>40.53163433214683</v>
      </c>
      <c r="U365" s="77" t="e">
        <f ca="1">IF(T!$A$4&gt;=MONTH(S365),VLOOKUP(S365,'[8]Podklady MZ'!$R$2:$S$367,2,FALSE),NA())</f>
        <v>#N/A</v>
      </c>
      <c r="V365" s="176">
        <f ca="1">INDEX([5]PT!$AF$16:$AF$381,DATE(2016,MONTH(S365),DAY(S365))-DATE(2016,1,1)+1,1)</f>
        <v>0</v>
      </c>
      <c r="W365" s="176">
        <f ca="1"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 ca="1">INDEX([12]ČR!$D$18:$D$383,DATE(2016,MONTH(S366),DAY(S366))-DATE(2016,1,1)+1,1)/1000000</f>
        <v>37.874485907892407</v>
      </c>
      <c r="U366" s="77" t="e">
        <f ca="1">IF(T!$A$4&gt;=MONTH(S366),VLOOKUP(S366,'[8]Podklady MZ'!$R$2:$S$367,2,FALSE),NA())</f>
        <v>#N/A</v>
      </c>
      <c r="V366" s="176">
        <f ca="1">INDEX([5]PT!$AF$16:$AF$381,DATE(2016,MONTH(S366),DAY(S366))-DATE(2016,1,1)+1,1)</f>
        <v>0</v>
      </c>
      <c r="W366" s="176">
        <f ca="1"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 ca="1">INDEX([12]ČR!$D$18:$D$383,DATE(2016,MONTH(S367),DAY(S367))-DATE(2016,1,1)+1,1)/1000000</f>
        <v>29.819936957415216</v>
      </c>
      <c r="U367" s="77">
        <f ca="1">IF(T!$A$4&gt;=MONTH(S367),VLOOKUP(S367,'[8]Podklady MZ'!$R$2:$S$367,2,FALSE),NA())</f>
        <v>34.064890044007484</v>
      </c>
      <c r="V367" s="176">
        <f ca="1">INDEX([5]PT!$AF$16:$AF$381,DATE(2016,MONTH(S367),DAY(S367))-DATE(2016,1,1)+1,1)</f>
        <v>0</v>
      </c>
      <c r="W367" s="176" t="e">
        <f ca="1"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0" t="s">
        <v>87</v>
      </c>
      <c r="P1" s="820"/>
    </row>
    <row r="2" spans="1:21" ht="15.95" customHeight="1" x14ac:dyDescent="0.25">
      <c r="A2" s="876" t="s">
        <v>243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</row>
    <row r="3" spans="1:21" ht="14.1" customHeight="1" x14ac:dyDescent="0.25">
      <c r="A3" s="877">
        <f>T!$I$21</f>
        <v>2015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</row>
    <row r="4" spans="1:21" ht="14.1" customHeight="1" x14ac:dyDescent="0.2">
      <c r="D4" s="507"/>
      <c r="E4" s="507"/>
      <c r="F4" s="507"/>
      <c r="G4" s="507"/>
      <c r="P4" s="593"/>
    </row>
    <row r="5" spans="1:21" ht="18" customHeight="1" x14ac:dyDescent="0.2">
      <c r="A5" s="514"/>
      <c r="B5" s="515"/>
      <c r="C5" s="516"/>
      <c r="D5" s="617" t="s">
        <v>13</v>
      </c>
      <c r="E5" s="617" t="s">
        <v>58</v>
      </c>
      <c r="F5" s="618" t="s">
        <v>59</v>
      </c>
      <c r="G5" s="617" t="s">
        <v>60</v>
      </c>
      <c r="H5" s="617" t="s">
        <v>61</v>
      </c>
      <c r="I5" s="618" t="s">
        <v>62</v>
      </c>
      <c r="J5" s="617" t="s">
        <v>63</v>
      </c>
      <c r="K5" s="617" t="s">
        <v>64</v>
      </c>
      <c r="L5" s="618" t="s">
        <v>65</v>
      </c>
      <c r="M5" s="617" t="s">
        <v>66</v>
      </c>
      <c r="N5" s="617" t="s">
        <v>67</v>
      </c>
      <c r="O5" s="617" t="s">
        <v>68</v>
      </c>
      <c r="P5" s="587" t="s">
        <v>2</v>
      </c>
      <c r="Q5" s="13"/>
    </row>
    <row r="6" spans="1:21" ht="9" customHeight="1" x14ac:dyDescent="0.2">
      <c r="A6" s="878" t="s">
        <v>287</v>
      </c>
      <c r="B6" s="518"/>
      <c r="C6" s="519"/>
      <c r="D6" s="508"/>
      <c r="E6" s="508"/>
      <c r="F6" s="520"/>
      <c r="G6" s="508"/>
      <c r="H6" s="508"/>
      <c r="I6" s="520"/>
      <c r="J6" s="508"/>
      <c r="K6" s="508"/>
      <c r="L6" s="520"/>
      <c r="M6" s="508"/>
      <c r="N6" s="508"/>
      <c r="O6" s="508"/>
      <c r="P6" s="588"/>
      <c r="Q6" s="13"/>
    </row>
    <row r="7" spans="1:21" ht="18" customHeight="1" x14ac:dyDescent="0.2">
      <c r="A7" s="874"/>
      <c r="B7" s="570" t="s">
        <v>71</v>
      </c>
      <c r="C7" s="571" t="s">
        <v>231</v>
      </c>
      <c r="D7" s="555">
        <v>1120</v>
      </c>
      <c r="E7" s="619">
        <v>1000</v>
      </c>
      <c r="F7" s="620">
        <v>910</v>
      </c>
      <c r="G7" s="619">
        <v>630</v>
      </c>
      <c r="H7" s="555">
        <v>400</v>
      </c>
      <c r="I7" s="556">
        <v>310</v>
      </c>
      <c r="J7" s="555">
        <v>290</v>
      </c>
      <c r="K7" s="555">
        <v>290</v>
      </c>
      <c r="L7" s="556">
        <v>380</v>
      </c>
      <c r="M7" s="555">
        <v>650</v>
      </c>
      <c r="N7" s="555">
        <v>920</v>
      </c>
      <c r="O7" s="555">
        <v>1080</v>
      </c>
      <c r="P7" s="595">
        <f>SUM(D7:O7)</f>
        <v>7980</v>
      </c>
    </row>
    <row r="8" spans="1:21" ht="18" customHeight="1" x14ac:dyDescent="0.2">
      <c r="A8" s="874"/>
      <c r="B8" s="570" t="s">
        <v>71</v>
      </c>
      <c r="C8" s="571" t="s">
        <v>284</v>
      </c>
      <c r="D8" s="619">
        <v>11900</v>
      </c>
      <c r="E8" s="619">
        <v>10620</v>
      </c>
      <c r="F8" s="620">
        <v>9660</v>
      </c>
      <c r="G8" s="619">
        <v>6690</v>
      </c>
      <c r="H8" s="555">
        <v>4250</v>
      </c>
      <c r="I8" s="556">
        <v>3290</v>
      </c>
      <c r="J8" s="555">
        <v>3080</v>
      </c>
      <c r="K8" s="555">
        <v>3080</v>
      </c>
      <c r="L8" s="556">
        <v>4040</v>
      </c>
      <c r="M8" s="555">
        <v>6900</v>
      </c>
      <c r="N8" s="555">
        <v>9770</v>
      </c>
      <c r="O8" s="555">
        <v>11470</v>
      </c>
      <c r="P8" s="595">
        <f>SUM(D8:O8)</f>
        <v>84750</v>
      </c>
    </row>
    <row r="9" spans="1:21" ht="18" customHeight="1" x14ac:dyDescent="0.2">
      <c r="A9" s="874"/>
      <c r="B9" s="564" t="s">
        <v>244</v>
      </c>
      <c r="C9" s="566" t="s">
        <v>233</v>
      </c>
      <c r="D9" s="747">
        <v>-2</v>
      </c>
      <c r="E9" s="747">
        <v>-0.7</v>
      </c>
      <c r="F9" s="748">
        <v>3.3</v>
      </c>
      <c r="G9" s="747">
        <v>7.6</v>
      </c>
      <c r="H9" s="749">
        <v>13</v>
      </c>
      <c r="I9" s="750">
        <v>15.8</v>
      </c>
      <c r="J9" s="749">
        <v>17.5</v>
      </c>
      <c r="K9" s="749">
        <v>17.2</v>
      </c>
      <c r="L9" s="750">
        <v>13</v>
      </c>
      <c r="M9" s="749">
        <v>8</v>
      </c>
      <c r="N9" s="749">
        <v>2.6</v>
      </c>
      <c r="O9" s="749">
        <v>-0.4</v>
      </c>
      <c r="P9" s="751">
        <f>AVERAGE(D9:O9)</f>
        <v>7.9083333333333323</v>
      </c>
    </row>
    <row r="10" spans="1:21" ht="9" customHeight="1" x14ac:dyDescent="0.2">
      <c r="A10" s="875"/>
      <c r="B10" s="510"/>
      <c r="C10" s="530"/>
      <c r="D10" s="531"/>
      <c r="E10" s="531"/>
      <c r="F10" s="532"/>
      <c r="G10" s="531"/>
      <c r="H10" s="533"/>
      <c r="I10" s="534"/>
      <c r="J10" s="533"/>
      <c r="K10" s="533"/>
      <c r="L10" s="534"/>
      <c r="M10" s="533"/>
      <c r="N10" s="533"/>
      <c r="O10" s="533"/>
      <c r="P10" s="590"/>
    </row>
    <row r="11" spans="1:21" ht="9" customHeight="1" x14ac:dyDescent="0.2">
      <c r="A11" s="878" t="s">
        <v>248</v>
      </c>
      <c r="B11" s="511"/>
      <c r="C11" s="535"/>
      <c r="D11" s="525"/>
      <c r="E11" s="525"/>
      <c r="F11" s="526"/>
      <c r="G11" s="525"/>
      <c r="H11" s="527"/>
      <c r="I11" s="528"/>
      <c r="J11" s="527"/>
      <c r="K11" s="527"/>
      <c r="L11" s="528"/>
      <c r="M11" s="527"/>
      <c r="N11" s="527"/>
      <c r="O11" s="527"/>
      <c r="P11" s="589"/>
    </row>
    <row r="12" spans="1:21" ht="18" customHeight="1" x14ac:dyDescent="0.2">
      <c r="A12" s="874"/>
      <c r="B12" s="98" t="s">
        <v>71</v>
      </c>
      <c r="C12" s="567" t="s">
        <v>231</v>
      </c>
      <c r="D12" s="529">
        <f ca="1">'[8]Podklady MZ'!D52</f>
        <v>1081.280644710429</v>
      </c>
      <c r="E12" s="529">
        <f ca="1">'[8]Podklady MZ'!E52</f>
        <v>989.86689164730865</v>
      </c>
      <c r="F12" s="544">
        <f ca="1">'[8]Podklady MZ'!F52</f>
        <v>865.53252041105134</v>
      </c>
      <c r="G12" s="529">
        <f ca="1">'[8]Podklady MZ'!G52</f>
        <v>622.80856614391325</v>
      </c>
      <c r="H12" s="529">
        <f ca="1">'[8]Podklady MZ'!H52</f>
        <v>404.77237581362579</v>
      </c>
      <c r="I12" s="544">
        <f ca="1">'[8]Podklady MZ'!I52</f>
        <v>314.40782647711256</v>
      </c>
      <c r="J12" s="529">
        <f ca="1">'[8]Podklady MZ'!J52</f>
        <v>298.38639432190473</v>
      </c>
      <c r="K12" s="529">
        <f ca="1">'[8]Podklady MZ'!K52</f>
        <v>277.51120821690495</v>
      </c>
      <c r="L12" s="544">
        <f ca="1">'[8]Podklady MZ'!L52</f>
        <v>352.96079611407475</v>
      </c>
      <c r="M12" s="529">
        <f ca="1">'[8]Podklady MZ'!M52</f>
        <v>692.3772462549789</v>
      </c>
      <c r="N12" s="529">
        <f ca="1">'[8]Podklady MZ'!N52</f>
        <v>784.02674462264133</v>
      </c>
      <c r="O12" s="529">
        <f ca="1">'[8]Podklady MZ'!O52</f>
        <v>1080.0000000000002</v>
      </c>
      <c r="P12" s="589">
        <f ca="1">SUM(D12:O12)</f>
        <v>7763.9312147339451</v>
      </c>
      <c r="U12" s="66"/>
    </row>
    <row r="13" spans="1:21" ht="18" customHeight="1" x14ac:dyDescent="0.2">
      <c r="A13" s="874"/>
      <c r="B13" s="98" t="s">
        <v>71</v>
      </c>
      <c r="C13" s="567" t="s">
        <v>284</v>
      </c>
      <c r="D13" s="542">
        <f ca="1">'[8]Podklady MZ'!D53</f>
        <v>11492.757934199999</v>
      </c>
      <c r="E13" s="542">
        <f ca="1">'[8]Podklady MZ'!E53</f>
        <v>10525.401338</v>
      </c>
      <c r="F13" s="569">
        <f ca="1">'[8]Podklady MZ'!F53</f>
        <v>9201.9026437999983</v>
      </c>
      <c r="G13" s="542">
        <f ca="1">'[8]Podklady MZ'!G53</f>
        <v>6626.1087002000022</v>
      </c>
      <c r="H13" s="542">
        <f ca="1">'[8]Podklady MZ'!H53</f>
        <v>4332.1303954000005</v>
      </c>
      <c r="I13" s="569">
        <f ca="1">'[8]Podklady MZ'!I53</f>
        <v>3367.3136154999993</v>
      </c>
      <c r="J13" s="542">
        <f ca="1">'[8]Podklady MZ'!J53</f>
        <v>3186.2044436000006</v>
      </c>
      <c r="K13" s="542">
        <f ca="1">'[8]Podklady MZ'!K53</f>
        <v>2973.0205207999998</v>
      </c>
      <c r="L13" s="569">
        <f ca="1">'[8]Podklady MZ'!L53</f>
        <v>3775.558282</v>
      </c>
      <c r="M13" s="542">
        <f ca="1">'[8]Podklady MZ'!M53</f>
        <v>7395.1327493999997</v>
      </c>
      <c r="N13" s="542">
        <f ca="1">'[8]Podklady MZ'!N53</f>
        <v>8310.6834930000005</v>
      </c>
      <c r="O13" s="542">
        <f ca="1">'[8]Podklady MZ'!O53</f>
        <v>11470</v>
      </c>
      <c r="P13" s="589">
        <f ca="1">SUM(D13:O13)</f>
        <v>82656.214115900002</v>
      </c>
    </row>
    <row r="14" spans="1:21" ht="18" customHeight="1" x14ac:dyDescent="0.2">
      <c r="A14" s="874"/>
      <c r="B14" s="98" t="s">
        <v>224</v>
      </c>
      <c r="C14" s="575" t="s">
        <v>233</v>
      </c>
      <c r="D14" s="542">
        <f ca="1">'[8]Podklady MZ'!D54</f>
        <v>1.2161290322580647</v>
      </c>
      <c r="E14" s="542">
        <f ca="1">'[8]Podklady MZ'!E54</f>
        <v>0.22142857142857128</v>
      </c>
      <c r="F14" s="569">
        <f ca="1">'[8]Podklady MZ'!F54</f>
        <v>4.3258064516129036</v>
      </c>
      <c r="G14" s="542">
        <f ca="1">'[8]Podklady MZ'!G54</f>
        <v>8.2200000000000006</v>
      </c>
      <c r="H14" s="542">
        <f ca="1">'[8]Podklady MZ'!H54</f>
        <v>12.838709677419352</v>
      </c>
      <c r="I14" s="569">
        <f ca="1">'[8]Podklady MZ'!I54</f>
        <v>16.746666666666666</v>
      </c>
      <c r="J14" s="542">
        <f ca="1">'[8]Podklady MZ'!J54</f>
        <v>20.916129032258063</v>
      </c>
      <c r="K14" s="542">
        <f ca="1">'[8]Podklady MZ'!K54</f>
        <v>21.78064516129032</v>
      </c>
      <c r="L14" s="569">
        <f ca="1">'[8]Podklady MZ'!L54</f>
        <v>13.526666666666667</v>
      </c>
      <c r="M14" s="542">
        <f ca="1">'[8]Podklady MZ'!M54</f>
        <v>8.1580645161290342</v>
      </c>
      <c r="N14" s="542">
        <f ca="1">'[8]Podklady MZ'!N54</f>
        <v>5.9433333333333325</v>
      </c>
      <c r="O14" s="542">
        <f ca="1">'[8]Podklady MZ'!O54</f>
        <v>-0.40000000000000019</v>
      </c>
      <c r="P14" s="589">
        <f ca="1">AVERAGE(D14:O14)</f>
        <v>9.4577982590885821</v>
      </c>
    </row>
    <row r="15" spans="1:21" ht="9" customHeight="1" x14ac:dyDescent="0.2">
      <c r="A15" s="875"/>
      <c r="B15" s="510"/>
      <c r="C15" s="530"/>
      <c r="D15" s="531"/>
      <c r="E15" s="531"/>
      <c r="F15" s="532"/>
      <c r="G15" s="531"/>
      <c r="H15" s="533"/>
      <c r="I15" s="534"/>
      <c r="J15" s="533"/>
      <c r="K15" s="533"/>
      <c r="L15" s="534"/>
      <c r="M15" s="533"/>
      <c r="N15" s="533"/>
      <c r="O15" s="533"/>
      <c r="P15" s="590"/>
    </row>
    <row r="16" spans="1:21" ht="9" customHeight="1" x14ac:dyDescent="0.2">
      <c r="A16" s="878" t="s">
        <v>249</v>
      </c>
      <c r="B16" s="511"/>
      <c r="C16" s="535"/>
      <c r="D16" s="525"/>
      <c r="E16" s="525"/>
      <c r="F16" s="526"/>
      <c r="G16" s="525"/>
      <c r="H16" s="527"/>
      <c r="I16" s="528"/>
      <c r="J16" s="527"/>
      <c r="K16" s="527"/>
      <c r="L16" s="528"/>
      <c r="M16" s="527"/>
      <c r="N16" s="527"/>
      <c r="O16" s="527"/>
      <c r="P16" s="589"/>
    </row>
    <row r="17" spans="1:16" ht="18" customHeight="1" x14ac:dyDescent="0.2">
      <c r="A17" s="874"/>
      <c r="B17" s="98" t="s">
        <v>71</v>
      </c>
      <c r="C17" s="567" t="s">
        <v>231</v>
      </c>
      <c r="D17" s="529">
        <f ca="1">'[8]Podklady MZ'!D57</f>
        <v>1162.3827182199684</v>
      </c>
      <c r="E17" s="542">
        <f ca="1">'[8]Podklady MZ'!E57</f>
        <v>1022.8621044614633</v>
      </c>
      <c r="F17" s="569">
        <f ca="1">'[8]Podklady MZ'!F57</f>
        <v>901.33118683539692</v>
      </c>
      <c r="G17" s="542">
        <f ca="1">'[8]Podklady MZ'!G57</f>
        <v>647.29636373718301</v>
      </c>
      <c r="H17" s="529">
        <f ca="1">'[8]Podklady MZ'!H57</f>
        <v>399.23311790096943</v>
      </c>
      <c r="I17" s="544">
        <f ca="1">'[8]Podklady MZ'!I57</f>
        <v>318.95062063632389</v>
      </c>
      <c r="J17" s="529">
        <f ca="1">'[8]Podklady MZ'!J57</f>
        <v>302.4372465189378</v>
      </c>
      <c r="K17" s="529">
        <f ca="1">'[8]Podklady MZ'!K57</f>
        <v>299.01838851541652</v>
      </c>
      <c r="L17" s="544">
        <f ca="1">'[8]Podklady MZ'!L57</f>
        <v>359.74623069021459</v>
      </c>
      <c r="M17" s="529">
        <f ca="1">'[8]Podklady MZ'!M57</f>
        <v>698.83677162586446</v>
      </c>
      <c r="N17" s="529">
        <f ca="1">'[8]Podklady MZ'!N57</f>
        <v>886.1108416656341</v>
      </c>
      <c r="O17" s="529">
        <f ca="1">'[8]Podklady MZ'!O57</f>
        <v>1080.0000000000002</v>
      </c>
      <c r="P17" s="589">
        <f ca="1">SUM(D17:O17)</f>
        <v>8078.2055908073735</v>
      </c>
    </row>
    <row r="18" spans="1:16" ht="18" customHeight="1" x14ac:dyDescent="0.2">
      <c r="A18" s="874"/>
      <c r="B18" s="98" t="s">
        <v>71</v>
      </c>
      <c r="C18" s="567" t="s">
        <v>284</v>
      </c>
      <c r="D18" s="542">
        <f ca="1">'[8]Podklady MZ'!D58</f>
        <v>12354.778819681072</v>
      </c>
      <c r="E18" s="542">
        <f ca="1">'[8]Podklady MZ'!E58</f>
        <v>10876.244325104813</v>
      </c>
      <c r="F18" s="569">
        <f ca="1">'[8]Podklady MZ'!F58</f>
        <v>9582.4959033788018</v>
      </c>
      <c r="G18" s="542">
        <f ca="1">'[8]Podklady MZ'!G58</f>
        <v>6886.6362804260079</v>
      </c>
      <c r="H18" s="529">
        <f ca="1">'[8]Podklady MZ'!H58</f>
        <v>4272.8457480148054</v>
      </c>
      <c r="I18" s="544">
        <f ca="1">'[8]Podklady MZ'!I58</f>
        <v>3415.9670246600913</v>
      </c>
      <c r="J18" s="529">
        <f ca="1">'[8]Podklady MZ'!J58</f>
        <v>3229.4599120669359</v>
      </c>
      <c r="K18" s="529">
        <f ca="1">'[8]Podklady MZ'!K58</f>
        <v>3203.4302717533501</v>
      </c>
      <c r="L18" s="544">
        <f ca="1">'[8]Podklady MZ'!L58</f>
        <v>3848.1408577221891</v>
      </c>
      <c r="M18" s="529">
        <f ca="1">'[8]Podklady MZ'!M58</f>
        <v>7464.1255533579515</v>
      </c>
      <c r="N18" s="529">
        <f ca="1">'[8]Podklady MZ'!N58</f>
        <v>9392.774921655724</v>
      </c>
      <c r="O18" s="529">
        <f ca="1">'[8]Podklady MZ'!O58</f>
        <v>11470</v>
      </c>
      <c r="P18" s="589">
        <f ca="1">SUM(D18:O18)</f>
        <v>85996.899617821749</v>
      </c>
    </row>
    <row r="19" spans="1:16" ht="18" customHeight="1" x14ac:dyDescent="0.2">
      <c r="A19" s="874"/>
      <c r="B19" s="98" t="s">
        <v>244</v>
      </c>
      <c r="C19" s="575" t="s">
        <v>233</v>
      </c>
      <c r="D19" s="542">
        <f ca="1">'[8]Podklady MZ'!D59</f>
        <v>-2</v>
      </c>
      <c r="E19" s="542">
        <f ca="1">'[8]Podklady MZ'!E59</f>
        <v>-0.7</v>
      </c>
      <c r="F19" s="569">
        <f ca="1">'[8]Podklady MZ'!F59</f>
        <v>3.3</v>
      </c>
      <c r="G19" s="542">
        <f ca="1">'[8]Podklady MZ'!G59</f>
        <v>7.6</v>
      </c>
      <c r="H19" s="529">
        <f ca="1">'[8]Podklady MZ'!H59</f>
        <v>13</v>
      </c>
      <c r="I19" s="544">
        <f ca="1">'[8]Podklady MZ'!I59</f>
        <v>15.8</v>
      </c>
      <c r="J19" s="529">
        <f ca="1">'[8]Podklady MZ'!J59</f>
        <v>17.5</v>
      </c>
      <c r="K19" s="529">
        <f ca="1">'[8]Podklady MZ'!K59</f>
        <v>17.2</v>
      </c>
      <c r="L19" s="544">
        <f ca="1">'[8]Podklady MZ'!L59</f>
        <v>13</v>
      </c>
      <c r="M19" s="529">
        <f ca="1">'[8]Podklady MZ'!M59</f>
        <v>8</v>
      </c>
      <c r="N19" s="529">
        <f ca="1">'[8]Podklady MZ'!N59</f>
        <v>2.6</v>
      </c>
      <c r="O19" s="529">
        <f ca="1">'[8]Podklady MZ'!O59</f>
        <v>-0.4</v>
      </c>
      <c r="P19" s="589">
        <f ca="1">AVERAGE(D19:O19)</f>
        <v>7.9083333333333323</v>
      </c>
    </row>
    <row r="20" spans="1:16" ht="9" customHeight="1" x14ac:dyDescent="0.2">
      <c r="A20" s="875"/>
      <c r="B20" s="510"/>
      <c r="C20" s="530"/>
      <c r="D20" s="531"/>
      <c r="E20" s="531"/>
      <c r="F20" s="532"/>
      <c r="G20" s="531"/>
      <c r="H20" s="533"/>
      <c r="I20" s="534"/>
      <c r="J20" s="533"/>
      <c r="K20" s="533"/>
      <c r="L20" s="534"/>
      <c r="M20" s="533"/>
      <c r="N20" s="533"/>
      <c r="O20" s="533"/>
      <c r="P20" s="590"/>
    </row>
    <row r="21" spans="1:16" ht="9" customHeight="1" x14ac:dyDescent="0.2">
      <c r="A21" s="616"/>
      <c r="B21" s="98"/>
      <c r="C21" s="567"/>
      <c r="D21" s="542"/>
      <c r="E21" s="542"/>
      <c r="F21" s="542"/>
      <c r="G21" s="543"/>
      <c r="H21" s="529"/>
      <c r="I21" s="544"/>
      <c r="J21" s="529"/>
      <c r="K21" s="529"/>
      <c r="L21" s="529"/>
      <c r="M21" s="24"/>
      <c r="N21" s="529"/>
      <c r="O21" s="529"/>
      <c r="P21" s="589"/>
    </row>
    <row r="22" spans="1:16" ht="14.1" customHeight="1" x14ac:dyDescent="0.2"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742"/>
    </row>
    <row r="23" spans="1:16" ht="14.1" customHeight="1" x14ac:dyDescent="0.2"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</row>
    <row r="24" spans="1:16" ht="14.1" customHeight="1" x14ac:dyDescent="0.2"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</row>
    <row r="25" spans="1:16" ht="14.1" customHeight="1" x14ac:dyDescent="0.2"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</row>
    <row r="26" spans="1:16" ht="14.1" customHeight="1" x14ac:dyDescent="0.2">
      <c r="D26" s="500">
        <v>1</v>
      </c>
      <c r="E26" s="500">
        <v>2</v>
      </c>
      <c r="F26" s="500">
        <v>3</v>
      </c>
      <c r="G26" s="500">
        <v>4</v>
      </c>
      <c r="H26" s="500">
        <v>5</v>
      </c>
      <c r="I26" s="500">
        <v>6</v>
      </c>
      <c r="J26" s="500">
        <v>7</v>
      </c>
      <c r="K26" s="500">
        <v>8</v>
      </c>
      <c r="L26" s="500">
        <v>9</v>
      </c>
      <c r="M26" s="500">
        <v>10</v>
      </c>
      <c r="N26" s="500">
        <v>11</v>
      </c>
      <c r="O26" s="500">
        <v>12</v>
      </c>
      <c r="P26" s="500"/>
    </row>
    <row r="27" spans="1:16" ht="14.1" customHeight="1" x14ac:dyDescent="0.2">
      <c r="D27" s="500" t="s">
        <v>30</v>
      </c>
      <c r="E27" s="500" t="s">
        <v>31</v>
      </c>
      <c r="F27" s="500" t="s">
        <v>32</v>
      </c>
      <c r="G27" s="500" t="s">
        <v>33</v>
      </c>
      <c r="H27" s="500" t="s">
        <v>34</v>
      </c>
      <c r="I27" s="500" t="s">
        <v>35</v>
      </c>
      <c r="J27" s="500" t="s">
        <v>36</v>
      </c>
      <c r="K27" s="500" t="s">
        <v>37</v>
      </c>
      <c r="L27" s="500" t="s">
        <v>38</v>
      </c>
      <c r="M27" s="500" t="s">
        <v>39</v>
      </c>
      <c r="N27" s="500" t="s">
        <v>40</v>
      </c>
      <c r="O27" s="500" t="s">
        <v>41</v>
      </c>
      <c r="P27" s="500"/>
    </row>
    <row r="28" spans="1:16" x14ac:dyDescent="0.2">
      <c r="C28" s="621" t="s">
        <v>90</v>
      </c>
      <c r="D28" s="500">
        <f>D7</f>
        <v>1120</v>
      </c>
      <c r="E28" s="500">
        <f t="shared" ref="E28:O28" si="0">E7</f>
        <v>1000</v>
      </c>
      <c r="F28" s="500">
        <f t="shared" si="0"/>
        <v>910</v>
      </c>
      <c r="G28" s="500">
        <f t="shared" si="0"/>
        <v>630</v>
      </c>
      <c r="H28" s="500">
        <f t="shared" si="0"/>
        <v>400</v>
      </c>
      <c r="I28" s="500">
        <f t="shared" si="0"/>
        <v>310</v>
      </c>
      <c r="J28" s="500">
        <f t="shared" si="0"/>
        <v>290</v>
      </c>
      <c r="K28" s="500">
        <f t="shared" si="0"/>
        <v>290</v>
      </c>
      <c r="L28" s="500">
        <f t="shared" si="0"/>
        <v>380</v>
      </c>
      <c r="M28" s="500">
        <f t="shared" si="0"/>
        <v>650</v>
      </c>
      <c r="N28" s="500">
        <f t="shared" si="0"/>
        <v>920</v>
      </c>
      <c r="O28" s="500">
        <f t="shared" si="0"/>
        <v>1080</v>
      </c>
      <c r="P28" s="500"/>
    </row>
    <row r="29" spans="1:16" x14ac:dyDescent="0.2">
      <c r="C29" s="621" t="s">
        <v>88</v>
      </c>
      <c r="D29" s="500">
        <f ca="1">D12</f>
        <v>1081.280644710429</v>
      </c>
      <c r="E29" s="500">
        <f ca="1">IF(T!$A$4&gt;=E$26,E12,0)</f>
        <v>989.86689164730865</v>
      </c>
      <c r="F29" s="500">
        <f ca="1">IF(T!$A$4&gt;=F$26,F12,0)</f>
        <v>865.53252041105134</v>
      </c>
      <c r="G29" s="500">
        <f ca="1">IF(T!$A$4&gt;=G$26,G12,0)</f>
        <v>622.80856614391325</v>
      </c>
      <c r="H29" s="500">
        <f ca="1">IF(T!$A$4&gt;=H$26,H12,0)</f>
        <v>404.77237581362579</v>
      </c>
      <c r="I29" s="500">
        <f ca="1">IF(T!$A$4&gt;=I$26,I12,0)</f>
        <v>314.40782647711256</v>
      </c>
      <c r="J29" s="500">
        <f ca="1">IF(T!$A$4&gt;=J$26,J12,0)</f>
        <v>298.38639432190473</v>
      </c>
      <c r="K29" s="500">
        <f ca="1">IF(T!$A$4&gt;=K$26,K12,0)</f>
        <v>277.51120821690495</v>
      </c>
      <c r="L29" s="500">
        <f ca="1">IF(T!$A$4&gt;=L$26,L12,0)</f>
        <v>352.96079611407475</v>
      </c>
      <c r="M29" s="500">
        <f ca="1">IF(T!$A$4&gt;=M$26,M12,0)</f>
        <v>692.3772462549789</v>
      </c>
      <c r="N29" s="500">
        <f ca="1">IF(T!$A$4&gt;=N$26,N12,0)</f>
        <v>0</v>
      </c>
      <c r="O29" s="500">
        <f ca="1">IF(T!$A$4&gt;=O$26,O12,0)</f>
        <v>0</v>
      </c>
      <c r="P29" s="500"/>
    </row>
    <row r="30" spans="1:16" x14ac:dyDescent="0.2">
      <c r="C30" s="621" t="s">
        <v>89</v>
      </c>
      <c r="D30" s="500">
        <f ca="1">D17</f>
        <v>1162.3827182199684</v>
      </c>
      <c r="E30" s="500">
        <f ca="1">IF(T!$A$4&gt;=E$26,E17,0)</f>
        <v>1022.8621044614633</v>
      </c>
      <c r="F30" s="500">
        <f ca="1">IF(T!$A$4&gt;=F$26,F17,0)</f>
        <v>901.33118683539692</v>
      </c>
      <c r="G30" s="500">
        <f ca="1">IF(T!$A$4&gt;=G$26,G17,0)</f>
        <v>647.29636373718301</v>
      </c>
      <c r="H30" s="500">
        <f ca="1">IF(T!$A$4&gt;=H$26,H17,0)</f>
        <v>399.23311790096943</v>
      </c>
      <c r="I30" s="500">
        <f ca="1">IF(T!$A$4&gt;=I$26,I17,0)</f>
        <v>318.95062063632389</v>
      </c>
      <c r="J30" s="500">
        <f ca="1">IF(T!$A$4&gt;=J$26,J17,0)</f>
        <v>302.4372465189378</v>
      </c>
      <c r="K30" s="500">
        <f ca="1">IF(T!$A$4&gt;=K$26,K17,0)</f>
        <v>299.01838851541652</v>
      </c>
      <c r="L30" s="500">
        <f ca="1">IF(T!$A$4&gt;=L$26,L17,0)</f>
        <v>359.74623069021459</v>
      </c>
      <c r="M30" s="500">
        <f ca="1">IF(T!$A$4&gt;=M$26,M17,0)</f>
        <v>698.83677162586446</v>
      </c>
      <c r="N30" s="500">
        <f ca="1">IF(T!$A$4&gt;=N$26,N17,0)</f>
        <v>0</v>
      </c>
      <c r="O30" s="500">
        <f ca="1">IF(T!$A$4&gt;=O$26,O17,0)</f>
        <v>0</v>
      </c>
      <c r="P30" s="500"/>
    </row>
    <row r="31" spans="1:16" x14ac:dyDescent="0.2"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</row>
    <row r="32" spans="1:16" x14ac:dyDescent="0.2"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</row>
    <row r="33" spans="1:16" x14ac:dyDescent="0.2"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</row>
    <row r="34" spans="1:16" x14ac:dyDescent="0.2"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</row>
    <row r="35" spans="1:16" x14ac:dyDescent="0.2"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</row>
    <row r="36" spans="1:16" x14ac:dyDescent="0.2"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</row>
    <row r="40" spans="1:16" ht="5.0999999999999996" customHeight="1" x14ac:dyDescent="0.2">
      <c r="A40" s="183"/>
      <c r="B40" s="183"/>
      <c r="C40" s="183"/>
      <c r="D40" s="752"/>
      <c r="E40" s="183"/>
      <c r="F40" s="51"/>
    </row>
    <row r="41" spans="1:16" x14ac:dyDescent="0.2">
      <c r="A41" s="902" t="s">
        <v>288</v>
      </c>
      <c r="B41" s="902"/>
      <c r="C41" s="902"/>
      <c r="D41" s="902"/>
      <c r="E41" s="902"/>
      <c r="F41" s="902"/>
      <c r="G41" s="902"/>
      <c r="H41" s="902"/>
      <c r="I41" s="902"/>
      <c r="J41" s="902"/>
      <c r="K41" s="902"/>
      <c r="L41" s="902"/>
      <c r="M41" s="902"/>
      <c r="N41" s="902"/>
      <c r="O41" s="902"/>
      <c r="P41" s="902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4" zoomScaleNormal="100" zoomScaleSheetLayoutView="100" workbookViewId="0"/>
  </sheetViews>
  <sheetFormatPr defaultRowHeight="11.25" x14ac:dyDescent="0.2"/>
  <cols>
    <col min="1" max="1" width="0.85546875" style="621" customWidth="1"/>
    <col min="2" max="2" width="9.7109375" style="621" customWidth="1"/>
    <col min="3" max="3" width="6.7109375" style="621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1"/>
      <c r="J1" s="801"/>
      <c r="K1" s="801"/>
      <c r="L1" s="691"/>
    </row>
    <row r="2" spans="1:20" ht="24.75" customHeight="1" x14ac:dyDescent="0.25">
      <c r="B2" s="692"/>
      <c r="C2" s="914" t="s">
        <v>276</v>
      </c>
      <c r="D2" s="914"/>
      <c r="E2" s="914"/>
      <c r="F2" s="914"/>
      <c r="G2" s="914"/>
      <c r="H2" s="914"/>
      <c r="I2" s="914"/>
      <c r="J2" s="692"/>
      <c r="K2" s="692"/>
    </row>
    <row r="3" spans="1:20" ht="24.95" customHeight="1" x14ac:dyDescent="0.2">
      <c r="A3" s="693"/>
      <c r="B3" s="694"/>
      <c r="C3" s="914"/>
      <c r="D3" s="914"/>
      <c r="E3" s="914"/>
      <c r="F3" s="914"/>
      <c r="G3" s="914"/>
      <c r="H3" s="914"/>
      <c r="I3" s="914"/>
      <c r="J3" s="695"/>
      <c r="K3" s="696"/>
    </row>
    <row r="4" spans="1:20" ht="24.95" customHeight="1" x14ac:dyDescent="0.2">
      <c r="A4" s="697"/>
      <c r="B4" s="694"/>
      <c r="C4" s="694"/>
      <c r="D4" s="915"/>
      <c r="E4" s="915"/>
      <c r="F4" s="915"/>
      <c r="G4" s="915"/>
      <c r="H4" s="698"/>
      <c r="I4" s="695"/>
      <c r="J4" s="695"/>
      <c r="K4" s="699"/>
    </row>
    <row r="5" spans="1:20" ht="24.95" customHeight="1" x14ac:dyDescent="0.2">
      <c r="A5" s="697"/>
      <c r="B5" s="916" t="s">
        <v>254</v>
      </c>
      <c r="C5" s="916"/>
      <c r="D5" s="700" t="s">
        <v>255</v>
      </c>
      <c r="E5" s="917" t="s">
        <v>256</v>
      </c>
      <c r="F5" s="918"/>
      <c r="G5" s="701"/>
      <c r="H5" s="702" t="s">
        <v>135</v>
      </c>
      <c r="I5" s="916" t="s">
        <v>257</v>
      </c>
      <c r="J5" s="916"/>
      <c r="K5" s="699"/>
      <c r="N5" s="703"/>
    </row>
    <row r="6" spans="1:20" ht="24.95" customHeight="1" x14ac:dyDescent="0.2">
      <c r="A6" s="697"/>
      <c r="B6" s="916"/>
      <c r="C6" s="916"/>
      <c r="D6" s="704"/>
      <c r="E6" s="705"/>
      <c r="F6" s="705"/>
      <c r="G6" s="697"/>
      <c r="H6" s="697"/>
      <c r="I6" s="916"/>
      <c r="J6" s="916"/>
      <c r="K6" s="699"/>
      <c r="M6" s="706"/>
      <c r="N6" s="703"/>
    </row>
    <row r="7" spans="1:20" ht="24.95" customHeight="1" x14ac:dyDescent="0.2">
      <c r="A7" s="697"/>
      <c r="B7" s="707"/>
      <c r="C7" s="707"/>
      <c r="D7" s="708"/>
      <c r="E7" s="708"/>
      <c r="F7" s="919"/>
      <c r="G7" s="919"/>
      <c r="H7" s="919"/>
      <c r="I7" s="919"/>
      <c r="J7" s="707"/>
      <c r="K7" s="699"/>
      <c r="M7" s="706"/>
      <c r="N7" s="703"/>
    </row>
    <row r="8" spans="1:20" ht="24.95" customHeight="1" x14ac:dyDescent="0.2">
      <c r="A8" s="697"/>
      <c r="B8" s="920"/>
      <c r="C8" s="920"/>
      <c r="D8" s="708"/>
      <c r="E8" s="708"/>
      <c r="F8" s="921"/>
      <c r="G8" s="922"/>
      <c r="H8" s="16"/>
      <c r="I8" s="909" t="s">
        <v>260</v>
      </c>
      <c r="J8" s="909"/>
      <c r="K8" s="699"/>
      <c r="M8" s="706"/>
      <c r="N8" s="703"/>
      <c r="O8" s="70"/>
    </row>
    <row r="9" spans="1:20" ht="24.95" customHeight="1" x14ac:dyDescent="0.2">
      <c r="A9" s="697"/>
      <c r="B9" s="916" t="s">
        <v>258</v>
      </c>
      <c r="C9" s="916"/>
      <c r="D9" s="709" t="s">
        <v>259</v>
      </c>
      <c r="F9" s="922"/>
      <c r="G9" s="922"/>
      <c r="H9" s="697"/>
      <c r="I9" s="909"/>
      <c r="J9" s="909"/>
      <c r="K9" s="699"/>
      <c r="N9" s="703"/>
      <c r="O9" s="70"/>
    </row>
    <row r="10" spans="1:20" ht="24.95" customHeight="1" x14ac:dyDescent="0.2">
      <c r="A10" s="697"/>
      <c r="B10" s="916"/>
      <c r="C10" s="916"/>
      <c r="D10" s="710"/>
      <c r="E10" s="711" t="s">
        <v>261</v>
      </c>
      <c r="F10" s="712"/>
      <c r="G10" s="697"/>
      <c r="H10" s="697"/>
      <c r="L10" s="16"/>
      <c r="M10" s="706"/>
      <c r="N10" s="703"/>
      <c r="O10" s="70"/>
      <c r="P10" s="703"/>
      <c r="R10" s="703"/>
      <c r="S10" s="703"/>
      <c r="T10" s="703"/>
    </row>
    <row r="11" spans="1:20" ht="24.95" customHeight="1" x14ac:dyDescent="0.2">
      <c r="A11" s="697"/>
      <c r="D11" s="710"/>
      <c r="E11" s="916" t="s">
        <v>262</v>
      </c>
      <c r="F11" s="916"/>
      <c r="G11" s="713"/>
      <c r="H11" s="713"/>
      <c r="I11" s="924" t="s">
        <v>85</v>
      </c>
      <c r="J11" s="924"/>
      <c r="K11" s="924"/>
      <c r="L11" s="16"/>
      <c r="N11" s="703"/>
      <c r="O11" s="70"/>
      <c r="P11" s="703"/>
      <c r="R11" s="703"/>
      <c r="S11" s="703"/>
      <c r="T11" s="703"/>
    </row>
    <row r="12" spans="1:20" ht="24.95" customHeight="1" x14ac:dyDescent="0.2">
      <c r="A12" s="697"/>
      <c r="B12" s="920"/>
      <c r="C12" s="920"/>
      <c r="D12" s="714"/>
      <c r="E12" s="916"/>
      <c r="F12" s="916"/>
      <c r="I12" s="924"/>
      <c r="J12" s="924"/>
      <c r="K12" s="924"/>
      <c r="L12" s="16"/>
      <c r="N12" s="703"/>
      <c r="O12" s="703"/>
      <c r="P12" s="703"/>
      <c r="Q12" s="70"/>
      <c r="R12" s="703"/>
      <c r="S12" s="703"/>
      <c r="T12" s="703"/>
    </row>
    <row r="13" spans="1:20" ht="24.95" customHeight="1" x14ac:dyDescent="0.2">
      <c r="A13" s="697"/>
      <c r="B13" s="916" t="s">
        <v>263</v>
      </c>
      <c r="C13" s="916"/>
      <c r="D13" s="714" t="s">
        <v>264</v>
      </c>
      <c r="K13" s="694"/>
      <c r="L13" s="16"/>
      <c r="N13" s="703"/>
      <c r="O13" s="703"/>
      <c r="P13" s="703"/>
      <c r="R13" s="703"/>
      <c r="S13" s="703"/>
      <c r="T13" s="703"/>
    </row>
    <row r="14" spans="1:20" ht="24.95" customHeight="1" x14ac:dyDescent="0.2">
      <c r="A14" s="697"/>
      <c r="B14" s="916"/>
      <c r="C14" s="916"/>
      <c r="I14" s="916" t="s">
        <v>294</v>
      </c>
      <c r="J14" s="916"/>
      <c r="K14" s="694"/>
      <c r="L14" s="16"/>
      <c r="N14" s="703"/>
      <c r="O14" s="703"/>
      <c r="P14" s="703"/>
      <c r="Q14" s="70"/>
      <c r="R14" s="703"/>
      <c r="S14" s="703"/>
      <c r="T14" s="703"/>
    </row>
    <row r="15" spans="1:20" ht="24.95" customHeight="1" x14ac:dyDescent="0.2">
      <c r="A15" s="697"/>
      <c r="E15" s="94"/>
      <c r="F15" s="715"/>
      <c r="G15" s="716"/>
      <c r="I15" s="916"/>
      <c r="J15" s="916"/>
      <c r="K15" s="699"/>
      <c r="L15" s="16"/>
      <c r="N15" s="703"/>
      <c r="O15" s="703"/>
      <c r="P15" s="703"/>
      <c r="R15" s="703"/>
      <c r="S15" s="703"/>
      <c r="T15" s="703"/>
    </row>
    <row r="16" spans="1:20" ht="24.95" customHeight="1" x14ac:dyDescent="0.2">
      <c r="A16" s="697"/>
      <c r="D16" s="697"/>
      <c r="H16" s="774"/>
      <c r="L16" s="16"/>
      <c r="N16" s="703"/>
      <c r="O16" s="703"/>
      <c r="P16" s="703"/>
      <c r="Q16" s="70"/>
      <c r="R16" s="703"/>
      <c r="S16" s="703"/>
      <c r="T16" s="703"/>
    </row>
    <row r="17" spans="1:20" ht="24.95" customHeight="1" x14ac:dyDescent="0.2">
      <c r="A17" s="697"/>
      <c r="B17" s="920"/>
      <c r="C17" s="920"/>
      <c r="D17" s="717"/>
      <c r="H17" s="774"/>
      <c r="I17" s="910" t="s">
        <v>265</v>
      </c>
      <c r="J17" s="910"/>
      <c r="K17" s="699"/>
      <c r="L17" s="718"/>
      <c r="M17" s="70"/>
      <c r="N17" s="70"/>
      <c r="O17" s="70"/>
      <c r="P17" s="703"/>
      <c r="R17" s="703"/>
      <c r="S17" s="703"/>
      <c r="T17" s="703"/>
    </row>
    <row r="18" spans="1:20" ht="24.95" customHeight="1" x14ac:dyDescent="0.2">
      <c r="A18" s="699"/>
      <c r="B18" s="923" t="s">
        <v>266</v>
      </c>
      <c r="C18" s="923"/>
      <c r="D18" s="719" t="s">
        <v>267</v>
      </c>
      <c r="E18" s="694"/>
      <c r="F18" s="694"/>
      <c r="I18" s="910"/>
      <c r="J18" s="910"/>
      <c r="K18" s="699"/>
      <c r="N18" s="703"/>
      <c r="O18" s="703"/>
      <c r="P18" s="703"/>
      <c r="R18" s="703"/>
      <c r="S18" s="703"/>
      <c r="T18" s="703"/>
    </row>
    <row r="19" spans="1:20" ht="24.95" customHeight="1" x14ac:dyDescent="0.2">
      <c r="A19" s="720"/>
      <c r="B19" s="923"/>
      <c r="C19" s="923"/>
      <c r="D19" s="721"/>
      <c r="E19" s="711" t="s">
        <v>268</v>
      </c>
      <c r="F19" s="722"/>
      <c r="G19" s="697"/>
      <c r="H19" s="697"/>
      <c r="I19" s="925"/>
      <c r="J19" s="925"/>
      <c r="K19" s="720"/>
      <c r="N19" s="703"/>
      <c r="O19" s="70"/>
      <c r="T19" s="703"/>
    </row>
    <row r="20" spans="1:20" ht="24.95" customHeight="1" x14ac:dyDescent="0.2">
      <c r="A20" s="720"/>
      <c r="B20" s="926"/>
      <c r="C20" s="926"/>
      <c r="D20" s="721"/>
      <c r="E20" s="923" t="s">
        <v>269</v>
      </c>
      <c r="F20" s="923"/>
      <c r="I20" s="923" t="s">
        <v>292</v>
      </c>
      <c r="J20" s="923"/>
      <c r="K20" s="720"/>
      <c r="M20" s="70"/>
      <c r="N20" s="703"/>
      <c r="P20" s="70"/>
      <c r="T20" s="703"/>
    </row>
    <row r="21" spans="1:20" ht="24.95" customHeight="1" x14ac:dyDescent="0.2">
      <c r="A21" s="720"/>
      <c r="B21" s="926"/>
      <c r="C21" s="926"/>
      <c r="D21" s="721"/>
      <c r="E21" s="923"/>
      <c r="F21" s="923"/>
      <c r="I21" s="923"/>
      <c r="J21" s="923"/>
      <c r="K21" s="720"/>
      <c r="M21" s="70"/>
      <c r="N21" s="703"/>
      <c r="O21" s="70"/>
    </row>
    <row r="22" spans="1:20" ht="24.95" customHeight="1" x14ac:dyDescent="0.2">
      <c r="B22" s="923" t="s">
        <v>270</v>
      </c>
      <c r="C22" s="923"/>
      <c r="D22" s="723" t="s">
        <v>271</v>
      </c>
      <c r="K22" s="724"/>
      <c r="N22" s="703"/>
    </row>
    <row r="23" spans="1:20" ht="24.95" customHeight="1" x14ac:dyDescent="0.2">
      <c r="B23" s="923"/>
      <c r="C23" s="923"/>
      <c r="D23" s="725"/>
      <c r="H23" s="774"/>
      <c r="I23" s="912" t="s">
        <v>291</v>
      </c>
      <c r="J23" s="913"/>
      <c r="K23" s="724"/>
      <c r="L23" s="706"/>
    </row>
    <row r="24" spans="1:20" ht="24.95" customHeight="1" x14ac:dyDescent="0.2">
      <c r="A24" s="726"/>
      <c r="B24" s="726"/>
      <c r="C24" s="726"/>
      <c r="D24" s="726"/>
      <c r="F24" s="910" t="s">
        <v>272</v>
      </c>
      <c r="G24" s="910"/>
      <c r="H24" s="774"/>
      <c r="I24" s="912"/>
      <c r="J24" s="913"/>
      <c r="K24" s="724"/>
      <c r="M24" s="70"/>
      <c r="O24" s="70"/>
    </row>
    <row r="25" spans="1:20" ht="24.95" customHeight="1" x14ac:dyDescent="0.2">
      <c r="A25" s="726"/>
      <c r="D25" s="726"/>
      <c r="E25" s="777"/>
      <c r="F25" s="910"/>
      <c r="G25" s="910"/>
      <c r="H25" s="694"/>
      <c r="K25" s="724"/>
    </row>
    <row r="26" spans="1:20" ht="24.95" customHeight="1" x14ac:dyDescent="0.2">
      <c r="A26" s="726"/>
      <c r="I26" s="912" t="s">
        <v>274</v>
      </c>
      <c r="J26" s="911"/>
      <c r="K26" s="724"/>
      <c r="M26" s="70"/>
      <c r="N26" s="70"/>
    </row>
    <row r="27" spans="1:20" ht="24.95" customHeight="1" x14ac:dyDescent="0.2">
      <c r="A27" s="726"/>
      <c r="B27" s="928"/>
      <c r="C27" s="928"/>
      <c r="D27" s="928"/>
      <c r="E27" s="776"/>
      <c r="F27" s="776"/>
      <c r="I27" s="912"/>
      <c r="J27" s="911"/>
      <c r="M27" s="70"/>
      <c r="N27" s="70"/>
    </row>
    <row r="28" spans="1:20" ht="24.95" customHeight="1" x14ac:dyDescent="0.2">
      <c r="E28" s="776"/>
      <c r="F28" s="776"/>
    </row>
    <row r="29" spans="1:20" ht="24.95" customHeight="1" x14ac:dyDescent="0.2">
      <c r="F29" s="929"/>
      <c r="G29" s="929"/>
      <c r="H29" s="775"/>
      <c r="I29" s="775"/>
    </row>
    <row r="30" spans="1:20" ht="10.5" customHeight="1" x14ac:dyDescent="0.2">
      <c r="G30" s="920"/>
      <c r="H30" s="920"/>
    </row>
    <row r="31" spans="1:20" ht="24.95" customHeight="1" x14ac:dyDescent="0.2">
      <c r="F31" s="911" t="s">
        <v>275</v>
      </c>
      <c r="G31" s="911"/>
      <c r="I31" s="776"/>
      <c r="J31" s="776"/>
    </row>
    <row r="32" spans="1:20" ht="24.95" customHeight="1" x14ac:dyDescent="0.2">
      <c r="B32" s="726"/>
      <c r="C32" s="726"/>
      <c r="D32" s="726"/>
      <c r="E32" s="726"/>
      <c r="F32" s="911"/>
      <c r="G32" s="911"/>
      <c r="I32" s="776"/>
      <c r="J32" s="776"/>
      <c r="K32" s="726"/>
    </row>
    <row r="33" spans="1:11" ht="12.95" customHeight="1" x14ac:dyDescent="0.2"/>
    <row r="34" spans="1:11" ht="12.95" customHeight="1" x14ac:dyDescent="0.2">
      <c r="A34" s="930"/>
      <c r="B34" s="930"/>
      <c r="C34" s="930"/>
      <c r="D34" s="930"/>
      <c r="E34" s="930"/>
      <c r="F34" s="930"/>
      <c r="G34" s="930"/>
      <c r="H34" s="930"/>
      <c r="I34" s="930"/>
      <c r="J34" s="930"/>
      <c r="K34" s="930"/>
    </row>
    <row r="35" spans="1:11" ht="20.100000000000001" customHeight="1" x14ac:dyDescent="0.2">
      <c r="A35" s="927"/>
      <c r="B35" s="927"/>
      <c r="C35" s="927"/>
      <c r="D35" s="927"/>
      <c r="E35" s="927"/>
      <c r="F35" s="927"/>
      <c r="G35" s="927"/>
      <c r="H35" s="927"/>
      <c r="I35" s="927"/>
      <c r="J35" s="927"/>
      <c r="K35" s="927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79"/>
      <c r="F47" s="679"/>
      <c r="G47" s="679"/>
      <c r="H47" s="679"/>
    </row>
    <row r="48" spans="1:11" ht="15" customHeight="1" x14ac:dyDescent="0.2">
      <c r="E48" s="679"/>
      <c r="F48" s="679"/>
      <c r="G48" s="679"/>
      <c r="H48" s="679"/>
    </row>
    <row r="49" spans="4:20" ht="15" customHeight="1" x14ac:dyDescent="0.2">
      <c r="E49" s="679"/>
      <c r="F49" s="679"/>
      <c r="G49" s="679"/>
      <c r="H49" s="679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1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1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1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1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1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1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1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1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1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1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1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1"/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</row>
    <row r="2" spans="1:14" ht="15.75" x14ac:dyDescent="0.25">
      <c r="A2" s="932" t="s">
        <v>273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29"/>
      <c r="C1" s="791" t="s">
        <v>49</v>
      </c>
    </row>
    <row r="2" spans="1:3" x14ac:dyDescent="0.2">
      <c r="A2" s="201"/>
      <c r="B2" s="229"/>
      <c r="C2" s="792"/>
    </row>
    <row r="3" spans="1:3" x14ac:dyDescent="0.2">
      <c r="A3" s="201"/>
      <c r="B3" s="229"/>
      <c r="C3" s="792"/>
    </row>
    <row r="4" spans="1:3" x14ac:dyDescent="0.2">
      <c r="A4" s="181"/>
      <c r="B4" s="229"/>
      <c r="C4" s="792"/>
    </row>
    <row r="5" spans="1:3" ht="30" customHeight="1" x14ac:dyDescent="0.2">
      <c r="A5" s="627" t="s">
        <v>97</v>
      </c>
      <c r="B5" s="622" t="s">
        <v>50</v>
      </c>
      <c r="C5" s="628" t="s">
        <v>184</v>
      </c>
    </row>
    <row r="6" spans="1:3" ht="30" customHeight="1" x14ac:dyDescent="0.2">
      <c r="A6" s="631" t="s">
        <v>199</v>
      </c>
      <c r="B6" s="226" t="s">
        <v>50</v>
      </c>
      <c r="C6" s="632" t="s">
        <v>185</v>
      </c>
    </row>
    <row r="7" spans="1:3" ht="30" customHeight="1" x14ac:dyDescent="0.2">
      <c r="A7" s="631" t="s">
        <v>167</v>
      </c>
      <c r="B7" s="226" t="s">
        <v>50</v>
      </c>
      <c r="C7" s="632" t="s">
        <v>186</v>
      </c>
    </row>
    <row r="8" spans="1:3" ht="30" customHeight="1" x14ac:dyDescent="0.2">
      <c r="A8" s="631" t="s">
        <v>171</v>
      </c>
      <c r="B8" s="226" t="s">
        <v>50</v>
      </c>
      <c r="C8" s="632" t="s">
        <v>187</v>
      </c>
    </row>
    <row r="9" spans="1:3" ht="30" customHeight="1" x14ac:dyDescent="0.2">
      <c r="A9" s="631" t="s">
        <v>281</v>
      </c>
      <c r="B9" s="226" t="s">
        <v>50</v>
      </c>
      <c r="C9" s="632" t="s">
        <v>188</v>
      </c>
    </row>
    <row r="10" spans="1:3" ht="30" customHeight="1" x14ac:dyDescent="0.2">
      <c r="A10" s="631" t="s">
        <v>172</v>
      </c>
      <c r="B10" s="226" t="s">
        <v>50</v>
      </c>
      <c r="C10" s="632" t="s">
        <v>189</v>
      </c>
    </row>
    <row r="11" spans="1:3" ht="30" customHeight="1" x14ac:dyDescent="0.2">
      <c r="A11" s="631" t="s">
        <v>282</v>
      </c>
      <c r="B11" s="226" t="s">
        <v>50</v>
      </c>
      <c r="C11" s="632" t="s">
        <v>190</v>
      </c>
    </row>
    <row r="12" spans="1:3" ht="30" customHeight="1" x14ac:dyDescent="0.2">
      <c r="A12" s="631" t="s">
        <v>173</v>
      </c>
      <c r="B12" s="226" t="s">
        <v>50</v>
      </c>
      <c r="C12" s="632" t="s">
        <v>191</v>
      </c>
    </row>
    <row r="13" spans="1:3" ht="30" customHeight="1" x14ac:dyDescent="0.2">
      <c r="A13" s="631" t="s">
        <v>174</v>
      </c>
      <c r="B13" s="226" t="s">
        <v>50</v>
      </c>
      <c r="C13" s="632" t="s">
        <v>192</v>
      </c>
    </row>
    <row r="14" spans="1:3" ht="30" customHeight="1" x14ac:dyDescent="0.2">
      <c r="A14" s="631" t="s">
        <v>175</v>
      </c>
      <c r="B14" s="226" t="s">
        <v>50</v>
      </c>
      <c r="C14" s="632" t="s">
        <v>193</v>
      </c>
    </row>
    <row r="15" spans="1:3" ht="30" customHeight="1" x14ac:dyDescent="0.2">
      <c r="A15" s="631" t="s">
        <v>176</v>
      </c>
      <c r="B15" s="226" t="s">
        <v>50</v>
      </c>
      <c r="C15" s="632" t="s">
        <v>194</v>
      </c>
    </row>
    <row r="16" spans="1:3" ht="30" customHeight="1" x14ac:dyDescent="0.2">
      <c r="A16" s="631" t="s">
        <v>82</v>
      </c>
      <c r="B16" s="226" t="s">
        <v>50</v>
      </c>
      <c r="C16" s="632" t="s">
        <v>195</v>
      </c>
    </row>
    <row r="17" spans="1:3" ht="30" customHeight="1" x14ac:dyDescent="0.2">
      <c r="A17" s="631" t="s">
        <v>250</v>
      </c>
      <c r="B17" s="226" t="s">
        <v>50</v>
      </c>
      <c r="C17" s="632" t="s">
        <v>196</v>
      </c>
    </row>
    <row r="18" spans="1:3" ht="30" customHeight="1" x14ac:dyDescent="0.2">
      <c r="A18" s="631" t="s">
        <v>251</v>
      </c>
      <c r="B18" s="226" t="s">
        <v>50</v>
      </c>
      <c r="C18" s="632" t="s">
        <v>197</v>
      </c>
    </row>
    <row r="19" spans="1:3" ht="30" customHeight="1" x14ac:dyDescent="0.2">
      <c r="A19" s="631" t="s">
        <v>277</v>
      </c>
      <c r="B19" s="778" t="s">
        <v>50</v>
      </c>
      <c r="C19" s="632" t="s">
        <v>198</v>
      </c>
    </row>
    <row r="20" spans="1:3" ht="30" customHeight="1" x14ac:dyDescent="0.2">
      <c r="A20" s="629" t="s">
        <v>273</v>
      </c>
      <c r="B20" s="727" t="s">
        <v>50</v>
      </c>
      <c r="C20" s="630" t="s">
        <v>252</v>
      </c>
    </row>
    <row r="21" spans="1:3" ht="23.1" customHeight="1" x14ac:dyDescent="0.2">
      <c r="A21" s="87"/>
      <c r="B21" s="230"/>
      <c r="C21" s="232"/>
    </row>
    <row r="22" spans="1:3" ht="23.1" customHeight="1" x14ac:dyDescent="0.2">
      <c r="A22" s="87"/>
      <c r="B22" s="230"/>
      <c r="C22" s="232"/>
    </row>
    <row r="23" spans="1:3" ht="23.1" customHeight="1" x14ac:dyDescent="0.2">
      <c r="A23" s="199"/>
      <c r="B23" s="230"/>
      <c r="C23" s="232"/>
    </row>
    <row r="24" spans="1:3" ht="23.1" customHeight="1" x14ac:dyDescent="0.2">
      <c r="A24" s="85"/>
      <c r="B24" s="231"/>
      <c r="C24" s="232"/>
    </row>
    <row r="25" spans="1:3" ht="23.1" customHeight="1" x14ac:dyDescent="0.2">
      <c r="A25" s="87"/>
      <c r="B25" s="230"/>
      <c r="C25" s="232"/>
    </row>
    <row r="26" spans="1:3" ht="23.1" customHeight="1" x14ac:dyDescent="0.2">
      <c r="A26" s="87"/>
      <c r="B26" s="230"/>
      <c r="C26" s="232"/>
    </row>
    <row r="27" spans="1:3" ht="23.1" customHeight="1" x14ac:dyDescent="0.2">
      <c r="A27" s="87"/>
      <c r="B27" s="230"/>
      <c r="C27" s="232"/>
    </row>
    <row r="28" spans="1:3" ht="23.1" customHeight="1" x14ac:dyDescent="0.2">
      <c r="A28" s="794"/>
      <c r="B28" s="794"/>
      <c r="C28" s="232"/>
    </row>
    <row r="29" spans="1:3" ht="23.1" customHeight="1" x14ac:dyDescent="0.2">
      <c r="A29" s="794"/>
      <c r="B29" s="794"/>
      <c r="C29" s="232"/>
    </row>
    <row r="30" spans="1:3" ht="23.1" customHeight="1" x14ac:dyDescent="0.2">
      <c r="A30" s="794"/>
      <c r="B30" s="794"/>
      <c r="C30" s="232"/>
    </row>
    <row r="31" spans="1:3" ht="23.1" customHeight="1" x14ac:dyDescent="0.2">
      <c r="A31" s="794"/>
      <c r="B31" s="794"/>
      <c r="C31" s="232"/>
    </row>
    <row r="32" spans="1:3" ht="30" customHeight="1" x14ac:dyDescent="0.2">
      <c r="A32" s="793"/>
      <c r="B32" s="793"/>
      <c r="C32" s="232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39"/>
  <sheetViews>
    <sheetView view="pageBreakPreview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98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7"/>
      <c r="B4" s="785"/>
      <c r="C4" s="786" t="s">
        <v>99</v>
      </c>
      <c r="D4" s="787"/>
    </row>
    <row r="5" spans="1:4" ht="24.95" customHeight="1" x14ac:dyDescent="0.2">
      <c r="A5" s="626" t="s">
        <v>100</v>
      </c>
      <c r="B5" s="226" t="s">
        <v>50</v>
      </c>
      <c r="C5" s="200" t="s">
        <v>4</v>
      </c>
      <c r="D5" s="784"/>
    </row>
    <row r="6" spans="1:4" ht="24.95" customHeight="1" x14ac:dyDescent="0.2">
      <c r="A6" s="626" t="s">
        <v>9</v>
      </c>
      <c r="B6" s="226" t="s">
        <v>50</v>
      </c>
      <c r="C6" s="200" t="s">
        <v>116</v>
      </c>
      <c r="D6" s="200"/>
    </row>
    <row r="7" spans="1:4" ht="24.95" customHeight="1" x14ac:dyDescent="0.2">
      <c r="A7" s="626" t="s">
        <v>130</v>
      </c>
      <c r="B7" s="226" t="s">
        <v>50</v>
      </c>
      <c r="C7" s="200" t="s">
        <v>131</v>
      </c>
      <c r="D7" s="200"/>
    </row>
    <row r="8" spans="1:4" ht="24.95" customHeight="1" x14ac:dyDescent="0.2">
      <c r="A8" s="626" t="s">
        <v>120</v>
      </c>
      <c r="B8" s="226" t="s">
        <v>50</v>
      </c>
      <c r="C8" s="200" t="s">
        <v>121</v>
      </c>
      <c r="D8" s="200"/>
    </row>
    <row r="9" spans="1:4" ht="24.95" customHeight="1" x14ac:dyDescent="0.2">
      <c r="A9" s="626" t="s">
        <v>122</v>
      </c>
      <c r="B9" s="226" t="s">
        <v>50</v>
      </c>
      <c r="C9" s="200" t="s">
        <v>123</v>
      </c>
      <c r="D9" s="200"/>
    </row>
    <row r="10" spans="1:4" ht="24.95" customHeight="1" x14ac:dyDescent="0.2">
      <c r="A10" s="626" t="s">
        <v>109</v>
      </c>
      <c r="B10" s="226" t="s">
        <v>50</v>
      </c>
      <c r="C10" s="200" t="s">
        <v>110</v>
      </c>
      <c r="D10" s="200"/>
    </row>
    <row r="11" spans="1:4" ht="24.95" customHeight="1" x14ac:dyDescent="0.2">
      <c r="A11" s="626" t="s">
        <v>132</v>
      </c>
      <c r="B11" s="226" t="s">
        <v>50</v>
      </c>
      <c r="C11" s="200" t="s">
        <v>133</v>
      </c>
      <c r="D11" s="200"/>
    </row>
    <row r="12" spans="1:4" ht="24.95" customHeight="1" x14ac:dyDescent="0.2">
      <c r="A12" s="626" t="s">
        <v>105</v>
      </c>
      <c r="B12" s="226" t="s">
        <v>50</v>
      </c>
      <c r="C12" s="200" t="s">
        <v>106</v>
      </c>
      <c r="D12" s="95"/>
    </row>
    <row r="13" spans="1:4" ht="24.95" customHeight="1" x14ac:dyDescent="0.2">
      <c r="A13" s="626" t="s">
        <v>8</v>
      </c>
      <c r="B13" s="226" t="s">
        <v>50</v>
      </c>
      <c r="C13" s="200" t="s">
        <v>113</v>
      </c>
      <c r="D13" s="200"/>
    </row>
    <row r="14" spans="1:4" ht="24.95" customHeight="1" x14ac:dyDescent="0.2">
      <c r="A14" s="626" t="s">
        <v>117</v>
      </c>
      <c r="B14" s="226" t="s">
        <v>50</v>
      </c>
      <c r="C14" s="200" t="s">
        <v>290</v>
      </c>
      <c r="D14" s="200"/>
    </row>
    <row r="15" spans="1:4" ht="24.95" customHeight="1" x14ac:dyDescent="0.2">
      <c r="A15" s="626" t="s">
        <v>124</v>
      </c>
      <c r="B15" s="226" t="s">
        <v>50</v>
      </c>
      <c r="C15" s="200" t="s">
        <v>125</v>
      </c>
      <c r="D15" s="200"/>
    </row>
    <row r="16" spans="1:4" ht="24.95" customHeight="1" x14ac:dyDescent="0.2">
      <c r="A16" s="626" t="s">
        <v>112</v>
      </c>
      <c r="B16" s="226" t="s">
        <v>50</v>
      </c>
      <c r="C16" s="200" t="s">
        <v>111</v>
      </c>
      <c r="D16" s="200"/>
    </row>
    <row r="17" spans="1:4" ht="24.95" customHeight="1" x14ac:dyDescent="0.2">
      <c r="A17" s="626" t="s">
        <v>102</v>
      </c>
      <c r="B17" s="226" t="s">
        <v>50</v>
      </c>
      <c r="C17" s="200" t="s">
        <v>101</v>
      </c>
      <c r="D17" s="200"/>
    </row>
    <row r="18" spans="1:4" ht="24.95" customHeight="1" x14ac:dyDescent="0.2">
      <c r="A18" s="626" t="s">
        <v>104</v>
      </c>
      <c r="B18" s="226" t="s">
        <v>50</v>
      </c>
      <c r="C18" s="200" t="s">
        <v>103</v>
      </c>
      <c r="D18" s="200"/>
    </row>
    <row r="19" spans="1:4" ht="24.95" customHeight="1" x14ac:dyDescent="0.2">
      <c r="A19" s="626" t="s">
        <v>7</v>
      </c>
      <c r="B19" s="226" t="s">
        <v>50</v>
      </c>
      <c r="C19" s="200" t="s">
        <v>115</v>
      </c>
      <c r="D19" s="200"/>
    </row>
    <row r="20" spans="1:4" ht="24.95" customHeight="1" x14ac:dyDescent="0.2">
      <c r="A20" s="626" t="s">
        <v>6</v>
      </c>
      <c r="B20" s="226" t="s">
        <v>50</v>
      </c>
      <c r="C20" s="200" t="s">
        <v>114</v>
      </c>
      <c r="D20" s="200"/>
    </row>
    <row r="21" spans="1:4" ht="24.95" customHeight="1" x14ac:dyDescent="0.2">
      <c r="A21" s="626" t="s">
        <v>128</v>
      </c>
      <c r="B21" s="226" t="s">
        <v>50</v>
      </c>
      <c r="C21" s="200" t="s">
        <v>129</v>
      </c>
      <c r="D21" s="200"/>
    </row>
    <row r="22" spans="1:4" ht="24.95" customHeight="1" x14ac:dyDescent="0.2">
      <c r="A22" s="626" t="s">
        <v>163</v>
      </c>
      <c r="B22" s="226" t="s">
        <v>50</v>
      </c>
      <c r="C22" s="200" t="s">
        <v>161</v>
      </c>
      <c r="D22" s="200"/>
    </row>
    <row r="23" spans="1:4" ht="24.95" customHeight="1" x14ac:dyDescent="0.2">
      <c r="A23" s="626" t="s">
        <v>201</v>
      </c>
      <c r="B23" s="226" t="s">
        <v>50</v>
      </c>
      <c r="C23" s="796" t="s">
        <v>202</v>
      </c>
      <c r="D23" s="796"/>
    </row>
    <row r="24" spans="1:4" ht="24.95" customHeight="1" x14ac:dyDescent="0.2">
      <c r="A24" s="623" t="s">
        <v>108</v>
      </c>
      <c r="B24" s="624" t="s">
        <v>50</v>
      </c>
      <c r="C24" s="625" t="s">
        <v>107</v>
      </c>
      <c r="D24" s="625"/>
    </row>
    <row r="25" spans="1:4" ht="18" customHeight="1" x14ac:dyDescent="0.2">
      <c r="A25" s="933"/>
      <c r="B25" s="226"/>
      <c r="C25" s="796"/>
      <c r="D25" s="796"/>
    </row>
    <row r="26" spans="1:4" ht="18" customHeight="1" x14ac:dyDescent="0.2">
      <c r="A26" s="235"/>
      <c r="B26" s="226"/>
      <c r="C26" s="156"/>
      <c r="D26" s="156"/>
    </row>
    <row r="27" spans="1:4" ht="23.1" customHeight="1" x14ac:dyDescent="0.2">
      <c r="A27" s="233"/>
      <c r="B27" s="227"/>
      <c r="C27" s="87"/>
      <c r="D27" s="87"/>
    </row>
    <row r="28" spans="1:4" ht="23.1" customHeight="1" x14ac:dyDescent="0.2">
      <c r="A28" s="233"/>
      <c r="B28" s="227"/>
      <c r="C28" s="87"/>
      <c r="D28" s="87"/>
    </row>
    <row r="29" spans="1:4" ht="23.1" customHeight="1" x14ac:dyDescent="0.2">
      <c r="A29" s="233"/>
      <c r="B29" s="227"/>
      <c r="C29" s="199"/>
      <c r="D29" s="199"/>
    </row>
    <row r="30" spans="1:4" ht="23.1" customHeight="1" x14ac:dyDescent="0.2">
      <c r="A30" s="234"/>
      <c r="B30" s="228"/>
      <c r="C30" s="85"/>
      <c r="D30" s="85"/>
    </row>
    <row r="31" spans="1:4" ht="23.1" customHeight="1" x14ac:dyDescent="0.2">
      <c r="A31" s="233"/>
      <c r="B31" s="227"/>
      <c r="C31" s="87"/>
      <c r="D31" s="87"/>
    </row>
    <row r="32" spans="1:4" ht="23.1" customHeight="1" x14ac:dyDescent="0.2">
      <c r="A32" s="233"/>
      <c r="B32" s="227"/>
      <c r="C32" s="87"/>
      <c r="D32" s="87"/>
    </row>
    <row r="33" spans="1:4" ht="23.1" customHeight="1" x14ac:dyDescent="0.2">
      <c r="A33" s="233"/>
      <c r="B33" s="227"/>
      <c r="C33" s="87"/>
      <c r="D33" s="87"/>
    </row>
    <row r="34" spans="1:4" ht="23.1" customHeight="1" x14ac:dyDescent="0.2">
      <c r="A34" s="233"/>
      <c r="B34" s="227"/>
      <c r="C34" s="794"/>
      <c r="D34" s="794"/>
    </row>
    <row r="35" spans="1:4" ht="21.75" customHeight="1" x14ac:dyDescent="0.2">
      <c r="A35" s="233"/>
      <c r="B35" s="227"/>
      <c r="C35" s="794"/>
      <c r="D35" s="794"/>
    </row>
    <row r="36" spans="1:4" ht="23.1" customHeight="1" x14ac:dyDescent="0.2">
      <c r="A36" s="86"/>
      <c r="B36" s="88"/>
      <c r="C36" s="794"/>
      <c r="D36" s="794"/>
    </row>
    <row r="37" spans="1:4" ht="23.1" customHeight="1" x14ac:dyDescent="0.2">
      <c r="A37" s="86"/>
      <c r="B37" s="88"/>
      <c r="C37" s="794"/>
      <c r="D37" s="794"/>
    </row>
    <row r="38" spans="1:4" ht="23.1" customHeight="1" x14ac:dyDescent="0.2">
      <c r="A38" s="86"/>
      <c r="B38" s="88"/>
      <c r="C38" s="794"/>
      <c r="D38" s="794"/>
    </row>
    <row r="39" spans="1:4" ht="30" customHeight="1" x14ac:dyDescent="0.2">
      <c r="A39" s="793"/>
      <c r="B39" s="793"/>
      <c r="C39" s="793"/>
      <c r="D39" s="793"/>
    </row>
  </sheetData>
  <sortState ref="A5:C24">
    <sortCondition ref="A5"/>
  </sortState>
  <mergeCells count="10">
    <mergeCell ref="C36:D36"/>
    <mergeCell ref="C37:D37"/>
    <mergeCell ref="C38:D38"/>
    <mergeCell ref="A39:D39"/>
    <mergeCell ref="C1:D1"/>
    <mergeCell ref="C34:D34"/>
    <mergeCell ref="C35:D35"/>
    <mergeCell ref="C25:D25"/>
    <mergeCell ref="A1:A4"/>
    <mergeCell ref="C23:D2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8"/>
      <c r="D5" s="799"/>
    </row>
    <row r="6" spans="1:4" ht="30" customHeight="1" x14ac:dyDescent="0.2">
      <c r="A6" s="23"/>
      <c r="B6" s="20"/>
      <c r="C6" s="798"/>
      <c r="D6" s="799"/>
    </row>
    <row r="7" spans="1:4" ht="30" customHeight="1" x14ac:dyDescent="0.2">
      <c r="A7" s="23"/>
      <c r="B7" s="20"/>
      <c r="C7" s="798"/>
      <c r="D7" s="799"/>
    </row>
    <row r="8" spans="1:4" ht="30" customHeight="1" x14ac:dyDescent="0.2">
      <c r="A8" s="23"/>
      <c r="B8" s="20"/>
      <c r="C8" s="798"/>
      <c r="D8" s="799"/>
    </row>
    <row r="9" spans="1:4" ht="30" customHeight="1" x14ac:dyDescent="0.2">
      <c r="A9" s="23"/>
      <c r="B9" s="20"/>
      <c r="C9" s="798"/>
      <c r="D9" s="799"/>
    </row>
    <row r="10" spans="1:4" ht="30" customHeight="1" x14ac:dyDescent="0.2">
      <c r="A10" s="23"/>
      <c r="B10" s="20"/>
      <c r="C10" s="798"/>
      <c r="D10" s="799"/>
    </row>
    <row r="11" spans="1:4" ht="30" customHeight="1" x14ac:dyDescent="0.2">
      <c r="A11" s="23"/>
      <c r="B11" s="20"/>
      <c r="C11" s="798"/>
      <c r="D11" s="799"/>
    </row>
    <row r="12" spans="1:4" ht="30" customHeight="1" x14ac:dyDescent="0.2">
      <c r="A12" s="23"/>
      <c r="B12" s="20"/>
      <c r="C12" s="798"/>
      <c r="D12" s="799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799"/>
      <c r="D33" s="799"/>
    </row>
    <row r="34" spans="1:4" ht="23.1" customHeight="1" x14ac:dyDescent="0.2">
      <c r="A34" s="6"/>
      <c r="B34" s="22"/>
      <c r="C34" s="799"/>
      <c r="D34" s="799"/>
    </row>
    <row r="35" spans="1:4" ht="23.1" customHeight="1" x14ac:dyDescent="0.2">
      <c r="A35" s="6"/>
      <c r="B35" s="22"/>
      <c r="C35" s="799"/>
      <c r="D35" s="799"/>
    </row>
    <row r="36" spans="1:4" ht="30" customHeight="1" x14ac:dyDescent="0.2">
      <c r="A36" s="793"/>
      <c r="B36" s="793"/>
      <c r="C36" s="793"/>
      <c r="D36" s="79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1" t="s">
        <v>51</v>
      </c>
      <c r="I1" s="801"/>
    </row>
    <row r="2" spans="1:18" ht="15.75" customHeight="1" x14ac:dyDescent="0.25">
      <c r="A2" s="802" t="s">
        <v>200</v>
      </c>
      <c r="B2" s="802"/>
      <c r="C2" s="802"/>
      <c r="D2" s="802"/>
      <c r="E2" s="802"/>
      <c r="F2" s="802"/>
      <c r="G2" s="802"/>
      <c r="H2" s="802"/>
      <c r="I2" s="802"/>
    </row>
    <row r="3" spans="1:18" ht="19.5" customHeight="1" x14ac:dyDescent="0.2">
      <c r="A3" s="139"/>
      <c r="B3" s="479"/>
      <c r="D3" s="222" t="str">
        <f>T!G19</f>
        <v>Říjen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0"/>
      <c r="C4" s="40"/>
      <c r="D4" s="29"/>
      <c r="E4" s="29"/>
      <c r="F4" s="29"/>
    </row>
    <row r="5" spans="1:18" ht="15" customHeight="1" x14ac:dyDescent="0.2">
      <c r="A5" s="803"/>
      <c r="B5" s="803"/>
      <c r="C5" s="140"/>
      <c r="D5" s="804" t="s">
        <v>15</v>
      </c>
      <c r="E5" s="805"/>
      <c r="F5" s="806"/>
      <c r="G5" s="804" t="s">
        <v>1</v>
      </c>
      <c r="H5" s="805"/>
      <c r="I5" s="805"/>
    </row>
    <row r="6" spans="1:18" ht="15" customHeight="1" x14ac:dyDescent="0.2">
      <c r="A6" s="807" t="s">
        <v>134</v>
      </c>
      <c r="B6" s="808"/>
      <c r="C6" s="464"/>
      <c r="D6" s="141" t="s">
        <v>135</v>
      </c>
      <c r="E6" s="449" t="s">
        <v>136</v>
      </c>
      <c r="F6" s="445" t="s">
        <v>137</v>
      </c>
      <c r="G6" s="141" t="s">
        <v>135</v>
      </c>
      <c r="H6" s="449" t="s">
        <v>136</v>
      </c>
      <c r="I6" s="455" t="s">
        <v>137</v>
      </c>
    </row>
    <row r="7" spans="1:18" ht="15" customHeight="1" x14ac:dyDescent="0.2">
      <c r="A7" s="809"/>
      <c r="B7" s="810"/>
      <c r="C7" s="31" t="s">
        <v>138</v>
      </c>
      <c r="D7" s="63">
        <f ca="1">INDEX('[1]Přepravní soustava'!$C$13:$AL$13,1,3*T!$A$4-2)</f>
        <v>2972948.5652494989</v>
      </c>
      <c r="E7" s="450">
        <f ca="1">-INDEX('[1]Přepravní soustava'!$C$22:$AL$22,1,3*T!$A$4-2)</f>
        <v>-2415906.7621648461</v>
      </c>
      <c r="F7" s="446">
        <f ca="1">D7+E7</f>
        <v>557041.80308465287</v>
      </c>
      <c r="G7" s="63">
        <f ca="1">INDEX('[1]Přepravní soustava'!$C$13:$AL$13,1,3*T!$A$4-1)</f>
        <v>31715579.27</v>
      </c>
      <c r="H7" s="450">
        <f ca="1">-INDEX('[1]Přepravní soustava'!$C$22:$AL$22,1,3*T!$A$4-1)</f>
        <v>-25777317.864</v>
      </c>
      <c r="I7" s="84">
        <f ca="1">G7+H7</f>
        <v>5938261.4059999995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09"/>
      <c r="B8" s="810"/>
      <c r="C8" s="98" t="s">
        <v>139</v>
      </c>
      <c r="D8" s="63">
        <f ca="1">INDEX('[2]Z ZDS'!$C$31:$AX$31,1,4*T!$A$4-3)</f>
        <v>145.65172632005385</v>
      </c>
      <c r="E8" s="450">
        <f ca="1">-INDEX('[2]Do ZDS'!$C$32:$AL$32,1,3*T!$A$4-2)</f>
        <v>-23.028959755137851</v>
      </c>
      <c r="F8" s="446">
        <f ca="1">D8+E8</f>
        <v>122.62276656491601</v>
      </c>
      <c r="G8" s="63">
        <f ca="1">INDEX('[2]Z ZDS'!$C$31:$AX$31,1,4*T!$A$4-2)</f>
        <v>1529.4135209999997</v>
      </c>
      <c r="H8" s="450">
        <f ca="1">-INDEX('[2]Do ZDS'!$C$32:$AL$32,1,3*T!$A$4-1)</f>
        <v>-246.01559449999999</v>
      </c>
      <c r="I8" s="84">
        <f ca="1">G8+H8</f>
        <v>1283.3979264999998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5"/>
      <c r="B9" s="806"/>
      <c r="C9" s="458" t="s">
        <v>140</v>
      </c>
      <c r="D9" s="460">
        <f ca="1">SUM(D7:D8)</f>
        <v>2973094.2169758189</v>
      </c>
      <c r="E9" s="461">
        <f ca="1">SUM(E7:E8)</f>
        <v>-2415929.7911246014</v>
      </c>
      <c r="F9" s="462">
        <f ca="1">SUM(F7:F8)</f>
        <v>557164.42585121782</v>
      </c>
      <c r="G9" s="460">
        <f t="shared" ref="G9:I9" ca="1" si="0">SUM(G7:G8)</f>
        <v>31717108.683520999</v>
      </c>
      <c r="H9" s="461">
        <f t="shared" ca="1" si="0"/>
        <v>-25777563.879594501</v>
      </c>
      <c r="I9" s="463">
        <f t="shared" ca="1" si="0"/>
        <v>5939544.8039264996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7" t="s">
        <v>141</v>
      </c>
      <c r="B10" s="808"/>
      <c r="C10" s="142"/>
      <c r="D10" s="641" t="s">
        <v>142</v>
      </c>
      <c r="E10" s="451" t="s">
        <v>143</v>
      </c>
      <c r="F10" s="447" t="s">
        <v>144</v>
      </c>
      <c r="G10" s="641" t="s">
        <v>142</v>
      </c>
      <c r="H10" s="451" t="s">
        <v>143</v>
      </c>
      <c r="I10" s="642" t="s">
        <v>144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09"/>
      <c r="B11" s="810"/>
      <c r="C11" s="63" t="s">
        <v>76</v>
      </c>
      <c r="D11" s="443">
        <f ca="1">INDEX('[1]Přepravní soustava'!$C39:$AL39,1,3*T!$A$4-2)</f>
        <v>169032.753</v>
      </c>
      <c r="E11" s="452">
        <f ca="1">-INDEX('[1]Přepravní soustava'!$C43:$AL43,1,3*T!$A$4-2)</f>
        <v>0</v>
      </c>
      <c r="F11" s="448">
        <f ca="1">D11+E11</f>
        <v>169032.753</v>
      </c>
      <c r="G11" s="443">
        <f ca="1">INDEX('[1]Přepravní soustava'!$C39:$AL39,1,3*T!$A$4-1)</f>
        <v>1806016.3119999999</v>
      </c>
      <c r="H11" s="452">
        <f ca="1">-INDEX('[1]Přepravní soustava'!$C43:$AL43,1,3*T!$A$4-1)</f>
        <v>0</v>
      </c>
      <c r="I11" s="18">
        <f ca="1">G11+H11</f>
        <v>1806016.3119999999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09"/>
      <c r="B12" s="810"/>
      <c r="C12" s="100" t="s">
        <v>77</v>
      </c>
      <c r="D12" s="64">
        <f ca="1">INDEX('[1]Přepravní soustava'!$C40:$AL40,1,3*T!$A$4-2)</f>
        <v>2645.5770000000002</v>
      </c>
      <c r="E12" s="452">
        <f ca="1">-INDEX('[1]Přepravní soustava'!$C44:$AL44,1,3*T!$A$4-2)</f>
        <v>-31605.976999999999</v>
      </c>
      <c r="F12" s="448">
        <f ca="1">D12+E12</f>
        <v>-28960.399999999998</v>
      </c>
      <c r="G12" s="64">
        <f ca="1">INDEX('[1]Přepravní soustava'!$C40:$AL40,1,3*T!$A$4-1)</f>
        <v>28315.278999999999</v>
      </c>
      <c r="H12" s="452">
        <f ca="1">-INDEX('[1]Přepravní soustava'!$C44:$AL44,1,3*T!$A$4-1)</f>
        <v>-338063.06300000002</v>
      </c>
      <c r="I12" s="18">
        <f ca="1">G12+H12</f>
        <v>-309747.78400000004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5"/>
      <c r="B13" s="806"/>
      <c r="C13" s="459" t="s">
        <v>140</v>
      </c>
      <c r="D13" s="465">
        <f t="shared" ref="D13:H13" ca="1" si="1">SUM(D11:D12)</f>
        <v>171678.33</v>
      </c>
      <c r="E13" s="466">
        <f t="shared" ca="1" si="1"/>
        <v>-31605.976999999999</v>
      </c>
      <c r="F13" s="467">
        <f t="shared" ca="1" si="1"/>
        <v>140072.353</v>
      </c>
      <c r="G13" s="465">
        <f t="shared" ca="1" si="1"/>
        <v>1834331.591</v>
      </c>
      <c r="H13" s="466">
        <f t="shared" ca="1" si="1"/>
        <v>-338063.06300000002</v>
      </c>
      <c r="I13" s="468">
        <f ca="1">SUM(I11:I12)</f>
        <v>1496268.5279999999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7" t="s">
        <v>83</v>
      </c>
      <c r="B14" s="808"/>
      <c r="C14" s="99"/>
      <c r="D14" s="143" t="s">
        <v>145</v>
      </c>
      <c r="E14" s="453" t="s">
        <v>146</v>
      </c>
      <c r="F14" s="144" t="s">
        <v>165</v>
      </c>
      <c r="G14" s="143" t="s">
        <v>145</v>
      </c>
      <c r="H14" s="453" t="s">
        <v>146</v>
      </c>
      <c r="I14" s="456" t="s">
        <v>165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09"/>
      <c r="B15" s="810"/>
      <c r="C15" s="63" t="s">
        <v>147</v>
      </c>
      <c r="D15" s="63">
        <f ca="1">INDEX('[3]Poklady MZ'!$C$9:$Z$10,1,2*T!$A$4-1)</f>
        <v>11385.984</v>
      </c>
      <c r="E15" s="452">
        <f ca="1">INDEX('[3]Poklady MZ'!$C$22:$Z$22,1,2*T!$A$4-1)</f>
        <v>580.86099999999897</v>
      </c>
      <c r="F15" s="448">
        <f ca="1">D15+E15</f>
        <v>11966.844999999999</v>
      </c>
      <c r="G15" s="63">
        <f ca="1">INDEX('[3]Poklady MZ'!$C$9:$Z$10,1,2*T!$A$4)</f>
        <v>123873.95695200001</v>
      </c>
      <c r="H15" s="452">
        <f ca="1">INDEX('[3]Poklady MZ'!$C$22:$Z$22,1,2*T!$A$4)</f>
        <v>6459.1083999999973</v>
      </c>
      <c r="I15" s="18">
        <f ca="1">G15+H15</f>
        <v>130333.06535200001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09"/>
      <c r="B16" s="810"/>
      <c r="C16" s="63" t="s">
        <v>148</v>
      </c>
      <c r="D16" s="444">
        <f ca="1">INDEX('[3]Poklady MZ'!$C$9:$Z$10,2,2*T!$A$4-1)</f>
        <v>1091</v>
      </c>
      <c r="E16" s="452">
        <v>0</v>
      </c>
      <c r="F16" s="448">
        <f ca="1">D16+E16</f>
        <v>1091</v>
      </c>
      <c r="G16" s="63">
        <f ca="1">INDEX('[3]Poklady MZ'!$C$9:$Z$10,2,2*T!$A$4)</f>
        <v>11449</v>
      </c>
      <c r="H16" s="452">
        <v>0</v>
      </c>
      <c r="I16" s="18">
        <f ca="1">G16+H16</f>
        <v>11449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5"/>
      <c r="B17" s="806"/>
      <c r="C17" s="459" t="s">
        <v>140</v>
      </c>
      <c r="D17" s="469">
        <f t="shared" ref="D17:I17" ca="1" si="2">SUM(D15:D16)</f>
        <v>12476.984</v>
      </c>
      <c r="E17" s="470">
        <f t="shared" ca="1" si="2"/>
        <v>580.86099999999897</v>
      </c>
      <c r="F17" s="471">
        <f t="shared" ca="1" si="2"/>
        <v>13057.844999999999</v>
      </c>
      <c r="G17" s="469">
        <f t="shared" ca="1" si="2"/>
        <v>135322.95695200001</v>
      </c>
      <c r="H17" s="470">
        <f t="shared" ca="1" si="2"/>
        <v>6459.1083999999973</v>
      </c>
      <c r="I17" s="472">
        <f t="shared" ca="1" si="2"/>
        <v>141782.06535200001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1" t="s">
        <v>84</v>
      </c>
      <c r="B18" s="812"/>
      <c r="C18" s="99"/>
      <c r="D18" s="143" t="s">
        <v>149</v>
      </c>
      <c r="E18" s="453" t="s">
        <v>150</v>
      </c>
      <c r="F18" s="144" t="s">
        <v>151</v>
      </c>
      <c r="G18" s="143" t="s">
        <v>149</v>
      </c>
      <c r="H18" s="453" t="s">
        <v>150</v>
      </c>
      <c r="I18" s="456" t="s">
        <v>151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3"/>
      <c r="B19" s="814"/>
      <c r="C19" s="100" t="s">
        <v>293</v>
      </c>
      <c r="D19" s="64">
        <f ca="1">-INDEX([2]DS!$B$56:$AK$58,1,3*T!$A$4-1)</f>
        <v>-32754.201000000001</v>
      </c>
      <c r="E19" s="452">
        <v>0</v>
      </c>
      <c r="F19" s="448">
        <f ca="1">D19+E19</f>
        <v>-32754.201000000001</v>
      </c>
      <c r="G19" s="444">
        <f ca="1">-INDEX([2]DS!$B$56:$AK$58,1,3*T!$A$4)</f>
        <v>-349299.337</v>
      </c>
      <c r="H19" s="452">
        <v>0</v>
      </c>
      <c r="I19" s="18">
        <f ca="1">G19+H19</f>
        <v>-349299.337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3"/>
      <c r="B20" s="814"/>
      <c r="C20" s="100" t="s">
        <v>152</v>
      </c>
      <c r="D20" s="444">
        <f ca="1">-INDEX([2]DS!$B$56:$AK$58,2,3*T!$A$4-1)</f>
        <v>-644859.48499999987</v>
      </c>
      <c r="E20" s="454">
        <f ca="1">-INDEX([2]DS!$B$60:$AK$60,1,3*T!$A$4-1)</f>
        <v>-13091.68390006343</v>
      </c>
      <c r="F20" s="448">
        <f t="shared" ref="F20:F22" ca="1" si="3">D20+E20</f>
        <v>-657951.16890006326</v>
      </c>
      <c r="G20" s="65">
        <f ca="1">-INDEX([2]DS!$B$56:$AK$58,2,3*T!$A$4)</f>
        <v>-6888092.0214599632</v>
      </c>
      <c r="H20" s="457">
        <f ca="1">-INDEX([2]DS!$B$60:$AK$60,1,3*T!$A$4)</f>
        <v>-139833.09097000002</v>
      </c>
      <c r="I20" s="18">
        <f t="shared" ref="I20:I22" ca="1" si="4">G20+H20</f>
        <v>-7027925.1124299634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3"/>
      <c r="B21" s="814"/>
      <c r="C21" s="63" t="s">
        <v>153</v>
      </c>
      <c r="D21" s="444">
        <f ca="1">-INDEX([2]DS!$B$56:$AK$58,3,3*T!$A$4-1)</f>
        <v>-1091</v>
      </c>
      <c r="E21" s="454">
        <v>0</v>
      </c>
      <c r="F21" s="448">
        <f t="shared" ca="1" si="3"/>
        <v>-1091</v>
      </c>
      <c r="G21" s="65">
        <f ca="1">-INDEX([2]DS!$B$56:$AK$58,3,3*T!$A$4)</f>
        <v>-11449</v>
      </c>
      <c r="H21" s="457">
        <v>0</v>
      </c>
      <c r="I21" s="18">
        <f t="shared" ca="1" si="4"/>
        <v>-11449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3"/>
      <c r="B22" s="814"/>
      <c r="C22" s="63" t="s">
        <v>154</v>
      </c>
      <c r="D22" s="444">
        <v>0</v>
      </c>
      <c r="E22" s="454">
        <f ca="1">E15*-1</f>
        <v>-580.86099999999897</v>
      </c>
      <c r="F22" s="448">
        <f t="shared" ca="1" si="3"/>
        <v>-580.86099999999897</v>
      </c>
      <c r="G22" s="65">
        <v>0</v>
      </c>
      <c r="H22" s="457">
        <f ca="1">H15*-1</f>
        <v>-6459.1083999999973</v>
      </c>
      <c r="I22" s="18">
        <f t="shared" ca="1" si="4"/>
        <v>-6459.1083999999973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5"/>
      <c r="B23" s="816"/>
      <c r="C23" s="459" t="s">
        <v>140</v>
      </c>
      <c r="D23" s="473">
        <f ca="1">SUM(D19:D22)</f>
        <v>-678704.68599999987</v>
      </c>
      <c r="E23" s="474">
        <f t="shared" ref="E23:G23" ca="1" si="5">SUM(E19:E22)</f>
        <v>-13672.544900063429</v>
      </c>
      <c r="F23" s="475">
        <f t="shared" ca="1" si="5"/>
        <v>-692377.2309000633</v>
      </c>
      <c r="G23" s="473">
        <f t="shared" ca="1" si="5"/>
        <v>-7248840.3584599635</v>
      </c>
      <c r="H23" s="474">
        <f ca="1">SUM(H19:H22)</f>
        <v>-146292.19937000002</v>
      </c>
      <c r="I23" s="476">
        <f ca="1">SUM(I19:I22)</f>
        <v>-7395132.557829964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7" t="s">
        <v>10</v>
      </c>
      <c r="B24" s="818"/>
      <c r="C24" s="145" t="s">
        <v>155</v>
      </c>
      <c r="D24" s="146"/>
      <c r="E24" s="147"/>
      <c r="F24" s="148">
        <f ca="1">(F9+F13+F17+F23)*-1</f>
        <v>-17917.392951154499</v>
      </c>
      <c r="G24" s="149"/>
      <c r="H24" s="150"/>
      <c r="I24" s="151">
        <f ca="1">(I9+I13+I17+I23)*-1</f>
        <v>-182462.83944853581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7"/>
      <c r="E26" s="30"/>
      <c r="F26" s="30"/>
      <c r="G26" s="27"/>
      <c r="I26" s="182"/>
    </row>
    <row r="27" spans="1:17" ht="15" customHeight="1" x14ac:dyDescent="0.2">
      <c r="A27" s="31"/>
      <c r="B27" s="31"/>
      <c r="C27" s="477"/>
      <c r="E27" s="30" t="s">
        <v>156</v>
      </c>
      <c r="F27" s="155">
        <f ca="1">D9/1000</f>
        <v>2973.0942169758187</v>
      </c>
      <c r="G27" s="138"/>
      <c r="I27" s="27"/>
    </row>
    <row r="28" spans="1:17" ht="15" customHeight="1" x14ac:dyDescent="0.2">
      <c r="A28" s="31"/>
      <c r="B28" s="31"/>
      <c r="C28" s="477"/>
      <c r="E28" s="30" t="s">
        <v>157</v>
      </c>
      <c r="F28" s="155">
        <f ca="1">E9/1000</f>
        <v>-2415.9297911246013</v>
      </c>
      <c r="G28" s="138"/>
    </row>
    <row r="29" spans="1:17" ht="15" customHeight="1" x14ac:dyDescent="0.2">
      <c r="A29" s="31"/>
      <c r="B29" s="31"/>
      <c r="C29" s="477"/>
      <c r="E29" s="30" t="s">
        <v>158</v>
      </c>
      <c r="F29" s="155">
        <f ca="1">D13/1000</f>
        <v>171.67832999999999</v>
      </c>
      <c r="G29" s="138"/>
    </row>
    <row r="30" spans="1:17" ht="15" customHeight="1" x14ac:dyDescent="0.2">
      <c r="A30" s="819"/>
      <c r="B30" s="137"/>
      <c r="C30" s="477"/>
      <c r="E30" s="30" t="s">
        <v>159</v>
      </c>
      <c r="F30" s="155">
        <f ca="1">E13/1000</f>
        <v>-31.605976999999999</v>
      </c>
      <c r="G30" s="138"/>
      <c r="L30" s="27"/>
    </row>
    <row r="31" spans="1:17" ht="15" customHeight="1" x14ac:dyDescent="0.2">
      <c r="A31" s="819"/>
      <c r="B31" s="137"/>
      <c r="C31" s="477"/>
      <c r="E31" s="30" t="s">
        <v>129</v>
      </c>
      <c r="F31" s="155">
        <f ca="1">F17/1000</f>
        <v>13.057844999999999</v>
      </c>
      <c r="G31" s="138"/>
    </row>
    <row r="32" spans="1:17" ht="15" customHeight="1" x14ac:dyDescent="0.2">
      <c r="A32" s="19"/>
      <c r="B32" s="19"/>
      <c r="C32" s="477"/>
      <c r="E32" s="32" t="s">
        <v>10</v>
      </c>
      <c r="F32" s="155">
        <f ca="1">F24/1000</f>
        <v>-17.9173929511545</v>
      </c>
      <c r="G32" s="84"/>
    </row>
    <row r="33" spans="1:8" ht="15" customHeight="1" x14ac:dyDescent="0.2">
      <c r="A33" s="19"/>
      <c r="B33" s="19"/>
      <c r="C33" s="477"/>
      <c r="E33" s="33" t="s">
        <v>85</v>
      </c>
      <c r="F33" s="155">
        <f ca="1">F23/1000</f>
        <v>-692.3772309000633</v>
      </c>
      <c r="G33" s="84"/>
    </row>
    <row r="34" spans="1:8" ht="15" customHeight="1" x14ac:dyDescent="0.2">
      <c r="A34" s="19"/>
      <c r="B34" s="19"/>
      <c r="C34" s="478"/>
      <c r="D34" s="30"/>
      <c r="E34" s="12"/>
      <c r="F34" s="12"/>
    </row>
    <row r="35" spans="1:8" ht="15" customHeight="1" x14ac:dyDescent="0.2">
      <c r="A35" s="19"/>
      <c r="B35" s="19"/>
      <c r="C35" s="478"/>
      <c r="D35" s="30"/>
      <c r="E35" s="12"/>
      <c r="F35" s="12"/>
    </row>
    <row r="36" spans="1:8" ht="24" customHeight="1" x14ac:dyDescent="0.2">
      <c r="A36" s="19"/>
      <c r="B36" s="19"/>
      <c r="C36" s="478"/>
      <c r="D36" s="30"/>
      <c r="E36" s="12"/>
      <c r="F36" s="12"/>
    </row>
    <row r="37" spans="1:8" ht="15" customHeight="1" x14ac:dyDescent="0.2">
      <c r="A37" s="19"/>
      <c r="B37" s="19"/>
      <c r="C37" s="478"/>
      <c r="D37" s="30"/>
      <c r="E37" s="12"/>
      <c r="F37" s="12"/>
    </row>
    <row r="38" spans="1:8" ht="20.25" customHeight="1" x14ac:dyDescent="0.2">
      <c r="A38" s="800"/>
      <c r="B38" s="800"/>
      <c r="C38" s="800"/>
      <c r="D38" s="800"/>
      <c r="E38" s="800"/>
      <c r="F38" s="800"/>
      <c r="G38" s="800"/>
      <c r="H38" s="800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0" t="s">
        <v>70</v>
      </c>
      <c r="K1" s="820"/>
    </row>
    <row r="2" spans="1:17" ht="6.75" customHeight="1" x14ac:dyDescent="0.2"/>
    <row r="3" spans="1:17" ht="30" customHeight="1" x14ac:dyDescent="0.2">
      <c r="A3" s="828" t="s">
        <v>206</v>
      </c>
      <c r="B3" s="828"/>
      <c r="C3" s="828"/>
      <c r="D3" s="828"/>
      <c r="E3" s="828"/>
      <c r="F3" s="828"/>
      <c r="G3" s="828"/>
      <c r="H3" s="828"/>
      <c r="I3" s="828"/>
      <c r="J3" s="828"/>
      <c r="K3" s="828"/>
    </row>
    <row r="4" spans="1:17" ht="16.5" customHeight="1" x14ac:dyDescent="0.2">
      <c r="B4" s="241"/>
      <c r="C4" s="241"/>
      <c r="D4" s="827" t="str">
        <f>T!G19</f>
        <v>Říjen</v>
      </c>
      <c r="E4" s="827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0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Říjen</v>
      </c>
      <c r="F7" s="264">
        <f>F4</f>
        <v>2015</v>
      </c>
      <c r="G7" s="264"/>
      <c r="H7" s="831"/>
      <c r="I7" s="279" t="str">
        <f>D4</f>
        <v>Říjen</v>
      </c>
      <c r="J7" s="259">
        <f>F4-1</f>
        <v>2014</v>
      </c>
      <c r="K7" s="273"/>
    </row>
    <row r="8" spans="1:17" ht="14.1" customHeight="1" x14ac:dyDescent="0.2">
      <c r="A8" s="277"/>
      <c r="B8" s="825" t="s">
        <v>92</v>
      </c>
      <c r="C8" s="825"/>
      <c r="D8" s="837" t="s">
        <v>0</v>
      </c>
      <c r="E8" s="839" t="s">
        <v>71</v>
      </c>
      <c r="F8" s="793"/>
      <c r="G8" s="330" t="s">
        <v>205</v>
      </c>
      <c r="H8" s="831"/>
      <c r="I8" s="840" t="s">
        <v>71</v>
      </c>
      <c r="J8" s="793"/>
      <c r="K8" s="348" t="s">
        <v>205</v>
      </c>
    </row>
    <row r="9" spans="1:17" ht="14.1" customHeight="1" x14ac:dyDescent="0.2">
      <c r="A9" s="249"/>
      <c r="B9" s="826"/>
      <c r="C9" s="826"/>
      <c r="D9" s="838"/>
      <c r="E9" s="265" t="s">
        <v>15</v>
      </c>
      <c r="F9" s="265" t="s">
        <v>1</v>
      </c>
      <c r="G9" s="331" t="s">
        <v>118</v>
      </c>
      <c r="H9" s="832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33" t="s">
        <v>4</v>
      </c>
      <c r="B10" s="833"/>
      <c r="C10" s="236"/>
      <c r="D10" s="237"/>
      <c r="E10" s="236"/>
      <c r="F10" s="236"/>
      <c r="G10" s="332"/>
      <c r="H10" s="314"/>
      <c r="I10" s="281"/>
      <c r="J10" s="236"/>
      <c r="K10" s="350"/>
    </row>
    <row r="11" spans="1:17" ht="14.45" customHeight="1" x14ac:dyDescent="0.2">
      <c r="A11" s="95"/>
      <c r="B11" s="95"/>
      <c r="C11" s="256" t="s">
        <v>6</v>
      </c>
      <c r="D11" s="244">
        <f ca="1">INDEX([2]DS!B36:AK36,1,3*T!$A$4-2)</f>
        <v>1600</v>
      </c>
      <c r="E11" s="96">
        <f ca="1">INDEX([2]DS!C36:AL36,1,3*T!$A$4-2)</f>
        <v>333360.66300000006</v>
      </c>
      <c r="F11" s="96">
        <f ca="1">INDEX([2]DS!D36:AM36,1,3*T!$A$4-2)</f>
        <v>3560210.2086799997</v>
      </c>
      <c r="G11" s="333">
        <f ca="1">E11/$E$17</f>
        <v>0.48147259632822442</v>
      </c>
      <c r="H11" s="315">
        <f ca="1">(E11-I11)/I11</f>
        <v>0.14993891245675606</v>
      </c>
      <c r="I11" s="282">
        <f ca="1">INDEX([4]DS!C36:AL36,1,3*T!$A$4-2)</f>
        <v>289894.23645800509</v>
      </c>
      <c r="J11" s="96">
        <f ca="1">INDEX([4]DS!D36:AM36,1,3*T!$A$4-2)</f>
        <v>3080369.8886100007</v>
      </c>
      <c r="K11" s="351">
        <f ca="1">I11/$I$17</f>
        <v>0.51161187929117169</v>
      </c>
    </row>
    <row r="12" spans="1:17" ht="14.45" customHeight="1" x14ac:dyDescent="0.2">
      <c r="A12" s="95"/>
      <c r="B12" s="95"/>
      <c r="C12" s="256" t="s">
        <v>7</v>
      </c>
      <c r="D12" s="244">
        <f ca="1">INDEX([2]DS!B37:AK37,1,3*T!$A$4-2)</f>
        <v>6799</v>
      </c>
      <c r="E12" s="96">
        <f ca="1">INDEX([2]DS!C37:AL37,1,3*T!$A$4-2)</f>
        <v>69602.644</v>
      </c>
      <c r="F12" s="96">
        <f ca="1">INDEX([2]DS!D37:AM37,1,3*T!$A$4-2)</f>
        <v>743381.39478000009</v>
      </c>
      <c r="G12" s="333">
        <f t="shared" ref="G12:G16" ca="1" si="0">E12/$E$17</f>
        <v>0.10052705504125153</v>
      </c>
      <c r="H12" s="315">
        <f ca="1">(E12-I12)/I12</f>
        <v>0.1705087765915255</v>
      </c>
      <c r="I12" s="282">
        <f ca="1">INDEX([4]DS!C37:AL37,1,3*T!$A$4-2)</f>
        <v>59463.581471537618</v>
      </c>
      <c r="J12" s="96">
        <f ca="1">INDEX([4]DS!D37:AM37,1,3*T!$A$4-2)</f>
        <v>631767.88889700011</v>
      </c>
      <c r="K12" s="351">
        <f t="shared" ref="K12:K16" ca="1" si="1">I12/$I$17</f>
        <v>0.10494266818734811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256" t="s">
        <v>8</v>
      </c>
      <c r="D13" s="244">
        <f ca="1">INDEX([2]DS!B38:AK38,1,3*T!$A$4-2)</f>
        <v>198880</v>
      </c>
      <c r="E13" s="96">
        <f ca="1">INDEX([2]DS!C38:AL38,1,3*T!$A$4-2)</f>
        <v>90214.113088000013</v>
      </c>
      <c r="F13" s="96">
        <f ca="1">INDEX([2]DS!D38:AM38,1,3*T!$A$4-2)</f>
        <v>963561.14617889514</v>
      </c>
      <c r="G13" s="333">
        <f ca="1">E13/$E$17</f>
        <v>0.13029618690771386</v>
      </c>
      <c r="H13" s="315">
        <f t="shared" ref="H13:H17" ca="1" si="2">(E13-I13)/I13</f>
        <v>0.33993276222728058</v>
      </c>
      <c r="I13" s="282">
        <f ca="1">INDEX([4]DS!C38:AL38,1,3*T!$A$4-2)</f>
        <v>67327.34330493056</v>
      </c>
      <c r="J13" s="96">
        <f ca="1">INDEX([4]DS!D38:AM38,1,3*T!$A$4-2)</f>
        <v>715330.69248816802</v>
      </c>
      <c r="K13" s="351">
        <f t="shared" ca="1" si="1"/>
        <v>0.1188208122271768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256" t="s">
        <v>9</v>
      </c>
      <c r="D14" s="244">
        <f ca="1">INDEX([2]DS!B39:AK39,1,3*T!$A$4-2)</f>
        <v>2633194</v>
      </c>
      <c r="E14" s="96">
        <f ca="1">INDEX([2]DS!C39:AL39,1,3*T!$A$4-2)</f>
        <v>185527.265912</v>
      </c>
      <c r="F14" s="96">
        <f ca="1">INDEX([2]DS!D39:AM39,1,3*T!$A$4-2)</f>
        <v>1981687.6088210666</v>
      </c>
      <c r="G14" s="333">
        <f t="shared" ca="1" si="0"/>
        <v>0.26795691370558472</v>
      </c>
      <c r="H14" s="315">
        <f t="shared" ca="1" si="2"/>
        <v>0.34566577148405464</v>
      </c>
      <c r="I14" s="282">
        <f ca="1">INDEX([4]DS!C39:AL39,1,3*T!$A$4-2)</f>
        <v>137870.24225740173</v>
      </c>
      <c r="J14" s="96">
        <f ca="1">INDEX([4]DS!D39:AM39,1,3*T!$A$4-2)</f>
        <v>1464901.4646717499</v>
      </c>
      <c r="K14" s="351">
        <f t="shared" ca="1" si="1"/>
        <v>0.24331650950175573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257" t="s">
        <v>201</v>
      </c>
      <c r="D15" s="245">
        <f ca="1">SUM(D11:D14)</f>
        <v>2840473</v>
      </c>
      <c r="E15" s="243">
        <f t="shared" ref="E15:F15" ca="1" si="3">SUM(E11:E14)</f>
        <v>678704.68599999999</v>
      </c>
      <c r="F15" s="260">
        <f t="shared" ca="1" si="3"/>
        <v>7248840.3584599607</v>
      </c>
      <c r="G15" s="334">
        <f t="shared" ca="1" si="0"/>
        <v>0.9802527519827744</v>
      </c>
      <c r="H15" s="316">
        <f t="shared" ca="1" si="2"/>
        <v>0.22387173892165294</v>
      </c>
      <c r="I15" s="284">
        <f t="shared" ref="I15:J15" ca="1" si="4">SUM(I11:I14)</f>
        <v>554555.40349187504</v>
      </c>
      <c r="J15" s="260">
        <f t="shared" ca="1" si="4"/>
        <v>5892369.9346669186</v>
      </c>
      <c r="K15" s="352">
        <f ca="1">I15/$I$17</f>
        <v>0.97869186920745244</v>
      </c>
      <c r="L15" s="283"/>
      <c r="M15" s="283"/>
      <c r="O15" s="283"/>
      <c r="P15" s="283"/>
      <c r="Q15" s="283"/>
    </row>
    <row r="16" spans="1:17" ht="14.45" customHeight="1" x14ac:dyDescent="0.2">
      <c r="A16" s="291"/>
      <c r="B16" s="267"/>
      <c r="C16" s="256" t="s">
        <v>162</v>
      </c>
      <c r="D16" s="244"/>
      <c r="E16" s="96">
        <f ca="1">INDEX([2]DS!B40:AK40,1,3*T!$A$4-1)</f>
        <v>13672.544900063429</v>
      </c>
      <c r="F16" s="96">
        <f ca="1">INDEX([2]DS!C40:AL40,1,3*T!$A$4-1)</f>
        <v>146292.19937000002</v>
      </c>
      <c r="G16" s="333">
        <f t="shared" ca="1" si="0"/>
        <v>1.9747248017225601E-2</v>
      </c>
      <c r="H16" s="315">
        <f t="shared" ca="1" si="2"/>
        <v>0.1324135135142602</v>
      </c>
      <c r="I16" s="282">
        <f ca="1">INDEX([4]DS!C40:AL40,1,3*T!$A$4-2)</f>
        <v>12073.809378725022</v>
      </c>
      <c r="J16" s="96">
        <f ca="1">INDEX([4]DS!D40:AM40,1,3*T!$A$4-2)</f>
        <v>128391.10337000003</v>
      </c>
      <c r="K16" s="351">
        <f t="shared" ca="1" si="1"/>
        <v>2.1308130792547564E-2</v>
      </c>
      <c r="L16" s="283"/>
      <c r="M16" s="283"/>
      <c r="O16" s="283"/>
      <c r="P16" s="283"/>
      <c r="Q16" s="283"/>
    </row>
    <row r="17" spans="1:16" ht="14.45" customHeight="1" x14ac:dyDescent="0.2">
      <c r="A17" s="291"/>
      <c r="B17" s="267"/>
      <c r="C17" s="258" t="s">
        <v>2</v>
      </c>
      <c r="D17" s="252">
        <f ca="1">D15</f>
        <v>2840473</v>
      </c>
      <c r="E17" s="250">
        <f ca="1">SUM(E15:E16)</f>
        <v>692377.23090006341</v>
      </c>
      <c r="F17" s="251">
        <f ca="1">SUM(F15:F16)</f>
        <v>7395132.5578299602</v>
      </c>
      <c r="G17" s="335">
        <f ca="1">SUM(G15:G16)</f>
        <v>1</v>
      </c>
      <c r="H17" s="317">
        <f t="shared" ca="1" si="2"/>
        <v>0.22192293509261793</v>
      </c>
      <c r="I17" s="285">
        <f ca="1">SUM(I15:I16)</f>
        <v>566629.21287060005</v>
      </c>
      <c r="J17" s="251">
        <f ca="1">SUM(J15:J16)</f>
        <v>6020761.0380369183</v>
      </c>
      <c r="K17" s="353">
        <f ca="1">SUM(K15:K16)</f>
        <v>1</v>
      </c>
      <c r="L17" s="283"/>
      <c r="M17" s="283"/>
    </row>
    <row r="18" spans="1:16" ht="14.45" customHeight="1" x14ac:dyDescent="0.2">
      <c r="A18" s="291"/>
      <c r="B18" s="268"/>
      <c r="C18" s="292"/>
      <c r="D18" s="293"/>
      <c r="E18" s="292"/>
      <c r="F18" s="292"/>
      <c r="G18" s="336"/>
      <c r="H18" s="318"/>
      <c r="I18" s="294"/>
      <c r="J18" s="295"/>
      <c r="K18" s="354"/>
      <c r="L18" s="283"/>
      <c r="M18" s="283"/>
    </row>
    <row r="19" spans="1:16" ht="14.45" customHeight="1" x14ac:dyDescent="0.2">
      <c r="A19" s="829" t="s">
        <v>11</v>
      </c>
      <c r="B19" s="829"/>
      <c r="C19" s="829"/>
      <c r="D19" s="296"/>
      <c r="E19" s="174"/>
      <c r="F19" s="174"/>
      <c r="G19" s="337"/>
      <c r="H19" s="319"/>
      <c r="I19" s="297"/>
      <c r="J19" s="298"/>
      <c r="K19" s="355"/>
      <c r="L19" s="283"/>
      <c r="M19" s="283"/>
    </row>
    <row r="20" spans="1:16" ht="14.45" customHeight="1" x14ac:dyDescent="0.2">
      <c r="A20" s="95"/>
      <c r="B20" s="95"/>
      <c r="C20" s="256" t="s">
        <v>6</v>
      </c>
      <c r="D20" s="244">
        <f ca="1">INDEX([2]DS!B3:AK3,1,3*T!$A$4-2)</f>
        <v>185</v>
      </c>
      <c r="E20" s="89">
        <f ca="1">INDEX([2]DS!C3:AL3,1,3*T!$A$4-2)</f>
        <v>19785.400000000001</v>
      </c>
      <c r="F20" s="96">
        <f ca="1">INDEX([2]DS!D3:AM3,1,3*T!$A$4-2)</f>
        <v>211171.139</v>
      </c>
      <c r="G20" s="338">
        <f ca="1">E20/$E$26</f>
        <v>0.25692789764625434</v>
      </c>
      <c r="H20" s="320">
        <f ca="1">(E20-I20)/I20</f>
        <v>0.18963667029795878</v>
      </c>
      <c r="I20" s="299">
        <f ca="1">INDEX([4]DS!C3:AL3,1,3*T!$A$4-2)</f>
        <v>16631.464458005074</v>
      </c>
      <c r="J20" s="300">
        <f ca="1">INDEX([4]DS!D3:AM3,1,3*T!$A$4-2)</f>
        <v>176523.52799999999</v>
      </c>
      <c r="K20" s="351">
        <f ca="1">I20/$I$26</f>
        <v>0.28038783380691823</v>
      </c>
      <c r="L20" s="283"/>
      <c r="M20" s="283"/>
      <c r="N20" s="283"/>
    </row>
    <row r="21" spans="1:16" ht="14.45" customHeight="1" x14ac:dyDescent="0.2">
      <c r="A21" s="95"/>
      <c r="B21" s="95"/>
      <c r="C21" s="256" t="s">
        <v>7</v>
      </c>
      <c r="D21" s="244">
        <f ca="1">INDEX([2]DS!B4:AK4,1,3*T!$A$4-2)</f>
        <v>1627</v>
      </c>
      <c r="E21" s="89">
        <f ca="1">INDEX([2]DS!C4:AL4,1,3*T!$A$4-2)</f>
        <v>14265.4</v>
      </c>
      <c r="F21" s="96">
        <f ca="1">INDEX([2]DS!D4:AM4,1,3*T!$A$4-2)</f>
        <v>152248.27900000001</v>
      </c>
      <c r="G21" s="338">
        <f ca="1">E21/$E$26</f>
        <v>0.18524665819659325</v>
      </c>
      <c r="H21" s="320">
        <f t="shared" ref="H21:H23" ca="1" si="5">(E21-I21)/I21</f>
        <v>0.31500829818668669</v>
      </c>
      <c r="I21" s="299">
        <f ca="1">INDEX([4]DS!C4:AL4,1,3*T!$A$4-2)</f>
        <v>10848.14447153762</v>
      </c>
      <c r="J21" s="300">
        <f ca="1">INDEX([4]DS!D4:AM4,1,3*T!$A$4-2)</f>
        <v>115140.067</v>
      </c>
      <c r="K21" s="351">
        <f t="shared" ref="K21:K25" ca="1" si="6">I21/$I$26</f>
        <v>0.18288754648631683</v>
      </c>
      <c r="L21" s="286"/>
      <c r="M21" s="286"/>
      <c r="N21" s="283"/>
    </row>
    <row r="22" spans="1:16" ht="14.45" customHeight="1" x14ac:dyDescent="0.2">
      <c r="A22" s="291"/>
      <c r="B22" s="822"/>
      <c r="C22" s="256" t="s">
        <v>8</v>
      </c>
      <c r="D22" s="244">
        <f ca="1">INDEX([2]DS!B5:AK5,1,3*T!$A$4-2)</f>
        <v>38532</v>
      </c>
      <c r="E22" s="89">
        <f ca="1">INDEX([2]DS!C5:AL5,1,3*T!$A$4-2)</f>
        <v>16020.6</v>
      </c>
      <c r="F22" s="96">
        <f ca="1">INDEX([2]DS!D5:AM5,1,3*T!$A$4-2)</f>
        <v>170994.1985428952</v>
      </c>
      <c r="G22" s="338">
        <f ca="1">E22/$E$26</f>
        <v>0.20803921462449998</v>
      </c>
      <c r="H22" s="320">
        <f t="shared" ca="1" si="5"/>
        <v>0.37862362654680137</v>
      </c>
      <c r="I22" s="299">
        <f ca="1">INDEX([4]DS!C5:AL5,1,3*T!$A$4-2)</f>
        <v>11620.720616930566</v>
      </c>
      <c r="J22" s="300">
        <f ca="1">INDEX([4]DS!D5:AM5,1,3*T!$A$4-2)</f>
        <v>123340.45001816805</v>
      </c>
      <c r="K22" s="351">
        <f t="shared" ca="1" si="6"/>
        <v>0.19591231363202435</v>
      </c>
      <c r="L22" s="283"/>
      <c r="M22" s="283"/>
      <c r="N22" s="283"/>
      <c r="O22" s="283"/>
      <c r="P22" s="283"/>
    </row>
    <row r="23" spans="1:16" ht="14.45" customHeight="1" x14ac:dyDescent="0.2">
      <c r="A23" s="291"/>
      <c r="B23" s="822"/>
      <c r="C23" s="256" t="s">
        <v>9</v>
      </c>
      <c r="D23" s="244">
        <f ca="1">INDEX([2]DS!B6:AK6,1,3*T!$A$4-2)</f>
        <v>388146</v>
      </c>
      <c r="E23" s="89">
        <f ca="1">INDEX([2]DS!C6:AL6,1,3*T!$A$4-2)</f>
        <v>24615.3</v>
      </c>
      <c r="F23" s="96">
        <f ca="1">INDEX([2]DS!D6:AM6,1,3*T!$A$4-2)</f>
        <v>262729.12945706648</v>
      </c>
      <c r="G23" s="338">
        <f t="shared" ref="G23:G25" ca="1" si="7">E23/$E$26</f>
        <v>0.31964768359152929</v>
      </c>
      <c r="H23" s="320">
        <f t="shared" ca="1" si="5"/>
        <v>0.34068253733666826</v>
      </c>
      <c r="I23" s="299">
        <f ca="1">INDEX([4]DS!C6:AL6,1,3*T!$A$4-2)</f>
        <v>18360.274945401692</v>
      </c>
      <c r="J23" s="300">
        <f ca="1">INDEX([4]DS!D6:AM6,1,3*T!$A$4-2)</f>
        <v>194872.99014174991</v>
      </c>
      <c r="K23" s="351">
        <f t="shared" ca="1" si="6"/>
        <v>0.30953363926787425</v>
      </c>
      <c r="L23" s="283"/>
      <c r="M23" s="283"/>
      <c r="N23" s="283"/>
      <c r="O23" s="283"/>
      <c r="P23" s="283"/>
    </row>
    <row r="24" spans="1:16" ht="14.45" customHeight="1" x14ac:dyDescent="0.2">
      <c r="A24" s="291"/>
      <c r="B24" s="822"/>
      <c r="C24" s="257" t="s">
        <v>201</v>
      </c>
      <c r="D24" s="245">
        <f ca="1">SUM(D20:D23)</f>
        <v>428490</v>
      </c>
      <c r="E24" s="243">
        <f ca="1">SUM(E20:E23)</f>
        <v>74686.7</v>
      </c>
      <c r="F24" s="260">
        <f ca="1">SUM(F20:F23)</f>
        <v>797142.74599996163</v>
      </c>
      <c r="G24" s="339">
        <f t="shared" ca="1" si="7"/>
        <v>0.9698614540588768</v>
      </c>
      <c r="H24" s="321">
        <f ca="1">(E24-I24)/I24</f>
        <v>0.29978966738090701</v>
      </c>
      <c r="I24" s="301">
        <f ca="1">SUM(I20:I23)</f>
        <v>57460.604491874954</v>
      </c>
      <c r="J24" s="302">
        <f ca="1">SUM(J20:J23)</f>
        <v>609877.03515991801</v>
      </c>
      <c r="K24" s="352">
        <f t="shared" ca="1" si="6"/>
        <v>0.96872133319313369</v>
      </c>
      <c r="L24" s="283"/>
      <c r="M24" s="283"/>
      <c r="N24" s="283"/>
      <c r="O24" s="283"/>
      <c r="P24" s="283"/>
    </row>
    <row r="25" spans="1:16" ht="14.45" customHeight="1" x14ac:dyDescent="0.2">
      <c r="A25" s="291"/>
      <c r="B25" s="822"/>
      <c r="C25" s="239" t="s">
        <v>117</v>
      </c>
      <c r="D25" s="248"/>
      <c r="E25" s="173">
        <f ca="1">INDEX([2]DS!C7:AL7,1,3*T!$A$4-2)</f>
        <v>2320.8969999999999</v>
      </c>
      <c r="F25" s="173">
        <f ca="1">INDEX([2]DS!D7:AM7,1,3*T!$A$4-2)</f>
        <v>24772.764999999999</v>
      </c>
      <c r="G25" s="338">
        <f t="shared" ca="1" si="7"/>
        <v>3.0138545941123186E-2</v>
      </c>
      <c r="H25" s="322">
        <f ca="1">(E25-I25)/I25</f>
        <v>0.2509395016831556</v>
      </c>
      <c r="I25" s="297">
        <f ca="1">INDEX([4]DS!C7:AL7,1,3*T!$A$4-2)</f>
        <v>1855.3231366322691</v>
      </c>
      <c r="J25" s="298">
        <f ca="1">INDEX([4]DS!D7:AM7,1,3*T!$A$4-2)</f>
        <v>19692.099840000003</v>
      </c>
      <c r="K25" s="351">
        <f t="shared" ca="1" si="6"/>
        <v>3.1278666806866237E-2</v>
      </c>
      <c r="L25" s="283"/>
      <c r="M25" s="283"/>
      <c r="N25" s="283"/>
      <c r="O25" s="283"/>
      <c r="P25" s="283"/>
    </row>
    <row r="26" spans="1:16" ht="14.45" customHeight="1" x14ac:dyDescent="0.2">
      <c r="A26" s="291"/>
      <c r="B26" s="822"/>
      <c r="C26" s="258" t="s">
        <v>2</v>
      </c>
      <c r="D26" s="252">
        <f ca="1">D24</f>
        <v>428490</v>
      </c>
      <c r="E26" s="251">
        <f ca="1">SUM(E24:E25)</f>
        <v>77007.596999999994</v>
      </c>
      <c r="F26" s="251">
        <f ca="1">SUM(F24:F25)</f>
        <v>821915.51099996164</v>
      </c>
      <c r="G26" s="340">
        <f ca="1">SUM(G24:G25)</f>
        <v>1</v>
      </c>
      <c r="H26" s="323">
        <f ca="1">(E26-I26)/I26</f>
        <v>0.29826169932458668</v>
      </c>
      <c r="I26" s="303">
        <f ca="1">SUM(I24:I25)</f>
        <v>59315.927628507226</v>
      </c>
      <c r="J26" s="304">
        <f ca="1">SUM(J24:J25)</f>
        <v>629569.13499991805</v>
      </c>
      <c r="K26" s="353">
        <f ca="1">SUM(K24:K25)</f>
        <v>0.99999999999999989</v>
      </c>
      <c r="L26" s="283"/>
      <c r="M26" s="283"/>
      <c r="N26" s="283"/>
      <c r="O26" s="283"/>
      <c r="P26" s="283"/>
    </row>
    <row r="27" spans="1:16" ht="14.45" customHeight="1" x14ac:dyDescent="0.2">
      <c r="A27" s="305"/>
      <c r="B27" s="834"/>
      <c r="C27" s="292"/>
      <c r="D27" s="293"/>
      <c r="E27" s="292"/>
      <c r="F27" s="292"/>
      <c r="G27" s="336"/>
      <c r="H27" s="318"/>
      <c r="I27" s="294"/>
      <c r="J27" s="295"/>
      <c r="K27" s="354"/>
      <c r="L27" s="286"/>
      <c r="N27" s="283"/>
      <c r="O27" s="283"/>
      <c r="P27" s="283"/>
    </row>
    <row r="28" spans="1:16" ht="14.45" customHeight="1" x14ac:dyDescent="0.2">
      <c r="A28" s="835" t="s">
        <v>12</v>
      </c>
      <c r="B28" s="835"/>
      <c r="C28" s="306"/>
      <c r="D28" s="307"/>
      <c r="E28" s="306"/>
      <c r="F28" s="306"/>
      <c r="G28" s="341"/>
      <c r="H28" s="324"/>
      <c r="I28" s="297"/>
      <c r="J28" s="298"/>
      <c r="K28" s="356"/>
      <c r="L28" s="286"/>
      <c r="N28" s="283"/>
      <c r="O28" s="283"/>
      <c r="P28" s="283"/>
    </row>
    <row r="29" spans="1:16" ht="14.45" customHeight="1" x14ac:dyDescent="0.2">
      <c r="A29" s="836"/>
      <c r="B29" s="836"/>
      <c r="C29" s="256" t="s">
        <v>6</v>
      </c>
      <c r="D29" s="244">
        <f ca="1">INDEX([2]DS!B10:AK10,1,3*T!$A$4-2)</f>
        <v>1264</v>
      </c>
      <c r="E29" s="89">
        <f ca="1">INDEX([2]DS!C10:AL10,1,3*T!$A$4-2)</f>
        <v>268195.7</v>
      </c>
      <c r="F29" s="96">
        <f ca="1">INDEX([2]DS!D10:AM10,1,3*T!$A$4-2)</f>
        <v>2865103.1446799999</v>
      </c>
      <c r="G29" s="333">
        <f ca="1">E29/$E$35</f>
        <v>0.48400838458960266</v>
      </c>
      <c r="H29" s="315">
        <f ca="1">(E29-I29)/I29</f>
        <v>3.2505185707620211E-2</v>
      </c>
      <c r="I29" s="299">
        <f ca="1">INDEX([4]DS!C10:AL10,1,3*T!$A$4-2)</f>
        <v>259752.39999999997</v>
      </c>
      <c r="J29" s="300">
        <f ca="1">INDEX([4]DS!D10:AM10,1,3*T!$A$4-2)</f>
        <v>2760596.0486100009</v>
      </c>
      <c r="K29" s="351">
        <f ca="1">I29/$I$35</f>
        <v>0.53945538547344152</v>
      </c>
    </row>
    <row r="30" spans="1:16" ht="14.45" customHeight="1" x14ac:dyDescent="0.2">
      <c r="A30" s="836"/>
      <c r="B30" s="836"/>
      <c r="C30" s="256" t="s">
        <v>7</v>
      </c>
      <c r="D30" s="244">
        <f ca="1">INDEX([2]DS!B11:AK11,1,3*T!$A$4-2)</f>
        <v>4814</v>
      </c>
      <c r="E30" s="89">
        <f ca="1">INDEX([2]DS!C11:AL11,1,3*T!$A$4-2)</f>
        <v>53547.799999999996</v>
      </c>
      <c r="F30" s="96">
        <f ca="1">INDEX([2]DS!D11:AM11,1,3*T!$A$4-2)</f>
        <v>572044.10978000006</v>
      </c>
      <c r="G30" s="333">
        <f t="shared" ref="G30:G34" ca="1" si="8">E30/$E$35</f>
        <v>9.6636837116803598E-2</v>
      </c>
      <c r="H30" s="315">
        <f t="shared" ref="H30:H32" ca="1" si="9">(E30-I30)/I30</f>
        <v>0.15382361179943535</v>
      </c>
      <c r="I30" s="299">
        <f ca="1">INDEX([4]DS!C11:AL11,1,3*T!$A$4-2)</f>
        <v>46409</v>
      </c>
      <c r="J30" s="300">
        <f ca="1">INDEX([4]DS!D11:AM11,1,3*T!$A$4-2)</f>
        <v>493224.73189700017</v>
      </c>
      <c r="K30" s="351">
        <f t="shared" ref="K30:K34" ca="1" si="10">I30/$I$35</f>
        <v>9.6382497272159751E-2</v>
      </c>
    </row>
    <row r="31" spans="1:16" ht="14.45" customHeight="1" x14ac:dyDescent="0.2">
      <c r="A31" s="291"/>
      <c r="B31" s="291"/>
      <c r="C31" s="256" t="s">
        <v>8</v>
      </c>
      <c r="D31" s="244">
        <f ca="1">INDEX([2]DS!B12:AK12,1,3*T!$A$4-2)</f>
        <v>150635</v>
      </c>
      <c r="E31" s="89">
        <f ca="1">INDEX([2]DS!C12:AL12,1,3*T!$A$4-2)</f>
        <v>69992.975000000006</v>
      </c>
      <c r="F31" s="96">
        <f ca="1">INDEX([2]DS!D12:AM12,1,3*T!$A$4-2)</f>
        <v>747726.08900000004</v>
      </c>
      <c r="G31" s="333">
        <f t="shared" ca="1" si="8"/>
        <v>0.12631517493520755</v>
      </c>
      <c r="H31" s="315">
        <f t="shared" ca="1" si="9"/>
        <v>0.32603424095846589</v>
      </c>
      <c r="I31" s="299">
        <f ca="1">INDEX([4]DS!C12:AL12,1,3*T!$A$4-2)</f>
        <v>52783.686000000002</v>
      </c>
      <c r="J31" s="300">
        <f ca="1">INDEX([4]DS!D12:AM12,1,3*T!$A$4-2)</f>
        <v>560977.48199999996</v>
      </c>
      <c r="K31" s="351">
        <f t="shared" ca="1" si="10"/>
        <v>0.10962148445149728</v>
      </c>
    </row>
    <row r="32" spans="1:16" ht="14.45" customHeight="1" x14ac:dyDescent="0.2">
      <c r="A32" s="291"/>
      <c r="B32" s="291"/>
      <c r="C32" s="256" t="s">
        <v>9</v>
      </c>
      <c r="D32" s="244">
        <f ca="1">INDEX([2]DS!B13:AK13,1,3*T!$A$4-2)</f>
        <v>2141378</v>
      </c>
      <c r="E32" s="89">
        <f ca="1">INDEX([2]DS!C13:AL13,1,3*T!$A$4-2)</f>
        <v>152122.1</v>
      </c>
      <c r="F32" s="96">
        <f ca="1">INDEX([2]DS!D13:AM13,1,3*T!$A$4-2)</f>
        <v>1625102.1</v>
      </c>
      <c r="G32" s="333">
        <f t="shared" ca="1" si="8"/>
        <v>0.27453226088776961</v>
      </c>
      <c r="H32" s="315">
        <f t="shared" ca="1" si="9"/>
        <v>0.34181733824232463</v>
      </c>
      <c r="I32" s="299">
        <f ca="1">INDEX([4]DS!C13:AL13,1,3*T!$A$4-2)</f>
        <v>113370.20000000001</v>
      </c>
      <c r="J32" s="300">
        <f ca="1">INDEX([4]DS!D13:AM13,1,3*T!$A$4-2)</f>
        <v>1204873.6000000001</v>
      </c>
      <c r="K32" s="351">
        <f t="shared" ca="1" si="10"/>
        <v>0.23544793019121737</v>
      </c>
    </row>
    <row r="33" spans="1:11" ht="14.45" customHeight="1" x14ac:dyDescent="0.2">
      <c r="A33" s="291"/>
      <c r="B33" s="291"/>
      <c r="C33" s="257" t="s">
        <v>201</v>
      </c>
      <c r="D33" s="245">
        <f ca="1">SUM(D29:D32)</f>
        <v>2298091</v>
      </c>
      <c r="E33" s="243">
        <f ca="1">SUM(E29:E32)</f>
        <v>543858.57499999995</v>
      </c>
      <c r="F33" s="260">
        <f ca="1">SUM(F29:F32)</f>
        <v>5809975.4434600007</v>
      </c>
      <c r="G33" s="334">
        <f t="shared" ca="1" si="8"/>
        <v>0.98149265752938331</v>
      </c>
      <c r="H33" s="316">
        <f ca="1">(E33-I33)/I33</f>
        <v>0.15147358368579245</v>
      </c>
      <c r="I33" s="301">
        <f ca="1">SUM(I29:I32)</f>
        <v>472315.28599999996</v>
      </c>
      <c r="J33" s="302">
        <f ca="1">SUM(J29:J32)</f>
        <v>5019671.8625070006</v>
      </c>
      <c r="K33" s="352">
        <f t="shared" ca="1" si="10"/>
        <v>0.98090729738831584</v>
      </c>
    </row>
    <row r="34" spans="1:11" ht="14.45" customHeight="1" x14ac:dyDescent="0.2">
      <c r="A34" s="291"/>
      <c r="B34" s="291"/>
      <c r="C34" s="239" t="s">
        <v>117</v>
      </c>
      <c r="D34" s="248"/>
      <c r="E34" s="173">
        <f ca="1">INDEX([2]DS!C14:AL14,1,3*T!$A$4-2)</f>
        <v>10255.172900063431</v>
      </c>
      <c r="F34" s="173">
        <f ca="1">INDEX([2]DS!D14:AM14,1,3*T!$A$4-2)</f>
        <v>109554.77297000001</v>
      </c>
      <c r="G34" s="333">
        <f t="shared" ca="1" si="8"/>
        <v>1.8507342470616688E-2</v>
      </c>
      <c r="H34" s="325">
        <f ca="1">(E34-I34)/I34</f>
        <v>0.11550505585673732</v>
      </c>
      <c r="I34" s="297">
        <f ca="1">INDEX([4]DS!C14:AL14,1,3*T!$A$4-2)</f>
        <v>9193.3002420927514</v>
      </c>
      <c r="J34" s="298">
        <f ca="1">INDEX([4]DS!D14:AM14,1,3*T!$A$4-2)</f>
        <v>97704.54595</v>
      </c>
      <c r="K34" s="351">
        <f t="shared" ca="1" si="10"/>
        <v>1.9092702611684161E-2</v>
      </c>
    </row>
    <row r="35" spans="1:11" ht="14.45" customHeight="1" x14ac:dyDescent="0.2">
      <c r="A35" s="291"/>
      <c r="B35" s="291"/>
      <c r="C35" s="258" t="s">
        <v>2</v>
      </c>
      <c r="D35" s="252">
        <f ca="1">D33</f>
        <v>2298091</v>
      </c>
      <c r="E35" s="251">
        <f ca="1">SUM(E33:E34)</f>
        <v>554113.7479000634</v>
      </c>
      <c r="F35" s="251">
        <f ca="1">SUM(F33:F34)</f>
        <v>5919530.216430001</v>
      </c>
      <c r="G35" s="335">
        <f ca="1">SUM(G33:G34)</f>
        <v>1</v>
      </c>
      <c r="H35" s="317">
        <f ca="1">(E35-I35)/I35</f>
        <v>0.15078684728057226</v>
      </c>
      <c r="I35" s="303">
        <f ca="1">SUM(I33:I34)</f>
        <v>481508.58624209272</v>
      </c>
      <c r="J35" s="304">
        <f ca="1">SUM(J33:J34)</f>
        <v>5117376.4084570007</v>
      </c>
      <c r="K35" s="353">
        <f ca="1">SUM(K33:K34)</f>
        <v>1</v>
      </c>
    </row>
    <row r="36" spans="1:11" ht="14.45" customHeight="1" x14ac:dyDescent="0.2">
      <c r="A36" s="95"/>
      <c r="B36" s="95"/>
      <c r="C36" s="95"/>
      <c r="D36" s="246"/>
      <c r="E36" s="95"/>
      <c r="F36" s="95"/>
      <c r="G36" s="342"/>
      <c r="H36" s="326"/>
      <c r="I36" s="287"/>
      <c r="J36" s="308"/>
      <c r="K36" s="357"/>
    </row>
    <row r="37" spans="1:11" ht="14.45" customHeight="1" x14ac:dyDescent="0.2">
      <c r="A37" s="821" t="s">
        <v>86</v>
      </c>
      <c r="B37" s="821"/>
      <c r="C37" s="240"/>
      <c r="D37" s="255"/>
      <c r="E37" s="240"/>
      <c r="F37" s="240"/>
      <c r="G37" s="343"/>
      <c r="H37" s="327"/>
      <c r="I37" s="288"/>
      <c r="J37" s="300"/>
      <c r="K37" s="358"/>
    </row>
    <row r="38" spans="1:11" ht="14.45" customHeight="1" x14ac:dyDescent="0.2">
      <c r="A38" s="95"/>
      <c r="B38" s="95"/>
      <c r="C38" s="256" t="s">
        <v>6</v>
      </c>
      <c r="D38" s="244">
        <f ca="1">INDEX([2]DS!B17:AK17,1,3*T!$A$4-2)</f>
        <v>135</v>
      </c>
      <c r="E38" s="89">
        <f ca="1">INDEX([2]DS!C17:AL17,1,3*T!$A$4-2)</f>
        <v>11663.361999999999</v>
      </c>
      <c r="F38" s="96">
        <f ca="1">INDEX([2]DS!D17:AM17,1,3*T!$A$4-2)</f>
        <v>124535.588</v>
      </c>
      <c r="G38" s="333">
        <f ca="1">E38/$E$44</f>
        <v>0.43471630674878819</v>
      </c>
      <c r="H38" s="315">
        <f ca="1">(E38-I38)/I38</f>
        <v>7.4375165174412533E-2</v>
      </c>
      <c r="I38" s="299">
        <f ca="1">INDEX([4]DS!C17:AL17,1,3*T!$A$4-2)</f>
        <v>10855.949000000001</v>
      </c>
      <c r="J38" s="300">
        <f ca="1">INDEX([4]DS!D17:AM17,1,3*T!$A$4-2)</f>
        <v>115183.398</v>
      </c>
      <c r="K38" s="351">
        <f ca="1">I38/$I$44</f>
        <v>0.4830781030515986</v>
      </c>
    </row>
    <row r="39" spans="1:11" ht="14.45" customHeight="1" x14ac:dyDescent="0.2">
      <c r="A39" s="95"/>
      <c r="B39" s="95"/>
      <c r="C39" s="256" t="s">
        <v>7</v>
      </c>
      <c r="D39" s="244">
        <f ca="1">INDEX([2]DS!B18:AK18,1,3*T!$A$4-2)</f>
        <v>352</v>
      </c>
      <c r="E39" s="89">
        <f ca="1">INDEX([2]DS!C18:AL18,1,3*T!$A$4-2)</f>
        <v>1686.444</v>
      </c>
      <c r="F39" s="96">
        <f ca="1">INDEX([2]DS!D18:AM18,1,3*T!$A$4-2)</f>
        <v>18007.006000000001</v>
      </c>
      <c r="G39" s="333">
        <f t="shared" ref="G39:G43" ca="1" si="11">E39/$E$44</f>
        <v>6.2857065331475892E-2</v>
      </c>
      <c r="H39" s="315">
        <f t="shared" ref="H39:H41" ca="1" si="12">(E39-I39)/I39</f>
        <v>-0.20803292137781018</v>
      </c>
      <c r="I39" s="299">
        <f ca="1">INDEX([4]DS!C18:AL18,1,3*T!$A$4-2)</f>
        <v>2129.4369999999999</v>
      </c>
      <c r="J39" s="300">
        <f ca="1">INDEX([4]DS!D18:AM18,1,3*T!$A$4-2)</f>
        <v>22595.09</v>
      </c>
      <c r="K39" s="351">
        <f t="shared" ref="K39:K43" ca="1" si="13">I39/$I$44</f>
        <v>9.475766573036469E-2</v>
      </c>
    </row>
    <row r="40" spans="1:11" ht="14.45" customHeight="1" x14ac:dyDescent="0.2">
      <c r="A40" s="291"/>
      <c r="B40" s="822"/>
      <c r="C40" s="256" t="s">
        <v>8</v>
      </c>
      <c r="D40" s="244">
        <f ca="1">INDEX([2]DS!B19:AK19,1,3*T!$A$4-2)</f>
        <v>9706</v>
      </c>
      <c r="E40" s="89">
        <f ca="1">INDEX([2]DS!C19:AL19,1,3*T!$A$4-2)</f>
        <v>4174.5380880000002</v>
      </c>
      <c r="F40" s="96">
        <f ca="1">INDEX([2]DS!D19:AM19,1,3*T!$A$4-2)</f>
        <v>44574.858635999997</v>
      </c>
      <c r="G40" s="333">
        <f t="shared" ca="1" si="11"/>
        <v>0.15559319688418383</v>
      </c>
      <c r="H40" s="315">
        <f t="shared" ca="1" si="12"/>
        <v>0.43162850729219943</v>
      </c>
      <c r="I40" s="299">
        <f ca="1">INDEX([4]DS!C19:AL19,1,3*T!$A$4-2)</f>
        <v>2915.9366880000002</v>
      </c>
      <c r="J40" s="300">
        <f ca="1">INDEX([4]DS!D19:AM19,1,3*T!$A$4-2)</f>
        <v>30943.760470000001</v>
      </c>
      <c r="K40" s="351">
        <f t="shared" ca="1" si="13"/>
        <v>0.12975605945252702</v>
      </c>
    </row>
    <row r="41" spans="1:11" ht="14.45" customHeight="1" x14ac:dyDescent="0.2">
      <c r="A41" s="291"/>
      <c r="B41" s="822"/>
      <c r="C41" s="256" t="s">
        <v>9</v>
      </c>
      <c r="D41" s="244">
        <f ca="1">INDEX([2]DS!B20:AK20,1,3*T!$A$4-2)</f>
        <v>103528</v>
      </c>
      <c r="E41" s="89">
        <f ca="1">INDEX([2]DS!C20:AL20,1,3*T!$A$4-2)</f>
        <v>8789.8659119999993</v>
      </c>
      <c r="F41" s="96">
        <f ca="1">INDEX([2]DS!D20:AM20,1,3*T!$A$4-2)</f>
        <v>93856.379363999993</v>
      </c>
      <c r="G41" s="333">
        <f t="shared" ca="1" si="11"/>
        <v>0.32761548909154226</v>
      </c>
      <c r="H41" s="315">
        <f t="shared" ca="1" si="12"/>
        <v>0.43162850729219937</v>
      </c>
      <c r="I41" s="299">
        <f ca="1">INDEX([4]DS!C20:AL20,1,3*T!$A$4-2)</f>
        <v>6139.7673119999999</v>
      </c>
      <c r="J41" s="300">
        <f ca="1">INDEX([4]DS!D20:AM20,1,3*T!$A$4-2)</f>
        <v>65154.874530000001</v>
      </c>
      <c r="K41" s="351">
        <f t="shared" ca="1" si="13"/>
        <v>0.27321306928202888</v>
      </c>
    </row>
    <row r="42" spans="1:11" ht="14.45" customHeight="1" x14ac:dyDescent="0.2">
      <c r="A42" s="291"/>
      <c r="B42" s="822"/>
      <c r="C42" s="257" t="s">
        <v>201</v>
      </c>
      <c r="D42" s="245">
        <f ca="1">SUM(D38:D41)</f>
        <v>113721</v>
      </c>
      <c r="E42" s="243">
        <f ca="1">SUM(E38:E41)</f>
        <v>26314.21</v>
      </c>
      <c r="F42" s="260">
        <f ca="1">SUM(F38:F41)</f>
        <v>280973.83199999999</v>
      </c>
      <c r="G42" s="334">
        <f t="shared" ca="1" si="11"/>
        <v>0.98078205805599017</v>
      </c>
      <c r="H42" s="316">
        <f ca="1">(E42-I42)/I42</f>
        <v>0.19387062981005018</v>
      </c>
      <c r="I42" s="301">
        <f ca="1">SUM(I38:I41)</f>
        <v>22041.09</v>
      </c>
      <c r="J42" s="302">
        <f ca="1">SUM(J38:J41)</f>
        <v>233877.12300000002</v>
      </c>
      <c r="K42" s="352">
        <f t="shared" ca="1" si="13"/>
        <v>0.98080489751651923</v>
      </c>
    </row>
    <row r="43" spans="1:11" ht="14.45" customHeight="1" x14ac:dyDescent="0.2">
      <c r="A43" s="291"/>
      <c r="B43" s="822"/>
      <c r="C43" s="239" t="s">
        <v>117</v>
      </c>
      <c r="D43" s="248"/>
      <c r="E43" s="173">
        <f ca="1">INDEX([2]DS!C21:AL21,1,3*T!$A$4-2)</f>
        <v>515.61400000000003</v>
      </c>
      <c r="F43" s="173">
        <f ca="1">INDEX([2]DS!D21:AM21,1,3*T!$A$4-2)</f>
        <v>5505.5529999999999</v>
      </c>
      <c r="G43" s="333">
        <f t="shared" ca="1" si="11"/>
        <v>1.9217941944009772E-2</v>
      </c>
      <c r="H43" s="325">
        <f ca="1">(E43-I43)/I43</f>
        <v>0.19531900194964322</v>
      </c>
      <c r="I43" s="297">
        <f ca="1">INDEX([4]DS!C21:AL21,1,3*T!$A$4-2)</f>
        <v>431.36099999999999</v>
      </c>
      <c r="J43" s="298">
        <f ca="1">INDEX([4]DS!D21:AM21,1,3*T!$A$4-2)</f>
        <v>4577.0860000000002</v>
      </c>
      <c r="K43" s="351">
        <f t="shared" ca="1" si="13"/>
        <v>1.9195102483480771E-2</v>
      </c>
    </row>
    <row r="44" spans="1:11" ht="14.45" customHeight="1" x14ac:dyDescent="0.2">
      <c r="A44" s="291"/>
      <c r="B44" s="822"/>
      <c r="C44" s="258" t="s">
        <v>2</v>
      </c>
      <c r="D44" s="252">
        <f ca="1">D42</f>
        <v>113721</v>
      </c>
      <c r="E44" s="251">
        <f ca="1">SUM(E42:E43)</f>
        <v>26829.824000000001</v>
      </c>
      <c r="F44" s="251">
        <f ca="1">SUM(F42:F43)</f>
        <v>286479.38500000001</v>
      </c>
      <c r="G44" s="335">
        <f ca="1">SUM(G42:G43)</f>
        <v>0.99999999999999989</v>
      </c>
      <c r="H44" s="317">
        <f ca="1">(E44-I44)/I44</f>
        <v>0.19389843146170391</v>
      </c>
      <c r="I44" s="303">
        <f ca="1">SUM(I42:I43)</f>
        <v>22472.451000000001</v>
      </c>
      <c r="J44" s="304">
        <f ca="1">SUM(J42:J43)</f>
        <v>238454.20900000003</v>
      </c>
      <c r="K44" s="353">
        <f ca="1">SUM(K42:K43)</f>
        <v>1</v>
      </c>
    </row>
    <row r="45" spans="1:11" ht="14.45" customHeight="1" x14ac:dyDescent="0.2">
      <c r="A45" s="291"/>
      <c r="B45" s="822"/>
      <c r="C45" s="291"/>
      <c r="D45" s="309"/>
      <c r="E45" s="305"/>
      <c r="F45" s="305"/>
      <c r="G45" s="344"/>
      <c r="H45" s="328"/>
      <c r="I45" s="310"/>
      <c r="J45" s="308"/>
      <c r="K45" s="359"/>
    </row>
    <row r="46" spans="1:11" ht="14.45" customHeight="1" x14ac:dyDescent="0.2">
      <c r="A46" s="821" t="s">
        <v>209</v>
      </c>
      <c r="B46" s="821"/>
      <c r="C46" s="240"/>
      <c r="D46" s="238"/>
      <c r="E46" s="823"/>
      <c r="F46" s="821"/>
      <c r="G46" s="345"/>
      <c r="H46" s="327"/>
      <c r="I46" s="289"/>
      <c r="J46" s="311"/>
      <c r="K46" s="360"/>
    </row>
    <row r="47" spans="1:11" ht="14.45" customHeight="1" x14ac:dyDescent="0.2">
      <c r="A47" s="824" t="s">
        <v>203</v>
      </c>
      <c r="B47" s="824"/>
      <c r="C47" s="256" t="s">
        <v>6</v>
      </c>
      <c r="D47" s="248">
        <f ca="1">INDEX([2]DS!B26:AK26,1,3*T!$A$4-2)</f>
        <v>11</v>
      </c>
      <c r="E47" s="247">
        <f ca="1">INDEX([2]DS!C26:AL26,1,3*T!$A$4-2)</f>
        <v>32754.201000000001</v>
      </c>
      <c r="F47" s="173">
        <f ca="1">INDEX([2]DS!D26:AM26,1,3*T!$A$4-2)</f>
        <v>349299.337</v>
      </c>
      <c r="G47" s="346">
        <f ca="1">E47/$E$51</f>
        <v>0.95143618227376692</v>
      </c>
      <c r="H47" s="315">
        <f t="shared" ref="H47:H51" ca="1" si="14">(E47-I47)/I47</f>
        <v>16.180972428469442</v>
      </c>
      <c r="I47" s="299">
        <f ca="1">INDEX([4]DS!C26:AL26,1,3*T!$A$4-2)</f>
        <v>1906.423</v>
      </c>
      <c r="J47" s="300">
        <f ca="1">INDEX([4]DS!D26:AM26,1,3*T!$A$4-2)</f>
        <v>20235.914000000001</v>
      </c>
      <c r="K47" s="361">
        <f ca="1">I47/$I$51</f>
        <v>0.57211318005142464</v>
      </c>
    </row>
    <row r="48" spans="1:11" ht="14.45" customHeight="1" x14ac:dyDescent="0.2">
      <c r="A48" s="824" t="s">
        <v>204</v>
      </c>
      <c r="B48" s="824"/>
      <c r="C48" s="256" t="s">
        <v>201</v>
      </c>
      <c r="D48" s="248">
        <f ca="1">INDEX([2]DS!B32:AK32,1,3*T!$A$4-2)</f>
        <v>160</v>
      </c>
      <c r="E48" s="247">
        <f ca="1">INDEX([2]DS!C32:AL32,1,3*T!$A$4-2)</f>
        <v>1091</v>
      </c>
      <c r="F48" s="173">
        <f ca="1">INDEX([2]DS!D32:AM32,1,3*T!$A$4-2)</f>
        <v>11449</v>
      </c>
      <c r="G48" s="346">
        <f t="shared" ref="G48:G50" ca="1" si="15">E48/$E$51</f>
        <v>3.1691106580822401E-2</v>
      </c>
      <c r="H48" s="315">
        <f t="shared" ca="1" si="14"/>
        <v>0.31129807692307693</v>
      </c>
      <c r="I48" s="299">
        <f ca="1">INDEX([4]DS!C32:AL32,1,3*T!$A$4-2)</f>
        <v>832</v>
      </c>
      <c r="J48" s="300">
        <f ca="1">INDEX([4]DS!D32:AM32,1,3*T!$A$4-2)</f>
        <v>8708</v>
      </c>
      <c r="K48" s="361">
        <f ca="1">I48/$I$51</f>
        <v>0.24968129623005247</v>
      </c>
    </row>
    <row r="49" spans="1:11" ht="14.45" customHeight="1" x14ac:dyDescent="0.2">
      <c r="A49" s="329"/>
      <c r="B49" s="329"/>
      <c r="C49" s="257" t="s">
        <v>201</v>
      </c>
      <c r="D49" s="245">
        <f ca="1">SUM(D47:D48)</f>
        <v>171</v>
      </c>
      <c r="E49" s="243">
        <f ca="1">SUM(E47:E48)</f>
        <v>33845.201000000001</v>
      </c>
      <c r="F49" s="260">
        <f ca="1">SUM(F47:F48)</f>
        <v>360748.337</v>
      </c>
      <c r="G49" s="334">
        <f t="shared" ca="1" si="15"/>
        <v>0.98312728885458933</v>
      </c>
      <c r="H49" s="316">
        <f t="shared" ca="1" si="14"/>
        <v>11.359376546282297</v>
      </c>
      <c r="I49" s="301">
        <f ca="1">SUM(I47:I48)</f>
        <v>2738.4229999999998</v>
      </c>
      <c r="J49" s="302">
        <f ca="1">SUM(J47:J48)</f>
        <v>28943.914000000001</v>
      </c>
      <c r="K49" s="352">
        <f t="shared" ref="K49:K50" ca="1" si="16">I49/$I$51</f>
        <v>0.82179447628147706</v>
      </c>
    </row>
    <row r="50" spans="1:11" ht="14.45" customHeight="1" x14ac:dyDescent="0.2">
      <c r="A50" s="824" t="s">
        <v>208</v>
      </c>
      <c r="B50" s="824"/>
      <c r="C50" s="256" t="s">
        <v>163</v>
      </c>
      <c r="D50" s="248"/>
      <c r="E50" s="247">
        <f ca="1">INDEX([2]DS!C34:AL34,1,3*T!$A$4-2)</f>
        <v>580.86099999999897</v>
      </c>
      <c r="F50" s="173">
        <f ca="1">INDEX([2]DS!D34:AM34,1,3*T!$A$4-2)</f>
        <v>6459.1083999999973</v>
      </c>
      <c r="G50" s="346">
        <f t="shared" ca="1" si="15"/>
        <v>1.6872711145410679E-2</v>
      </c>
      <c r="H50" s="315">
        <f t="shared" ca="1" si="14"/>
        <v>-2.1831347619251033E-2</v>
      </c>
      <c r="I50" s="297">
        <f ca="1">INDEX([4]DS!C34:AL34,1,3*T!$A$4-2)</f>
        <v>593.82500000000073</v>
      </c>
      <c r="J50" s="298">
        <f ca="1">INDEX([4]DS!D34:AM34,1,3*T!$A$4-2)</f>
        <v>6417.3715800000209</v>
      </c>
      <c r="K50" s="361">
        <f t="shared" ca="1" si="16"/>
        <v>0.17820552371852294</v>
      </c>
    </row>
    <row r="51" spans="1:11" ht="14.45" customHeight="1" x14ac:dyDescent="0.2">
      <c r="A51" s="312"/>
      <c r="B51" s="312"/>
      <c r="C51" s="258" t="s">
        <v>2</v>
      </c>
      <c r="D51" s="252">
        <f ca="1">D49</f>
        <v>171</v>
      </c>
      <c r="E51" s="250">
        <f ca="1">SUM(E49:E50)</f>
        <v>34426.061999999998</v>
      </c>
      <c r="F51" s="251">
        <f ca="1">SUM(F49:F50)</f>
        <v>367207.44539999997</v>
      </c>
      <c r="G51" s="335">
        <f ca="1">SUM(G49:G50)</f>
        <v>1</v>
      </c>
      <c r="H51" s="317">
        <f t="shared" ca="1" si="14"/>
        <v>9.3311824330001834</v>
      </c>
      <c r="I51" s="290">
        <f ca="1">SUM(I49:I50)</f>
        <v>3332.2480000000005</v>
      </c>
      <c r="J51" s="261">
        <f ca="1">SUM(J49:J50)</f>
        <v>35361.285580000025</v>
      </c>
      <c r="K51" s="353">
        <f ca="1">SUM(K49:K50)</f>
        <v>1</v>
      </c>
    </row>
    <row r="52" spans="1:11" ht="14.45" customHeight="1" x14ac:dyDescent="0.2">
      <c r="A52" s="312"/>
      <c r="B52" s="312"/>
      <c r="C52" s="239"/>
      <c r="D52" s="248"/>
      <c r="E52" s="247"/>
      <c r="F52" s="173"/>
      <c r="G52" s="347"/>
      <c r="H52" s="266"/>
      <c r="I52" s="288"/>
      <c r="J52" s="300"/>
      <c r="K52" s="362"/>
    </row>
    <row r="53" spans="1:11" ht="14.45" customHeight="1" x14ac:dyDescent="0.2">
      <c r="A53" s="312"/>
      <c r="B53" s="312"/>
      <c r="C53" s="239"/>
      <c r="D53" s="173"/>
      <c r="E53" s="173"/>
      <c r="F53" s="173"/>
      <c r="G53" s="173"/>
      <c r="H53" s="95"/>
      <c r="I53" s="288"/>
      <c r="J53" s="300"/>
      <c r="K53" s="313"/>
    </row>
    <row r="54" spans="1:11" ht="15.75" customHeight="1" x14ac:dyDescent="0.2">
      <c r="A54" s="62"/>
      <c r="B54" s="242"/>
      <c r="C54" s="242"/>
      <c r="D54" s="242"/>
      <c r="E54" s="242"/>
      <c r="F54" s="242"/>
      <c r="G54" s="242"/>
      <c r="H54" s="242"/>
      <c r="I54" s="87"/>
      <c r="J54" s="242"/>
    </row>
    <row r="55" spans="1:11" ht="15" customHeight="1" x14ac:dyDescent="0.2">
      <c r="A55" s="798" t="s">
        <v>296</v>
      </c>
      <c r="B55" s="798"/>
      <c r="C55" s="798"/>
      <c r="D55" s="798"/>
      <c r="E55" s="798"/>
      <c r="F55" s="798"/>
      <c r="G55" s="798"/>
      <c r="H55" s="798"/>
      <c r="I55" s="798"/>
      <c r="J55" s="798"/>
      <c r="K55" s="798"/>
    </row>
    <row r="56" spans="1:11" ht="15" customHeight="1" x14ac:dyDescent="0.2">
      <c r="A56" s="798"/>
      <c r="B56" s="798"/>
      <c r="C56" s="798"/>
      <c r="D56" s="798"/>
      <c r="E56" s="798"/>
      <c r="F56" s="798"/>
      <c r="G56" s="798"/>
      <c r="H56" s="798"/>
      <c r="I56" s="798"/>
      <c r="J56" s="798"/>
      <c r="K56" s="798"/>
    </row>
    <row r="57" spans="1:11" ht="15" customHeight="1" x14ac:dyDescent="0.2">
      <c r="A57" s="798"/>
      <c r="B57" s="798"/>
      <c r="C57" s="798"/>
      <c r="D57" s="798"/>
      <c r="E57" s="798"/>
      <c r="F57" s="798"/>
      <c r="G57" s="798"/>
      <c r="H57" s="798"/>
      <c r="I57" s="798"/>
      <c r="J57" s="798"/>
      <c r="K57" s="798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0" t="s">
        <v>245</v>
      </c>
      <c r="K1" s="820"/>
    </row>
    <row r="2" spans="1:17" ht="6.75" customHeight="1" x14ac:dyDescent="0.2"/>
    <row r="3" spans="1:17" ht="30" customHeight="1" x14ac:dyDescent="0.2">
      <c r="A3" s="828" t="s">
        <v>280</v>
      </c>
      <c r="B3" s="828"/>
      <c r="C3" s="828"/>
      <c r="D3" s="828"/>
      <c r="E3" s="828"/>
      <c r="F3" s="828"/>
      <c r="G3" s="828"/>
      <c r="H3" s="828"/>
      <c r="I3" s="828"/>
      <c r="J3" s="828"/>
      <c r="K3" s="828"/>
    </row>
    <row r="4" spans="1:17" ht="16.5" customHeight="1" x14ac:dyDescent="0.2">
      <c r="B4" s="241"/>
      <c r="C4" s="241"/>
      <c r="D4" s="827" t="str">
        <f>T!G19</f>
        <v>Říjen</v>
      </c>
      <c r="E4" s="827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0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Říjen</v>
      </c>
      <c r="F7" s="264">
        <f>F4</f>
        <v>2015</v>
      </c>
      <c r="G7" s="264"/>
      <c r="H7" s="831"/>
      <c r="I7" s="279" t="str">
        <f>D4</f>
        <v>Říjen</v>
      </c>
      <c r="J7" s="259">
        <f>F4-1</f>
        <v>2014</v>
      </c>
      <c r="K7" s="273"/>
    </row>
    <row r="8" spans="1:17" ht="14.1" customHeight="1" x14ac:dyDescent="0.2">
      <c r="A8" s="277"/>
      <c r="B8" s="371"/>
      <c r="C8" s="843" t="s">
        <v>95</v>
      </c>
      <c r="D8" s="837"/>
      <c r="E8" s="839" t="s">
        <v>71</v>
      </c>
      <c r="F8" s="793"/>
      <c r="G8" s="330" t="s">
        <v>205</v>
      </c>
      <c r="H8" s="831"/>
      <c r="I8" s="840" t="s">
        <v>71</v>
      </c>
      <c r="J8" s="793"/>
      <c r="K8" s="348" t="s">
        <v>205</v>
      </c>
    </row>
    <row r="9" spans="1:17" ht="14.1" customHeight="1" x14ac:dyDescent="0.2">
      <c r="A9" s="249"/>
      <c r="B9" s="372"/>
      <c r="C9" s="850"/>
      <c r="D9" s="838"/>
      <c r="E9" s="265" t="s">
        <v>15</v>
      </c>
      <c r="F9" s="265" t="s">
        <v>1</v>
      </c>
      <c r="G9" s="331" t="s">
        <v>118</v>
      </c>
      <c r="H9" s="832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33" t="s">
        <v>4</v>
      </c>
      <c r="B10" s="833"/>
      <c r="C10" s="364"/>
      <c r="D10" s="253"/>
      <c r="E10" s="364"/>
      <c r="F10" s="364"/>
      <c r="G10" s="332"/>
      <c r="H10" s="314"/>
      <c r="I10" s="281"/>
      <c r="J10" s="364"/>
      <c r="K10" s="350"/>
    </row>
    <row r="11" spans="1:17" ht="14.45" customHeight="1" x14ac:dyDescent="0.2">
      <c r="A11" s="95"/>
      <c r="B11" s="95"/>
      <c r="C11" s="844" t="s">
        <v>72</v>
      </c>
      <c r="D11" s="845"/>
      <c r="E11" s="96">
        <f ca="1">'5'!E26</f>
        <v>77007.596999999994</v>
      </c>
      <c r="F11" s="96">
        <f ca="1">'5'!F26</f>
        <v>821915.51099996164</v>
      </c>
      <c r="G11" s="333">
        <f ca="1">E11/$E$15</f>
        <v>0.11122202401123607</v>
      </c>
      <c r="H11" s="315">
        <f ca="1">(E11-I11)/I11</f>
        <v>0.29826169932458668</v>
      </c>
      <c r="I11" s="282">
        <f ca="1">'5'!I26</f>
        <v>59315.927628507226</v>
      </c>
      <c r="J11" s="96">
        <f ca="1">'5'!J26</f>
        <v>629569.13499991805</v>
      </c>
      <c r="K11" s="351">
        <f ca="1">I11/$I$15</f>
        <v>0.10468208535879546</v>
      </c>
    </row>
    <row r="12" spans="1:17" ht="14.45" customHeight="1" x14ac:dyDescent="0.2">
      <c r="A12" s="95"/>
      <c r="B12" s="95"/>
      <c r="C12" s="844" t="s">
        <v>73</v>
      </c>
      <c r="D12" s="845"/>
      <c r="E12" s="96">
        <f ca="1">'5'!E35</f>
        <v>554113.7479000634</v>
      </c>
      <c r="F12" s="96">
        <f ca="1">'5'!F35</f>
        <v>5919530.216430001</v>
      </c>
      <c r="G12" s="333">
        <f ca="1">E12/$E$15</f>
        <v>0.80030613828784802</v>
      </c>
      <c r="H12" s="315">
        <f t="shared" ref="H12:H13" ca="1" si="0">(E12-I12)/I12</f>
        <v>0.15078684728057226</v>
      </c>
      <c r="I12" s="282">
        <f ca="1">'5'!I35</f>
        <v>481508.58624209272</v>
      </c>
      <c r="J12" s="96">
        <f ca="1">'5'!J35</f>
        <v>5117376.4084570007</v>
      </c>
      <c r="K12" s="351">
        <f ca="1">I12/$I$15</f>
        <v>0.84977720051305217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844" t="s">
        <v>74</v>
      </c>
      <c r="D13" s="845"/>
      <c r="E13" s="96">
        <f ca="1">'5'!E44</f>
        <v>26829.824000000001</v>
      </c>
      <c r="F13" s="96">
        <f ca="1">'5'!F44</f>
        <v>286479.38500000001</v>
      </c>
      <c r="G13" s="333">
        <f ca="1">E13/$E$15</f>
        <v>3.8750297962748245E-2</v>
      </c>
      <c r="H13" s="315">
        <f t="shared" ca="1" si="0"/>
        <v>0.19389843146170391</v>
      </c>
      <c r="I13" s="282">
        <f ca="1">'5'!I44</f>
        <v>22472.451000000001</v>
      </c>
      <c r="J13" s="96">
        <f ca="1">'5'!J44</f>
        <v>238454.20900000003</v>
      </c>
      <c r="K13" s="351">
        <f ca="1">I13/$I$15</f>
        <v>3.9659887788263383E-2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844" t="s">
        <v>164</v>
      </c>
      <c r="D14" s="845"/>
      <c r="E14" s="96">
        <f ca="1">'5'!E51</f>
        <v>34426.061999999998</v>
      </c>
      <c r="F14" s="96">
        <f ca="1">'5'!F51</f>
        <v>367207.44539999997</v>
      </c>
      <c r="G14" s="333">
        <f ca="1">E14/$E$15</f>
        <v>4.9721539738167675E-2</v>
      </c>
      <c r="H14" s="315">
        <f ca="1">(E14-I14)/I14</f>
        <v>9.3311824330001834</v>
      </c>
      <c r="I14" s="282">
        <f ca="1">'5'!I51</f>
        <v>3332.2480000000005</v>
      </c>
      <c r="J14" s="96">
        <f ca="1">'5'!J51</f>
        <v>35361.285580000025</v>
      </c>
      <c r="K14" s="351">
        <f ca="1">I14/$I$15</f>
        <v>5.8808263398890089E-3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841" t="s">
        <v>5</v>
      </c>
      <c r="D15" s="842"/>
      <c r="E15" s="250">
        <f ca="1">SUM(E11:E14)</f>
        <v>692377.23090006341</v>
      </c>
      <c r="F15" s="251">
        <f ca="1">SUM(F11:F14)</f>
        <v>7395132.5578299621</v>
      </c>
      <c r="G15" s="335">
        <f ca="1">SUM(G11:G14)</f>
        <v>1</v>
      </c>
      <c r="H15" s="317">
        <f ca="1">(E15-I15)/I15</f>
        <v>0.22192293509261818</v>
      </c>
      <c r="I15" s="285">
        <f ca="1">SUM(I11:I14)</f>
        <v>566629.21287059993</v>
      </c>
      <c r="J15" s="251">
        <f ca="1">SUM(J11:J14)</f>
        <v>6020761.0380369183</v>
      </c>
      <c r="K15" s="353">
        <f ca="1">SUM(K11:K14)</f>
        <v>0.99999999999999989</v>
      </c>
      <c r="L15" s="283"/>
      <c r="M15" s="283"/>
      <c r="O15" s="283"/>
      <c r="P15" s="283"/>
      <c r="Q15" s="283"/>
    </row>
    <row r="16" spans="1:17" ht="14.45" customHeight="1" x14ac:dyDescent="0.2">
      <c r="A16" s="291"/>
      <c r="B16" s="267"/>
      <c r="C16" s="256"/>
      <c r="D16" s="375"/>
      <c r="E16" s="376"/>
      <c r="F16" s="376"/>
      <c r="G16" s="377"/>
      <c r="H16" s="378"/>
      <c r="I16" s="379"/>
      <c r="J16" s="376"/>
      <c r="K16" s="380"/>
      <c r="L16" s="283"/>
      <c r="M16" s="283"/>
      <c r="O16" s="283"/>
      <c r="P16" s="283"/>
      <c r="Q16" s="283"/>
    </row>
    <row r="17" spans="1:16" ht="14.45" customHeight="1" x14ac:dyDescent="0.2">
      <c r="A17" s="829"/>
      <c r="B17" s="829"/>
      <c r="C17" s="829"/>
      <c r="D17" s="296"/>
      <c r="E17" s="174"/>
      <c r="F17" s="174"/>
      <c r="G17" s="337"/>
      <c r="H17" s="319"/>
      <c r="I17" s="297"/>
      <c r="J17" s="298"/>
      <c r="K17" s="355"/>
      <c r="L17" s="283"/>
      <c r="M17" s="283"/>
    </row>
    <row r="18" spans="1:16" ht="6" customHeight="1" x14ac:dyDescent="0.2">
      <c r="A18" s="95"/>
      <c r="B18" s="95"/>
      <c r="C18" s="256"/>
      <c r="D18" s="96"/>
      <c r="E18" s="96"/>
      <c r="F18" s="96"/>
      <c r="G18" s="381"/>
      <c r="H18" s="382"/>
      <c r="I18" s="300"/>
      <c r="J18" s="300"/>
      <c r="K18" s="383"/>
      <c r="L18" s="283"/>
      <c r="M18" s="283"/>
      <c r="N18" s="283"/>
    </row>
    <row r="19" spans="1:16" ht="14.45" customHeight="1" x14ac:dyDescent="0.2">
      <c r="A19" s="836" t="s">
        <v>226</v>
      </c>
      <c r="B19" s="836"/>
      <c r="C19" s="836"/>
      <c r="D19" s="836"/>
      <c r="E19" s="836"/>
      <c r="F19" s="836"/>
      <c r="G19" s="836"/>
      <c r="H19" s="836"/>
      <c r="I19" s="836"/>
      <c r="J19" s="836"/>
      <c r="K19" s="836"/>
      <c r="L19" s="286"/>
      <c r="M19" s="286"/>
      <c r="N19" s="283"/>
    </row>
    <row r="20" spans="1:16" ht="14.45" customHeight="1" x14ac:dyDescent="0.2">
      <c r="A20" s="174"/>
      <c r="B20" s="847"/>
      <c r="C20" s="366"/>
      <c r="D20" s="173"/>
      <c r="E20" s="852" t="str">
        <f>E7</f>
        <v>Říjen</v>
      </c>
      <c r="F20" s="852"/>
      <c r="G20" s="386"/>
      <c r="H20" s="384"/>
      <c r="I20" s="298"/>
      <c r="J20" s="298"/>
      <c r="K20" s="387"/>
      <c r="L20" s="283"/>
      <c r="M20" s="283"/>
      <c r="N20" s="283"/>
      <c r="O20" s="283"/>
      <c r="P20" s="283"/>
    </row>
    <row r="21" spans="1:16" ht="14.45" customHeight="1" x14ac:dyDescent="0.2">
      <c r="A21" s="174"/>
      <c r="B21" s="847"/>
      <c r="C21" s="366"/>
      <c r="D21" s="173"/>
      <c r="E21" s="482">
        <f>F7</f>
        <v>2015</v>
      </c>
      <c r="F21" s="483">
        <f>J7</f>
        <v>2014</v>
      </c>
      <c r="H21" s="384"/>
      <c r="I21" s="298"/>
      <c r="J21" s="298"/>
      <c r="K21" s="387"/>
      <c r="L21" s="283"/>
      <c r="M21" s="283"/>
      <c r="N21" s="283"/>
      <c r="O21" s="283"/>
      <c r="P21" s="283"/>
    </row>
    <row r="22" spans="1:16" ht="14.45" customHeight="1" x14ac:dyDescent="0.2">
      <c r="A22" s="174"/>
      <c r="B22" s="847"/>
      <c r="C22" s="366"/>
      <c r="D22" s="173" t="str">
        <f>C11</f>
        <v>PP Distribuce</v>
      </c>
      <c r="E22" s="173">
        <f ca="1">E11</f>
        <v>77007.596999999994</v>
      </c>
      <c r="F22" s="481">
        <f ca="1">I11</f>
        <v>59315.927628507226</v>
      </c>
      <c r="H22" s="384"/>
      <c r="I22" s="298"/>
      <c r="J22" s="298"/>
      <c r="K22" s="387"/>
      <c r="L22" s="283"/>
      <c r="M22" s="283"/>
      <c r="N22" s="283"/>
      <c r="O22" s="283"/>
      <c r="P22" s="283"/>
    </row>
    <row r="23" spans="1:16" ht="14.45" customHeight="1" x14ac:dyDescent="0.2">
      <c r="A23" s="174"/>
      <c r="B23" s="847"/>
      <c r="C23" s="366"/>
      <c r="D23" s="173" t="str">
        <f>C12</f>
        <v>RWE GasNet</v>
      </c>
      <c r="E23" s="173">
        <f ca="1">E12</f>
        <v>554113.7479000634</v>
      </c>
      <c r="F23" s="481">
        <f ca="1">I12</f>
        <v>481508.58624209272</v>
      </c>
      <c r="H23" s="384"/>
      <c r="I23" s="298"/>
      <c r="J23" s="298"/>
      <c r="K23" s="387"/>
      <c r="L23" s="283"/>
      <c r="M23" s="283"/>
      <c r="N23" s="283"/>
      <c r="O23" s="283"/>
      <c r="P23" s="283"/>
    </row>
    <row r="24" spans="1:16" ht="14.45" customHeight="1" x14ac:dyDescent="0.2">
      <c r="A24" s="174"/>
      <c r="B24" s="847"/>
      <c r="C24" s="366"/>
      <c r="D24" s="173" t="str">
        <f>C13</f>
        <v>E.ON Distribuce</v>
      </c>
      <c r="E24" s="173">
        <f ca="1">E13</f>
        <v>26829.824000000001</v>
      </c>
      <c r="F24" s="481">
        <f ca="1">I13</f>
        <v>22472.451000000001</v>
      </c>
      <c r="H24" s="384"/>
      <c r="I24" s="298"/>
      <c r="J24" s="298"/>
      <c r="K24" s="387"/>
      <c r="L24" s="283"/>
      <c r="M24" s="283"/>
      <c r="N24" s="283"/>
      <c r="O24" s="283"/>
      <c r="P24" s="283"/>
    </row>
    <row r="25" spans="1:16" ht="14.45" customHeight="1" x14ac:dyDescent="0.2">
      <c r="A25" s="174"/>
      <c r="B25" s="847"/>
      <c r="C25" s="174"/>
      <c r="D25" s="173" t="str">
        <f>C14</f>
        <v>Ostatní společnosti</v>
      </c>
      <c r="E25" s="173">
        <f ca="1">E14</f>
        <v>34426.061999999998</v>
      </c>
      <c r="F25" s="481">
        <f ca="1">I14</f>
        <v>3332.2480000000005</v>
      </c>
      <c r="H25" s="385"/>
      <c r="I25" s="298"/>
      <c r="J25" s="298"/>
      <c r="K25" s="174"/>
      <c r="L25" s="286"/>
      <c r="N25" s="283"/>
      <c r="O25" s="283"/>
      <c r="P25" s="283"/>
    </row>
    <row r="26" spans="1:16" ht="14.45" customHeight="1" x14ac:dyDescent="0.2">
      <c r="A26" s="851"/>
      <c r="B26" s="851"/>
      <c r="C26" s="174"/>
      <c r="D26" s="174"/>
      <c r="E26" s="174"/>
      <c r="F26" s="174"/>
      <c r="G26" s="174"/>
      <c r="H26" s="385"/>
      <c r="I26" s="298"/>
      <c r="J26" s="298"/>
      <c r="K26" s="174"/>
      <c r="L26" s="286"/>
      <c r="N26" s="283"/>
      <c r="O26" s="283"/>
      <c r="P26" s="283"/>
    </row>
    <row r="27" spans="1:16" ht="14.45" customHeight="1" x14ac:dyDescent="0.2">
      <c r="A27" s="846"/>
      <c r="B27" s="846"/>
      <c r="C27" s="366"/>
      <c r="D27" s="173"/>
      <c r="E27" s="173"/>
      <c r="F27" s="173"/>
      <c r="G27" s="387"/>
      <c r="H27" s="388"/>
      <c r="I27" s="298"/>
      <c r="J27" s="298"/>
      <c r="K27" s="387"/>
    </row>
    <row r="28" spans="1:16" ht="14.45" customHeight="1" x14ac:dyDescent="0.2">
      <c r="A28" s="846"/>
      <c r="B28" s="846"/>
      <c r="C28" s="366"/>
      <c r="D28" s="173"/>
      <c r="E28" s="173"/>
      <c r="F28" s="173"/>
      <c r="G28" s="387"/>
      <c r="H28" s="388"/>
      <c r="I28" s="298"/>
      <c r="J28" s="298"/>
      <c r="K28" s="387"/>
    </row>
    <row r="29" spans="1:16" ht="14.45" customHeight="1" x14ac:dyDescent="0.2">
      <c r="A29" s="174"/>
      <c r="B29" s="174"/>
      <c r="C29" s="366"/>
      <c r="D29" s="173"/>
      <c r="E29" s="173"/>
      <c r="F29" s="173"/>
      <c r="G29" s="387"/>
      <c r="H29" s="388"/>
      <c r="I29" s="298"/>
      <c r="J29" s="298"/>
      <c r="K29" s="387"/>
    </row>
    <row r="30" spans="1:16" ht="14.45" customHeight="1" x14ac:dyDescent="0.2">
      <c r="A30" s="174"/>
      <c r="B30" s="174"/>
      <c r="C30" s="366"/>
      <c r="D30" s="173"/>
      <c r="E30" s="173"/>
      <c r="F30" s="173"/>
      <c r="G30" s="387"/>
      <c r="H30" s="388"/>
      <c r="I30" s="298"/>
      <c r="J30" s="298"/>
      <c r="K30" s="387"/>
    </row>
    <row r="31" spans="1:16" ht="14.45" customHeight="1" x14ac:dyDescent="0.2">
      <c r="A31" s="174"/>
      <c r="B31" s="174"/>
      <c r="C31" s="366"/>
      <c r="D31" s="173"/>
      <c r="E31" s="173"/>
      <c r="F31" s="173"/>
      <c r="G31" s="387"/>
      <c r="H31" s="388"/>
      <c r="I31" s="298"/>
      <c r="J31" s="298"/>
      <c r="K31" s="387"/>
    </row>
    <row r="32" spans="1:16" ht="14.45" customHeight="1" x14ac:dyDescent="0.2">
      <c r="A32" s="851" t="s">
        <v>96</v>
      </c>
      <c r="B32" s="851"/>
      <c r="C32" s="851"/>
      <c r="D32" s="851"/>
      <c r="E32" s="851"/>
      <c r="F32" s="851"/>
      <c r="G32" s="851"/>
      <c r="H32" s="851"/>
      <c r="I32" s="851"/>
      <c r="J32" s="851"/>
      <c r="K32" s="851"/>
    </row>
    <row r="33" spans="1:11" ht="14.45" customHeight="1" x14ac:dyDescent="0.2">
      <c r="A33" s="174"/>
      <c r="B33" s="174"/>
      <c r="C33" s="366"/>
      <c r="D33" s="173"/>
      <c r="E33" s="173" t="str">
        <f>E7</f>
        <v>Říjen</v>
      </c>
      <c r="F33" s="426">
        <f>F7</f>
        <v>2015</v>
      </c>
      <c r="G33" s="387"/>
      <c r="H33" s="388"/>
      <c r="I33" s="298"/>
      <c r="J33" s="298"/>
      <c r="K33" s="387"/>
    </row>
    <row r="34" spans="1:11" ht="14.45" customHeight="1" x14ac:dyDescent="0.2">
      <c r="A34" s="389"/>
      <c r="B34" s="389"/>
      <c r="C34" s="389"/>
      <c r="D34" s="389"/>
      <c r="E34" s="389"/>
      <c r="F34" s="389"/>
      <c r="G34" s="389"/>
      <c r="H34" s="390"/>
      <c r="I34" s="391"/>
      <c r="J34" s="298"/>
      <c r="K34" s="389"/>
    </row>
    <row r="35" spans="1:11" ht="14.45" customHeight="1" x14ac:dyDescent="0.2">
      <c r="A35" s="846"/>
      <c r="B35" s="846"/>
      <c r="C35" s="389"/>
      <c r="D35" s="389"/>
      <c r="E35" s="389" t="str">
        <f>C11</f>
        <v>PP Distribuce</v>
      </c>
      <c r="F35" s="391">
        <f ca="1">E11</f>
        <v>77007.596999999994</v>
      </c>
      <c r="G35" s="389"/>
      <c r="H35" s="390"/>
      <c r="I35" s="391"/>
      <c r="J35" s="298"/>
      <c r="K35" s="389"/>
    </row>
    <row r="36" spans="1:11" ht="14.45" customHeight="1" x14ac:dyDescent="0.2">
      <c r="A36" s="389"/>
      <c r="B36" s="389"/>
      <c r="C36" s="366"/>
      <c r="D36" s="173"/>
      <c r="E36" s="389" t="str">
        <f t="shared" ref="E36:E38" si="1">C12</f>
        <v>RWE GasNet</v>
      </c>
      <c r="F36" s="391">
        <f t="shared" ref="F36:F38" ca="1" si="2">E12</f>
        <v>554113.7479000634</v>
      </c>
      <c r="G36" s="387"/>
      <c r="H36" s="388"/>
      <c r="I36" s="298"/>
      <c r="J36" s="298"/>
      <c r="K36" s="387"/>
    </row>
    <row r="37" spans="1:11" ht="14.45" customHeight="1" x14ac:dyDescent="0.2">
      <c r="A37" s="389"/>
      <c r="B37" s="389"/>
      <c r="C37" s="366"/>
      <c r="D37" s="173"/>
      <c r="E37" s="389" t="str">
        <f t="shared" si="1"/>
        <v>E.ON Distribuce</v>
      </c>
      <c r="F37" s="391">
        <f t="shared" ca="1" si="2"/>
        <v>26829.824000000001</v>
      </c>
      <c r="G37" s="387"/>
      <c r="H37" s="388"/>
      <c r="I37" s="298"/>
      <c r="J37" s="298"/>
      <c r="K37" s="387"/>
    </row>
    <row r="38" spans="1:11" ht="14.45" customHeight="1" x14ac:dyDescent="0.2">
      <c r="A38" s="174"/>
      <c r="B38" s="847"/>
      <c r="C38" s="366"/>
      <c r="D38" s="173"/>
      <c r="E38" s="389" t="str">
        <f t="shared" si="1"/>
        <v>Ostatní společnosti</v>
      </c>
      <c r="F38" s="391">
        <f t="shared" ca="1" si="2"/>
        <v>34426.061999999998</v>
      </c>
      <c r="G38" s="387"/>
      <c r="H38" s="388"/>
      <c r="I38" s="298"/>
      <c r="J38" s="298"/>
      <c r="K38" s="387"/>
    </row>
    <row r="39" spans="1:11" ht="14.45" customHeight="1" x14ac:dyDescent="0.2">
      <c r="A39" s="174"/>
      <c r="B39" s="847"/>
      <c r="C39" s="366"/>
      <c r="D39" s="173"/>
      <c r="E39" s="389"/>
      <c r="F39" s="389"/>
      <c r="G39" s="387"/>
      <c r="H39" s="388"/>
      <c r="I39" s="298"/>
      <c r="J39" s="298"/>
      <c r="K39" s="387"/>
    </row>
    <row r="40" spans="1:11" ht="14.45" customHeight="1" x14ac:dyDescent="0.2">
      <c r="A40" s="174"/>
      <c r="B40" s="847"/>
      <c r="C40" s="366"/>
      <c r="D40" s="173"/>
      <c r="E40" s="173"/>
      <c r="F40" s="173"/>
      <c r="G40" s="387"/>
      <c r="H40" s="388"/>
      <c r="I40" s="298"/>
      <c r="J40" s="298"/>
      <c r="K40" s="387"/>
    </row>
    <row r="41" spans="1:11" ht="14.45" customHeight="1" x14ac:dyDescent="0.2">
      <c r="A41" s="174"/>
      <c r="B41" s="847"/>
      <c r="C41" s="366"/>
      <c r="D41" s="173"/>
      <c r="E41" s="173"/>
      <c r="F41" s="173"/>
      <c r="G41" s="387"/>
      <c r="H41" s="388"/>
      <c r="I41" s="298"/>
      <c r="J41" s="298"/>
      <c r="K41" s="387"/>
    </row>
    <row r="42" spans="1:11" ht="14.45" customHeight="1" x14ac:dyDescent="0.2">
      <c r="A42" s="174"/>
      <c r="B42" s="847"/>
      <c r="C42" s="366"/>
      <c r="D42" s="173"/>
      <c r="E42" s="173"/>
      <c r="F42" s="173"/>
      <c r="G42" s="387"/>
      <c r="H42" s="388"/>
      <c r="I42" s="298"/>
      <c r="J42" s="298"/>
      <c r="K42" s="387"/>
    </row>
    <row r="43" spans="1:11" ht="14.45" customHeight="1" x14ac:dyDescent="0.2">
      <c r="A43" s="846"/>
      <c r="B43" s="846"/>
      <c r="C43" s="389"/>
      <c r="D43" s="365"/>
      <c r="E43" s="846"/>
      <c r="F43" s="846"/>
      <c r="G43" s="365"/>
      <c r="H43" s="390"/>
      <c r="I43" s="391"/>
      <c r="J43" s="298"/>
      <c r="K43" s="365"/>
    </row>
    <row r="44" spans="1:11" ht="14.45" customHeight="1" x14ac:dyDescent="0.25">
      <c r="A44" s="270"/>
      <c r="B44" s="126"/>
      <c r="C44" s="273"/>
      <c r="D44" s="273"/>
      <c r="E44" s="274"/>
      <c r="F44" s="273"/>
      <c r="G44" s="275"/>
      <c r="H44" s="848" t="s">
        <v>225</v>
      </c>
      <c r="I44" s="275"/>
      <c r="J44" s="275"/>
      <c r="K44" s="275"/>
    </row>
    <row r="45" spans="1:11" ht="14.45" customHeight="1" x14ac:dyDescent="0.25">
      <c r="A45" s="277"/>
      <c r="B45" s="278"/>
      <c r="C45" s="262"/>
      <c r="D45" s="262"/>
      <c r="E45" s="263" t="str">
        <f>E7</f>
        <v>Říjen</v>
      </c>
      <c r="F45" s="264">
        <f>F7</f>
        <v>2015</v>
      </c>
      <c r="G45" s="264"/>
      <c r="H45" s="849"/>
      <c r="I45" s="397" t="str">
        <f>I7</f>
        <v>Říjen</v>
      </c>
      <c r="J45" s="259">
        <f>J7</f>
        <v>2014</v>
      </c>
      <c r="K45" s="275"/>
    </row>
    <row r="46" spans="1:11" ht="14.45" customHeight="1" x14ac:dyDescent="0.2">
      <c r="A46" s="277"/>
      <c r="B46" s="371"/>
      <c r="C46" s="843" t="s">
        <v>95</v>
      </c>
      <c r="D46" s="837"/>
      <c r="E46" s="839" t="s">
        <v>224</v>
      </c>
      <c r="F46" s="793"/>
      <c r="G46" s="425"/>
      <c r="H46" s="849"/>
      <c r="I46" s="840" t="s">
        <v>224</v>
      </c>
      <c r="J46" s="793"/>
      <c r="K46" s="87"/>
    </row>
    <row r="47" spans="1:11" ht="12.95" customHeight="1" x14ac:dyDescent="0.2">
      <c r="A47" s="408"/>
      <c r="B47" s="371"/>
      <c r="C47" s="843"/>
      <c r="D47" s="837"/>
      <c r="E47" s="411" t="s">
        <v>69</v>
      </c>
      <c r="F47" s="373" t="s">
        <v>126</v>
      </c>
      <c r="G47" s="393" t="s">
        <v>127</v>
      </c>
      <c r="H47" s="849"/>
      <c r="I47" s="418" t="s">
        <v>69</v>
      </c>
      <c r="J47" s="373" t="s">
        <v>126</v>
      </c>
      <c r="K47" s="373" t="s">
        <v>127</v>
      </c>
    </row>
    <row r="48" spans="1:11" ht="12.95" customHeight="1" x14ac:dyDescent="0.2">
      <c r="A48" s="249"/>
      <c r="B48" s="372"/>
      <c r="C48" s="850"/>
      <c r="D48" s="838"/>
      <c r="E48" s="412" t="s">
        <v>14</v>
      </c>
      <c r="F48" s="265" t="s">
        <v>14</v>
      </c>
      <c r="G48" s="265" t="s">
        <v>14</v>
      </c>
      <c r="H48" s="410" t="s">
        <v>14</v>
      </c>
      <c r="I48" s="419" t="s">
        <v>14</v>
      </c>
      <c r="J48" s="265" t="s">
        <v>14</v>
      </c>
      <c r="K48" s="265" t="s">
        <v>14</v>
      </c>
    </row>
    <row r="49" spans="1:11" ht="14.45" customHeight="1" x14ac:dyDescent="0.2">
      <c r="A49" s="843" t="s">
        <v>4</v>
      </c>
      <c r="B49" s="843"/>
      <c r="C49" s="364"/>
      <c r="D49" s="253"/>
      <c r="E49" s="413"/>
      <c r="F49" s="364"/>
      <c r="G49" s="394"/>
      <c r="H49" s="409"/>
      <c r="I49" s="420"/>
      <c r="J49" s="364"/>
      <c r="K49" s="364"/>
    </row>
    <row r="50" spans="1:11" ht="14.45" customHeight="1" x14ac:dyDescent="0.2">
      <c r="A50" s="95"/>
      <c r="B50" s="95"/>
      <c r="C50" s="844" t="s">
        <v>72</v>
      </c>
      <c r="D50" s="845"/>
      <c r="E50" s="414">
        <f ca="1">INDEX([5]MZ!D21:BK21,1,5*T!$A$4-4)</f>
        <v>8.9161290322580644</v>
      </c>
      <c r="F50" s="400">
        <f ca="1">INDEX([5]MZ!E21:BL21,1,5*T!$A$4-4)</f>
        <v>14.8</v>
      </c>
      <c r="G50" s="401">
        <f ca="1">INDEX([5]MZ!F21:BM21,1,5*T!$A$4-4)</f>
        <v>2.7</v>
      </c>
      <c r="H50" s="402">
        <f ca="1">E50-I50</f>
        <v>-2.2580645161290391</v>
      </c>
      <c r="I50" s="421">
        <f ca="1">INDEX([6]MZ!D21:BK21,1,5*T!$A$4-4)</f>
        <v>11.174193548387104</v>
      </c>
      <c r="J50" s="400">
        <f ca="1">INDEX([6]MZ!E21:BL21,1,5*T!$A$4-4)</f>
        <v>15.4</v>
      </c>
      <c r="K50" s="403">
        <f ca="1">INDEX([6]MZ!F21:BM21,1,5*T!$A$4-4)</f>
        <v>4.0999999999999996</v>
      </c>
    </row>
    <row r="51" spans="1:11" ht="14.45" customHeight="1" x14ac:dyDescent="0.2">
      <c r="A51" s="95"/>
      <c r="B51" s="95"/>
      <c r="C51" s="844" t="s">
        <v>73</v>
      </c>
      <c r="D51" s="845"/>
      <c r="E51" s="414">
        <f ca="1">INDEX([5]MZ!D22:BK22,1,5*T!$A$4-4)</f>
        <v>8.1956989247311842</v>
      </c>
      <c r="F51" s="400">
        <f ca="1">INDEX([5]MZ!E22:BL22,1,5*T!$A$4-4)</f>
        <v>13.5</v>
      </c>
      <c r="G51" s="401">
        <f ca="1">INDEX([5]MZ!F22:BM22,1,5*T!$A$4-4)</f>
        <v>2.15</v>
      </c>
      <c r="H51" s="402">
        <f t="shared" ref="H51:H54" ca="1" si="3">E51-I51</f>
        <v>-2.1123655913978485</v>
      </c>
      <c r="I51" s="421">
        <f ca="1">INDEX([6]MZ!D22:BK22,1,5*T!$A$4-4)</f>
        <v>10.308064516129033</v>
      </c>
      <c r="J51" s="400">
        <f ca="1">INDEX([6]MZ!E22:BL22,1,5*T!$A$4-4)</f>
        <v>14.583333333333334</v>
      </c>
      <c r="K51" s="403">
        <f ca="1">INDEX([6]MZ!F22:BM22,1,5*T!$A$4-4)</f>
        <v>3.0666666666666664</v>
      </c>
    </row>
    <row r="52" spans="1:11" ht="15.75" customHeight="1" x14ac:dyDescent="0.2">
      <c r="A52" s="291"/>
      <c r="B52" s="267"/>
      <c r="C52" s="844" t="s">
        <v>74</v>
      </c>
      <c r="D52" s="845"/>
      <c r="E52" s="414">
        <f ca="1">INDEX([5]MZ!D23:BK23,1,5*T!$A$4-4)</f>
        <v>7.7161290322580642</v>
      </c>
      <c r="F52" s="400">
        <f ca="1">INDEX([5]MZ!E23:BL23,1,5*T!$A$4-4)</f>
        <v>13</v>
      </c>
      <c r="G52" s="401">
        <f ca="1">INDEX([5]MZ!F23:BM23,1,5*T!$A$4-4)</f>
        <v>1.7</v>
      </c>
      <c r="H52" s="402">
        <f t="shared" ca="1" si="3"/>
        <v>-2.1612903225806486</v>
      </c>
      <c r="I52" s="421">
        <f ca="1">INDEX([6]MZ!D23:BK23,1,5*T!$A$4-4)</f>
        <v>9.8774193548387128</v>
      </c>
      <c r="J52" s="400">
        <f ca="1">INDEX([6]MZ!E23:BL23,1,5*T!$A$4-4)</f>
        <v>13.9</v>
      </c>
      <c r="K52" s="403">
        <f ca="1">INDEX([6]MZ!F23:BM23,1,5*T!$A$4-4)</f>
        <v>3</v>
      </c>
    </row>
    <row r="53" spans="1:11" ht="15" customHeight="1" x14ac:dyDescent="0.2">
      <c r="A53" s="291"/>
      <c r="B53" s="267"/>
      <c r="C53" s="844" t="s">
        <v>164</v>
      </c>
      <c r="D53" s="845"/>
      <c r="E53" s="414">
        <f ca="1">INDEX([5]MZ!D24:BK24,1,5*T!$A$4-4)</f>
        <v>8.1580645161290342</v>
      </c>
      <c r="F53" s="400">
        <f ca="1">INDEX([5]MZ!E24:BL24,1,5*T!$A$4-4)</f>
        <v>13.4</v>
      </c>
      <c r="G53" s="401">
        <f ca="1">INDEX([5]MZ!F24:BM24,1,5*T!$A$4-4)</f>
        <v>2.1</v>
      </c>
      <c r="H53" s="402">
        <f t="shared" ca="1" si="3"/>
        <v>-2.1032258064516114</v>
      </c>
      <c r="I53" s="421">
        <f ca="1">INDEX([6]MZ!D24:BK24,1,5*T!$A$4-4)</f>
        <v>10.261290322580646</v>
      </c>
      <c r="J53" s="400">
        <f ca="1">INDEX([6]MZ!E24:BL24,1,5*T!$A$4-4)</f>
        <v>14.5</v>
      </c>
      <c r="K53" s="403">
        <f ca="1">INDEX([6]MZ!F24:BM24,1,5*T!$A$4-4)</f>
        <v>3.2</v>
      </c>
    </row>
    <row r="54" spans="1:11" ht="15" customHeight="1" x14ac:dyDescent="0.2">
      <c r="A54" s="291"/>
      <c r="B54" s="267"/>
      <c r="C54" s="841" t="s">
        <v>5</v>
      </c>
      <c r="D54" s="842"/>
      <c r="E54" s="415">
        <f ca="1">INDEX([5]MZ!D25:BK25,1,5*T!$A$4-4)</f>
        <v>8.1580645161290342</v>
      </c>
      <c r="F54" s="404">
        <f ca="1">INDEX([5]MZ!E25:BL25,1,5*T!$A$4-4)</f>
        <v>13.4</v>
      </c>
      <c r="G54" s="405">
        <f ca="1">INDEX([5]MZ!F25:BM25,1,5*T!$A$4-4)</f>
        <v>2.1</v>
      </c>
      <c r="H54" s="406">
        <f t="shared" ca="1" si="3"/>
        <v>-2.1032258064516114</v>
      </c>
      <c r="I54" s="422">
        <f ca="1">INDEX([6]MZ!D25:BK25,1,5*T!$A$4-4)</f>
        <v>10.261290322580646</v>
      </c>
      <c r="J54" s="404">
        <f ca="1">INDEX([6]MZ!E25:BL25,1,5*T!$A$4-4)</f>
        <v>14.5</v>
      </c>
      <c r="K54" s="407">
        <f ca="1">INDEX([6]MZ!F25:BM25,1,5*T!$A$4-4)</f>
        <v>3.2</v>
      </c>
    </row>
    <row r="55" spans="1:11" ht="15" customHeight="1" x14ac:dyDescent="0.2">
      <c r="A55" s="291"/>
      <c r="B55" s="267"/>
      <c r="C55" s="256"/>
      <c r="D55" s="375"/>
      <c r="E55" s="416"/>
      <c r="F55" s="376"/>
      <c r="G55" s="395"/>
      <c r="H55" s="398"/>
      <c r="I55" s="423"/>
      <c r="J55" s="376"/>
      <c r="K55" s="392"/>
    </row>
    <row r="56" spans="1:11" ht="15" customHeight="1" x14ac:dyDescent="0.2">
      <c r="A56" s="829"/>
      <c r="B56" s="829"/>
      <c r="C56" s="829"/>
      <c r="D56" s="296"/>
      <c r="E56" s="417"/>
      <c r="F56" s="174"/>
      <c r="G56" s="396"/>
      <c r="H56" s="399"/>
      <c r="I56" s="424"/>
      <c r="J56" s="298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topLeftCell="A10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0" t="s">
        <v>246</v>
      </c>
      <c r="K1" s="820"/>
    </row>
    <row r="2" spans="1:17" ht="6.75" customHeight="1" x14ac:dyDescent="0.2"/>
    <row r="3" spans="1:17" ht="30" customHeight="1" x14ac:dyDescent="0.2">
      <c r="A3" s="828" t="s">
        <v>210</v>
      </c>
      <c r="B3" s="828"/>
      <c r="C3" s="828"/>
      <c r="D3" s="828"/>
      <c r="E3" s="828"/>
      <c r="F3" s="828"/>
      <c r="G3" s="828"/>
      <c r="H3" s="828"/>
      <c r="I3" s="828"/>
      <c r="J3" s="828"/>
      <c r="K3" s="828"/>
    </row>
    <row r="4" spans="1:17" ht="16.5" customHeight="1" x14ac:dyDescent="0.2">
      <c r="B4" s="241"/>
      <c r="C4" s="241"/>
      <c r="D4" s="827" t="str">
        <f>T!G19</f>
        <v>Říjen</v>
      </c>
      <c r="E4" s="827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0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Říjen</v>
      </c>
      <c r="F7" s="264">
        <f>F4</f>
        <v>2015</v>
      </c>
      <c r="G7" s="264"/>
      <c r="H7" s="831"/>
      <c r="I7" s="279" t="str">
        <f>D4</f>
        <v>Říjen</v>
      </c>
      <c r="J7" s="259">
        <f>F4-1</f>
        <v>2014</v>
      </c>
      <c r="K7" s="273"/>
    </row>
    <row r="8" spans="1:17" ht="14.1" customHeight="1" x14ac:dyDescent="0.2">
      <c r="A8" s="277"/>
      <c r="B8" s="825" t="s">
        <v>92</v>
      </c>
      <c r="C8" s="825"/>
      <c r="D8" s="837" t="s">
        <v>0</v>
      </c>
      <c r="E8" s="839" t="s">
        <v>71</v>
      </c>
      <c r="F8" s="793"/>
      <c r="G8" s="330" t="s">
        <v>205</v>
      </c>
      <c r="H8" s="831"/>
      <c r="I8" s="840" t="s">
        <v>71</v>
      </c>
      <c r="J8" s="793"/>
      <c r="K8" s="348" t="s">
        <v>205</v>
      </c>
    </row>
    <row r="9" spans="1:17" ht="14.1" customHeight="1" x14ac:dyDescent="0.2">
      <c r="A9" s="249"/>
      <c r="B9" s="826"/>
      <c r="C9" s="826"/>
      <c r="D9" s="838"/>
      <c r="E9" s="265" t="s">
        <v>15</v>
      </c>
      <c r="F9" s="265" t="s">
        <v>1</v>
      </c>
      <c r="G9" s="331" t="s">
        <v>118</v>
      </c>
      <c r="H9" s="832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33" t="s">
        <v>211</v>
      </c>
      <c r="B10" s="833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 ca="1">INDEX([2]Kraje!B3:AK3,1,3*T!$A$4-2)</f>
        <v>117</v>
      </c>
      <c r="E11" s="96">
        <f ca="1">INDEX([2]Kraje!C3:AL3,1,3*T!$A$4-2)</f>
        <v>10039.65</v>
      </c>
      <c r="F11" s="96">
        <f ca="1">INDEX([2]Kraje!D3:AM3,1,3*T!$A$4-2)</f>
        <v>107198.40300000001</v>
      </c>
      <c r="G11" s="333">
        <f ca="1">E11/$E$15</f>
        <v>0.44162450816424587</v>
      </c>
      <c r="H11" s="315">
        <f ca="1">(E11-I11)/I11</f>
        <v>3.1587085271351144E-2</v>
      </c>
      <c r="I11" s="282">
        <f ca="1">INDEX([4]Kraje!C3:AL3,1,3*T!$A$4-2)</f>
        <v>9732.237000000001</v>
      </c>
      <c r="J11" s="96">
        <f ca="1">INDEX([4]Kraje!D3:AM3,1,3*T!$A$4-2)</f>
        <v>103260.20699999999</v>
      </c>
      <c r="K11" s="351">
        <f ca="1">I11/$I$15</f>
        <v>0.50621152499894284</v>
      </c>
    </row>
    <row r="12" spans="1:17" ht="14.1" customHeight="1" x14ac:dyDescent="0.2">
      <c r="A12" s="95"/>
      <c r="B12" s="95"/>
      <c r="C12" s="256" t="s">
        <v>7</v>
      </c>
      <c r="D12" s="244">
        <f ca="1">INDEX([2]Kraje!B4:AK4,1,3*T!$A$4-2)</f>
        <v>312</v>
      </c>
      <c r="E12" s="96">
        <f ca="1">INDEX([2]Kraje!C4:AL4,1,3*T!$A$4-2)</f>
        <v>1203.347</v>
      </c>
      <c r="F12" s="96">
        <f ca="1">INDEX([2]Kraje!D4:AM4,1,3*T!$A$4-2)</f>
        <v>12848.51606</v>
      </c>
      <c r="G12" s="333">
        <f ca="1">E12/$E$15</f>
        <v>5.2932873857746109E-2</v>
      </c>
      <c r="H12" s="315">
        <f ca="1">(E12-I12)/I12</f>
        <v>-0.3109320063676031</v>
      </c>
      <c r="I12" s="282">
        <f ca="1">INDEX([4]Kraje!C4:AL4,1,3*T!$A$4-2)</f>
        <v>1746.34</v>
      </c>
      <c r="J12" s="96">
        <f ca="1">INDEX([4]Kraje!D4:AM4,1,3*T!$A$4-2)</f>
        <v>18531.014792999998</v>
      </c>
      <c r="K12" s="351">
        <f ca="1">I12/$I$15</f>
        <v>9.0833940292108964E-2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 ca="1">INDEX([2]Kraje!B5:AK5,1,3*T!$A$4-2)</f>
        <v>8865</v>
      </c>
      <c r="E13" s="96">
        <f ca="1">INDEX([2]Kraje!C5:AL5,1,3*T!$A$4-2)</f>
        <v>3707.7440320000001</v>
      </c>
      <c r="F13" s="96">
        <f ca="1">INDEX([2]Kraje!D5:AM5,1,3*T!$A$4-2)</f>
        <v>39591.039189999996</v>
      </c>
      <c r="G13" s="333">
        <f ca="1">E13/$E$15</f>
        <v>0.16309638628148571</v>
      </c>
      <c r="H13" s="315">
        <f t="shared" ref="H13:H15" ca="1" si="0">(E13-I13)/I13</f>
        <v>0.48598480281186585</v>
      </c>
      <c r="I13" s="282">
        <f ca="1">INDEX([4]Kraje!C5:AL5,1,3*T!$A$4-2)</f>
        <v>2495.142632</v>
      </c>
      <c r="J13" s="96">
        <f ca="1">INDEX([4]Kraje!D5:AM5,1,3*T!$A$4-2)</f>
        <v>26478.913592000001</v>
      </c>
      <c r="K13" s="351">
        <f ca="1">I13/$I$15</f>
        <v>0.12978207958094279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 ca="1">INDEX([2]Kraje!B6:AK6,1,3*T!$A$4-2)</f>
        <v>97632</v>
      </c>
      <c r="E14" s="96">
        <f ca="1">INDEX([2]Kraje!C6:AL6,1,3*T!$A$4-2)</f>
        <v>7782.7119679999996</v>
      </c>
      <c r="F14" s="96">
        <f ca="1">INDEX([2]Kraje!D6:AM6,1,3*T!$A$4-2)</f>
        <v>83102.855809999994</v>
      </c>
      <c r="G14" s="333">
        <f ca="1">E14/$E$15</f>
        <v>0.34234623169652229</v>
      </c>
      <c r="H14" s="315">
        <f t="shared" ca="1" si="0"/>
        <v>0.48188125406260512</v>
      </c>
      <c r="I14" s="282">
        <f ca="1">INDEX([4]Kraje!C6:AL6,1,3*T!$A$4-2)</f>
        <v>5251.9133679999995</v>
      </c>
      <c r="J14" s="96">
        <f ca="1">INDEX([4]Kraje!D6:AM6,1,3*T!$A$4-2)</f>
        <v>55734.322408</v>
      </c>
      <c r="K14" s="351">
        <f ca="1">I14/$I$15</f>
        <v>0.27317245512800536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 ca="1">SUM(D11:D14)</f>
        <v>106926</v>
      </c>
      <c r="E15" s="250">
        <f ca="1">SUM(E11:E14)</f>
        <v>22733.453000000001</v>
      </c>
      <c r="F15" s="251">
        <f ca="1">SUM(F11:F14)</f>
        <v>242740.81406</v>
      </c>
      <c r="G15" s="335">
        <f ca="1">SUM(G11:G14)</f>
        <v>1</v>
      </c>
      <c r="H15" s="317">
        <f t="shared" ca="1" si="0"/>
        <v>0.18245537091028416</v>
      </c>
      <c r="I15" s="285">
        <f ca="1">SUM(I11:I14)</f>
        <v>19225.633000000002</v>
      </c>
      <c r="J15" s="251">
        <f ca="1">SUM(J11:J14)</f>
        <v>204004.45779300001</v>
      </c>
      <c r="K15" s="353">
        <f ca="1">SUM(K11:K14)</f>
        <v>1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21" ht="12.95" customHeight="1" x14ac:dyDescent="0.2">
      <c r="A17" s="833" t="s">
        <v>212</v>
      </c>
      <c r="B17" s="833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21" ht="14.1" customHeight="1" x14ac:dyDescent="0.2">
      <c r="A18" s="95"/>
      <c r="B18" s="95"/>
      <c r="C18" s="256" t="s">
        <v>6</v>
      </c>
      <c r="D18" s="244">
        <f ca="1">INDEX([2]Kraje!B9:AK9,1,3*T!$A$4-2)</f>
        <v>190</v>
      </c>
      <c r="E18" s="96">
        <f ca="1">INDEX([2]Kraje!C9:AL9,1,3*T!$A$4-2)</f>
        <v>39092</v>
      </c>
      <c r="F18" s="96">
        <f ca="1">INDEX([2]Kraje!D9:AM9,1,3*T!$A$4-2)</f>
        <v>417615.5748099999</v>
      </c>
      <c r="G18" s="333">
        <f ca="1">E18/$E$22</f>
        <v>0.41522520752231895</v>
      </c>
      <c r="H18" s="315">
        <f ca="1">(E18-I18)/I18</f>
        <v>0.15927072583419344</v>
      </c>
      <c r="I18" s="282">
        <f ca="1">INDEX([4]Kraje!C9:AL9,1,3*T!$A$4-2)</f>
        <v>33721.199999999997</v>
      </c>
      <c r="J18" s="96">
        <f ca="1">INDEX([4]Kraje!D9:AM9,1,3*T!$A$4-2)</f>
        <v>358381.67765700014</v>
      </c>
      <c r="K18" s="351">
        <f ca="1">I18/$I$22</f>
        <v>0.44296444588065603</v>
      </c>
      <c r="L18" s="283"/>
      <c r="M18" s="283"/>
      <c r="N18" s="283"/>
    </row>
    <row r="19" spans="1:21" ht="14.1" customHeight="1" x14ac:dyDescent="0.2">
      <c r="A19" s="95"/>
      <c r="B19" s="95"/>
      <c r="C19" s="256" t="s">
        <v>7</v>
      </c>
      <c r="D19" s="244">
        <f ca="1">INDEX([2]Kraje!B10:AK10,1,3*T!$A$4-2)</f>
        <v>942</v>
      </c>
      <c r="E19" s="96">
        <f ca="1">INDEX([2]Kraje!C10:AL10,1,3*T!$A$4-2)</f>
        <v>11800.3</v>
      </c>
      <c r="F19" s="96">
        <f ca="1">INDEX([2]Kraje!D10:AM10,1,3*T!$A$4-2)</f>
        <v>126060.93961000003</v>
      </c>
      <c r="G19" s="333">
        <f t="shared" ref="G19:G20" ca="1" si="1">E19/$E$22</f>
        <v>0.12533976302889643</v>
      </c>
      <c r="H19" s="315">
        <f ca="1">(E19-I19)/I19</f>
        <v>9.360258750915175E-2</v>
      </c>
      <c r="I19" s="282">
        <f ca="1">INDEX([4]Kraje!C10:AL10,1,3*T!$A$4-2)</f>
        <v>10790.3</v>
      </c>
      <c r="J19" s="96">
        <f ca="1">INDEX([4]Kraje!D10:AM10,1,3*T!$A$4-2)</f>
        <v>114677.51999900004</v>
      </c>
      <c r="K19" s="351">
        <f t="shared" ref="K19:K21" ca="1" si="2">I19/$I$22</f>
        <v>0.14174226481815722</v>
      </c>
      <c r="L19" s="286"/>
      <c r="M19" s="286"/>
      <c r="N19" s="283"/>
    </row>
    <row r="20" spans="1:21" ht="14.1" customHeight="1" x14ac:dyDescent="0.2">
      <c r="A20" s="291"/>
      <c r="B20" s="267"/>
      <c r="C20" s="256" t="s">
        <v>8</v>
      </c>
      <c r="D20" s="244">
        <f ca="1">INDEX([2]Kraje!B11:AK11,1,3*T!$A$4-2)</f>
        <v>23822</v>
      </c>
      <c r="E20" s="96">
        <f ca="1">INDEX([2]Kraje!C11:AL11,1,3*T!$A$4-2)</f>
        <v>11586.9</v>
      </c>
      <c r="F20" s="96">
        <f ca="1">INDEX([2]Kraje!D11:AM11,1,3*T!$A$4-2)</f>
        <v>123781.1</v>
      </c>
      <c r="G20" s="333">
        <f t="shared" ca="1" si="1"/>
        <v>0.12307308290802101</v>
      </c>
      <c r="H20" s="315">
        <f t="shared" ref="H20:H22" ca="1" si="3">(E20-I20)/I20</f>
        <v>0.35383123408034012</v>
      </c>
      <c r="I20" s="282">
        <f ca="1">INDEX([4]Kraje!C11:AL11,1,3*T!$A$4-2)</f>
        <v>8558.6</v>
      </c>
      <c r="J20" s="96">
        <f ca="1">INDEX([4]Kraje!D11:AM11,1,3*T!$A$4-2)</f>
        <v>90959.1</v>
      </c>
      <c r="K20" s="351">
        <f ca="1">I20/$I$22</f>
        <v>0.11242647078141298</v>
      </c>
      <c r="L20" s="283"/>
      <c r="M20" s="283"/>
      <c r="N20" s="283"/>
      <c r="O20" s="283"/>
      <c r="P20" s="283"/>
    </row>
    <row r="21" spans="1:21" ht="14.1" customHeight="1" x14ac:dyDescent="0.2">
      <c r="A21" s="291"/>
      <c r="B21" s="267"/>
      <c r="C21" s="256" t="s">
        <v>9</v>
      </c>
      <c r="D21" s="244">
        <f ca="1">INDEX([2]Kraje!B12:AK12,1,3*T!$A$4-2)</f>
        <v>361286</v>
      </c>
      <c r="E21" s="96">
        <f ca="1">INDEX([2]Kraje!C12:AL12,1,3*T!$A$4-2)</f>
        <v>31667.3</v>
      </c>
      <c r="F21" s="96">
        <f ca="1">INDEX([2]Kraje!D12:AM12,1,3*T!$A$4-2)</f>
        <v>338297.8</v>
      </c>
      <c r="G21" s="333">
        <f ca="1">E21/$E$22</f>
        <v>0.33636194654076357</v>
      </c>
      <c r="H21" s="315">
        <f t="shared" ca="1" si="3"/>
        <v>0.3734890115847867</v>
      </c>
      <c r="I21" s="282">
        <f ca="1">INDEX([4]Kraje!C12:AL12,1,3*T!$A$4-2)</f>
        <v>23056.1</v>
      </c>
      <c r="J21" s="96">
        <f ca="1">INDEX([4]Kraje!D12:AM12,1,3*T!$A$4-2)</f>
        <v>245035.6</v>
      </c>
      <c r="K21" s="351">
        <f t="shared" ca="1" si="2"/>
        <v>0.30286681851977376</v>
      </c>
      <c r="L21" s="283"/>
      <c r="M21" s="283"/>
      <c r="N21" s="283"/>
      <c r="O21" s="283"/>
      <c r="P21" s="283"/>
    </row>
    <row r="22" spans="1:21" ht="14.1" customHeight="1" x14ac:dyDescent="0.2">
      <c r="A22" s="291"/>
      <c r="B22" s="267"/>
      <c r="C22" s="258" t="s">
        <v>2</v>
      </c>
      <c r="D22" s="252">
        <f ca="1">SUM(D18:D21)</f>
        <v>386240</v>
      </c>
      <c r="E22" s="250">
        <f ca="1">SUM(E18:E21)</f>
        <v>94146.5</v>
      </c>
      <c r="F22" s="251">
        <f ca="1">SUM(F18:F21)</f>
        <v>1005755.4144199998</v>
      </c>
      <c r="G22" s="335">
        <f ca="1">SUM(G18:G21)</f>
        <v>1</v>
      </c>
      <c r="H22" s="317">
        <f t="shared" ca="1" si="3"/>
        <v>0.23671613715120424</v>
      </c>
      <c r="I22" s="285">
        <f ca="1">SUM(I18:I21)</f>
        <v>76126.2</v>
      </c>
      <c r="J22" s="251">
        <f ca="1">SUM(J18:J21)</f>
        <v>809053.8976560001</v>
      </c>
      <c r="K22" s="353">
        <f ca="1">SUM(K18:K21)</f>
        <v>1</v>
      </c>
      <c r="L22" s="283"/>
      <c r="M22" s="283"/>
      <c r="N22" s="283"/>
      <c r="O22" s="283"/>
      <c r="P22" s="283"/>
    </row>
    <row r="23" spans="1:21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21" ht="12.95" customHeight="1" x14ac:dyDescent="0.2">
      <c r="A24" s="833" t="s">
        <v>213</v>
      </c>
      <c r="B24" s="833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21" ht="14.1" customHeight="1" x14ac:dyDescent="0.2">
      <c r="A25" s="95"/>
      <c r="B25" s="95"/>
      <c r="C25" s="256" t="s">
        <v>6</v>
      </c>
      <c r="D25" s="244">
        <f ca="1">INDEX([2]Kraje!B15:AK15,1,3*T!$A$4-2)</f>
        <v>51</v>
      </c>
      <c r="E25" s="96">
        <f ca="1">INDEX([2]Kraje!C15:AL15,1,3*T!$A$4-2)</f>
        <v>8991.7999999999993</v>
      </c>
      <c r="F25" s="96">
        <f ca="1">INDEX([2]Kraje!D15:AM15,1,3*T!$A$4-2)</f>
        <v>96058.326860000001</v>
      </c>
      <c r="G25" s="333">
        <f ca="1">E25/$E$29</f>
        <v>0.50741787852624332</v>
      </c>
      <c r="H25" s="315">
        <f ca="1">(E25-I25)/I25</f>
        <v>7.4314798442017743E-2</v>
      </c>
      <c r="I25" s="282">
        <f ca="1">INDEX([4]Kraje!C15:AL15,1,3*T!$A$4-2)</f>
        <v>8369.7999999999993</v>
      </c>
      <c r="J25" s="96">
        <f ca="1">INDEX([4]Kraje!D15:AM15,1,3*T!$A$4-2)</f>
        <v>88952.201280999972</v>
      </c>
      <c r="K25" s="351">
        <f ca="1">I25/$I$29</f>
        <v>0.56299734301954052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6" t="s">
        <v>7</v>
      </c>
      <c r="D26" s="244">
        <f ca="1">INDEX([2]Kraje!B16:AK16,1,3*T!$A$4-2)</f>
        <v>193</v>
      </c>
      <c r="E26" s="96">
        <f ca="1">INDEX([2]Kraje!C16:AL16,1,3*T!$A$4-2)</f>
        <v>2050</v>
      </c>
      <c r="F26" s="96">
        <f ca="1">INDEX([2]Kraje!D16:AM16,1,3*T!$A$4-2)</f>
        <v>21900.412970000012</v>
      </c>
      <c r="G26" s="333">
        <f t="shared" ref="G26:G28" ca="1" si="4">E26/$E$29</f>
        <v>0.11568391767819558</v>
      </c>
      <c r="H26" s="315">
        <f t="shared" ref="H26:H29" ca="1" si="5">(E26-I26)/I26</f>
        <v>0.32660324856015016</v>
      </c>
      <c r="I26" s="282">
        <f ca="1">INDEX([4]Kraje!C16:AL16,1,3*T!$A$4-2)</f>
        <v>1545.3</v>
      </c>
      <c r="J26" s="96">
        <f ca="1">INDEX([4]Kraje!D16:AM16,1,3*T!$A$4-2)</f>
        <v>16422.754925000001</v>
      </c>
      <c r="K26" s="351">
        <f t="shared" ref="K26:K27" ca="1" si="6">I26/$I$29</f>
        <v>0.10394511149228131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1"/>
      <c r="B27" s="267"/>
      <c r="C27" s="256" t="s">
        <v>8</v>
      </c>
      <c r="D27" s="244">
        <f ca="1">INDEX([2]Kraje!B17:AK17,1,3*T!$A$4-2)</f>
        <v>5976</v>
      </c>
      <c r="E27" s="96">
        <f ca="1">INDEX([2]Kraje!C17:AL17,1,3*T!$A$4-2)</f>
        <v>2781.8</v>
      </c>
      <c r="F27" s="96">
        <f ca="1">INDEX([2]Kraje!D17:AM17,1,3*T!$A$4-2)</f>
        <v>29718</v>
      </c>
      <c r="G27" s="333">
        <f t="shared" ca="1" si="4"/>
        <v>0.15698025473034363</v>
      </c>
      <c r="H27" s="315">
        <f t="shared" ca="1" si="5"/>
        <v>0.3331735838205695</v>
      </c>
      <c r="I27" s="282">
        <f ca="1">INDEX([4]Kraje!C17:AL17,1,3*T!$A$4-2)</f>
        <v>2086.6</v>
      </c>
      <c r="J27" s="96">
        <f ca="1">INDEX([4]Kraje!D17:AM17,1,3*T!$A$4-2)</f>
        <v>22176.3</v>
      </c>
      <c r="K27" s="351">
        <f t="shared" ca="1" si="6"/>
        <v>0.14035583358557832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1"/>
      <c r="B28" s="267"/>
      <c r="C28" s="256" t="s">
        <v>9</v>
      </c>
      <c r="D28" s="244">
        <f ca="1">INDEX([2]Kraje!B18:AK18,1,3*T!$A$4-2)</f>
        <v>79853</v>
      </c>
      <c r="E28" s="96">
        <f ca="1">INDEX([2]Kraje!C18:AL18,1,3*T!$A$4-2)</f>
        <v>3897.1</v>
      </c>
      <c r="F28" s="96">
        <f ca="1">INDEX([2]Kraje!D18:AM18,1,3*T!$A$4-2)</f>
        <v>41632.300000000003</v>
      </c>
      <c r="G28" s="333">
        <f t="shared" ca="1" si="4"/>
        <v>0.21991794906521756</v>
      </c>
      <c r="H28" s="315">
        <f t="shared" ca="1" si="5"/>
        <v>0.36033929070092141</v>
      </c>
      <c r="I28" s="282">
        <f ca="1">INDEX([4]Kraje!C18:AL18,1,3*T!$A$4-2)</f>
        <v>2864.8</v>
      </c>
      <c r="J28" s="96">
        <f ca="1">INDEX([4]Kraje!D18:AM18,1,3*T!$A$4-2)</f>
        <v>30446.3</v>
      </c>
      <c r="K28" s="351">
        <f ca="1">I28/$I$29</f>
        <v>0.19270171190259983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1"/>
      <c r="B29" s="267"/>
      <c r="C29" s="258" t="s">
        <v>2</v>
      </c>
      <c r="D29" s="252">
        <f ca="1">SUM(D25:D28)</f>
        <v>86073</v>
      </c>
      <c r="E29" s="250">
        <f ca="1">SUM(E25:E28)</f>
        <v>17720.699999999997</v>
      </c>
      <c r="F29" s="251">
        <f ca="1">SUM(F25:F28)</f>
        <v>189309.03983000002</v>
      </c>
      <c r="G29" s="335">
        <f ca="1">SUM(G25:G28)</f>
        <v>1</v>
      </c>
      <c r="H29" s="317">
        <f t="shared" ca="1" si="5"/>
        <v>0.19198869942488125</v>
      </c>
      <c r="I29" s="285">
        <f ca="1">SUM(I25:I28)</f>
        <v>14866.5</v>
      </c>
      <c r="J29" s="251">
        <f ca="1">SUM(J25:J28)</f>
        <v>157997.55620599998</v>
      </c>
      <c r="K29" s="353">
        <f ca="1">SUM(K25:K28)</f>
        <v>1</v>
      </c>
    </row>
    <row r="30" spans="1:21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21" ht="12.95" customHeight="1" x14ac:dyDescent="0.2">
      <c r="A31" s="833" t="s">
        <v>214</v>
      </c>
      <c r="B31" s="833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21" ht="14.1" customHeight="1" x14ac:dyDescent="0.2">
      <c r="A32" s="95"/>
      <c r="B32" s="95"/>
      <c r="C32" s="256" t="s">
        <v>6</v>
      </c>
      <c r="D32" s="244">
        <f ca="1">INDEX([2]Kraje!B21:AK21,1,3*T!$A$4-2)</f>
        <v>81</v>
      </c>
      <c r="E32" s="96">
        <f ca="1">INDEX([2]Kraje!C21:AL21,1,3*T!$A$4-2)</f>
        <v>11277</v>
      </c>
      <c r="F32" s="96">
        <f ca="1">INDEX([2]Kraje!D21:AM21,1,3*T!$A$4-2)</f>
        <v>120470.84220000003</v>
      </c>
      <c r="G32" s="333">
        <f ca="1">E32/$E$36</f>
        <v>0.42402547837759585</v>
      </c>
      <c r="H32" s="315">
        <f ca="1">(E32-I32)/I32</f>
        <v>1.6962908854800781E-2</v>
      </c>
      <c r="I32" s="282">
        <f ca="1">INDEX([4]Kraje!C21:AL21,1,3*T!$A$4-2)</f>
        <v>11088.9</v>
      </c>
      <c r="J32" s="96">
        <f ca="1">INDEX([4]Kraje!D21:AM21,1,3*T!$A$4-2)</f>
        <v>117850.69141900001</v>
      </c>
      <c r="K32" s="351">
        <f ca="1">I32/$I$36</f>
        <v>0.47361542371216353</v>
      </c>
    </row>
    <row r="33" spans="1:11" ht="14.1" customHeight="1" x14ac:dyDescent="0.2">
      <c r="A33" s="95"/>
      <c r="B33" s="95"/>
      <c r="C33" s="256" t="s">
        <v>7</v>
      </c>
      <c r="D33" s="244">
        <f ca="1">INDEX([2]Kraje!B22:AK22,1,3*T!$A$4-2)</f>
        <v>257</v>
      </c>
      <c r="E33" s="96">
        <f ca="1">INDEX([2]Kraje!C22:AL22,1,3*T!$A$4-2)</f>
        <v>2571.6999999999998</v>
      </c>
      <c r="F33" s="96">
        <f ca="1">INDEX([2]Kraje!D22:AM22,1,3*T!$A$4-2)</f>
        <v>27473.462839999986</v>
      </c>
      <c r="G33" s="333">
        <f t="shared" ref="G33:G35" ca="1" si="7">E33/$E$36</f>
        <v>9.6698263965918518E-2</v>
      </c>
      <c r="H33" s="315">
        <f t="shared" ref="H33:H36" ca="1" si="8">(E33-I33)/I33</f>
        <v>5.4926573139715981E-2</v>
      </c>
      <c r="I33" s="282">
        <f ca="1">INDEX([4]Kraje!C22:AL22,1,3*T!$A$4-2)</f>
        <v>2437.8000000000002</v>
      </c>
      <c r="J33" s="96">
        <f ca="1">INDEX([4]Kraje!D22:AM22,1,3*T!$A$4-2)</f>
        <v>25908.307734999995</v>
      </c>
      <c r="K33" s="351">
        <f t="shared" ref="K33:K35" ca="1" si="9">I33/$I$36</f>
        <v>0.10412030768836515</v>
      </c>
    </row>
    <row r="34" spans="1:11" ht="14.1" customHeight="1" x14ac:dyDescent="0.2">
      <c r="A34" s="291"/>
      <c r="B34" s="267"/>
      <c r="C34" s="256" t="s">
        <v>8</v>
      </c>
      <c r="D34" s="244">
        <f ca="1">INDEX([2]Kraje!B23:AK23,1,3*T!$A$4-2)</f>
        <v>9410</v>
      </c>
      <c r="E34" s="96">
        <f ca="1">INDEX([2]Kraje!C23:AL23,1,3*T!$A$4-2)</f>
        <v>4365.1000000000004</v>
      </c>
      <c r="F34" s="96">
        <f ca="1">INDEX([2]Kraje!D23:AM23,1,3*T!$A$4-2)</f>
        <v>46632</v>
      </c>
      <c r="G34" s="333">
        <f t="shared" ca="1" si="7"/>
        <v>0.16413173855334254</v>
      </c>
      <c r="H34" s="315">
        <f t="shared" ca="1" si="8"/>
        <v>0.26921958595022116</v>
      </c>
      <c r="I34" s="282">
        <f ca="1">INDEX([4]Kraje!C23:AL23,1,3*T!$A$4-2)</f>
        <v>3439.2</v>
      </c>
      <c r="J34" s="96">
        <f ca="1">INDEX([4]Kraje!D23:AM23,1,3*T!$A$4-2)</f>
        <v>36551.300000000003</v>
      </c>
      <c r="K34" s="351">
        <f t="shared" ca="1" si="9"/>
        <v>0.14689086971934753</v>
      </c>
    </row>
    <row r="35" spans="1:11" ht="14.1" customHeight="1" x14ac:dyDescent="0.2">
      <c r="A35" s="291"/>
      <c r="B35" s="267"/>
      <c r="C35" s="256" t="s">
        <v>9</v>
      </c>
      <c r="D35" s="244">
        <f ca="1">INDEX([2]Kraje!B24:AK24,1,3*T!$A$4-2)</f>
        <v>108678</v>
      </c>
      <c r="E35" s="96">
        <f ca="1">INDEX([2]Kraje!C24:AL24,1,3*T!$A$4-2)</f>
        <v>8381.2999999999993</v>
      </c>
      <c r="F35" s="96">
        <f ca="1">INDEX([2]Kraje!D24:AM24,1,3*T!$A$4-2)</f>
        <v>89536.7</v>
      </c>
      <c r="G35" s="333">
        <f t="shared" ca="1" si="7"/>
        <v>0.31514451910314301</v>
      </c>
      <c r="H35" s="315">
        <f t="shared" ca="1" si="8"/>
        <v>0.29995036759003624</v>
      </c>
      <c r="I35" s="282">
        <f ca="1">INDEX([4]Kraje!C24:AL24,1,3*T!$A$4-2)</f>
        <v>6447.4</v>
      </c>
      <c r="J35" s="96">
        <f ca="1">INDEX([4]Kraje!D24:AM24,1,3*T!$A$4-2)</f>
        <v>68521.2</v>
      </c>
      <c r="K35" s="351">
        <f t="shared" ca="1" si="9"/>
        <v>0.27537339888012363</v>
      </c>
    </row>
    <row r="36" spans="1:11" ht="14.1" customHeight="1" x14ac:dyDescent="0.2">
      <c r="A36" s="291"/>
      <c r="B36" s="267"/>
      <c r="C36" s="258" t="s">
        <v>2</v>
      </c>
      <c r="D36" s="252">
        <f ca="1">SUM(D32:D35)</f>
        <v>118426</v>
      </c>
      <c r="E36" s="250">
        <f ca="1">SUM(E32:E35)</f>
        <v>26595.100000000002</v>
      </c>
      <c r="F36" s="251">
        <f ca="1">SUM(F32:F35)</f>
        <v>284113.00504000002</v>
      </c>
      <c r="G36" s="335">
        <f ca="1">SUM(G32:G35)</f>
        <v>0.99999999999999989</v>
      </c>
      <c r="H36" s="317">
        <f t="shared" ca="1" si="8"/>
        <v>0.13589711830455334</v>
      </c>
      <c r="I36" s="285">
        <f ca="1">SUM(I32:I35)</f>
        <v>23413.300000000003</v>
      </c>
      <c r="J36" s="251">
        <f ca="1">SUM(J32:J35)</f>
        <v>248831.49915400002</v>
      </c>
      <c r="K36" s="353">
        <f ca="1">SUM(K32:K35)</f>
        <v>0.99999999999999978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33" t="s">
        <v>215</v>
      </c>
      <c r="B38" s="833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 ca="1">INDEX([2]Kraje!B27:AK27,1,3*T!$A$4-2)</f>
        <v>95</v>
      </c>
      <c r="E39" s="96">
        <f ca="1">INDEX([2]Kraje!C27:AL27,1,3*T!$A$4-2)</f>
        <v>13330.9</v>
      </c>
      <c r="F39" s="96">
        <f ca="1">INDEX([2]Kraje!D27:AM27,1,3*T!$A$4-2)</f>
        <v>142412.89218000002</v>
      </c>
      <c r="G39" s="333">
        <f ca="1">E39/$E$43</f>
        <v>0.48521168797134789</v>
      </c>
      <c r="H39" s="315">
        <f ca="1">(E39-I39)/I39</f>
        <v>0.11453055764568176</v>
      </c>
      <c r="I39" s="282">
        <f ca="1">INDEX([4]Kraje!C27:AL27,1,3*T!$A$4-2)</f>
        <v>11961</v>
      </c>
      <c r="J39" s="96">
        <f ca="1">INDEX([4]Kraje!D27:AM27,1,3*T!$A$4-2)</f>
        <v>127119.17926199996</v>
      </c>
      <c r="K39" s="351">
        <f ca="1">I39/$I$43</f>
        <v>0.53206585321370259</v>
      </c>
    </row>
    <row r="40" spans="1:11" ht="14.1" customHeight="1" x14ac:dyDescent="0.2">
      <c r="A40" s="95"/>
      <c r="B40" s="95"/>
      <c r="C40" s="256" t="s">
        <v>7</v>
      </c>
      <c r="D40" s="244">
        <f ca="1">INDEX([2]Kraje!B28:AK28,1,3*T!$A$4-2)</f>
        <v>302</v>
      </c>
      <c r="E40" s="96">
        <f ca="1">INDEX([2]Kraje!C28:AL28,1,3*T!$A$4-2)</f>
        <v>3450.3</v>
      </c>
      <c r="F40" s="96">
        <f ca="1">INDEX([2]Kraje!D28:AM28,1,3*T!$A$4-2)</f>
        <v>36858.752999999975</v>
      </c>
      <c r="G40" s="333">
        <f ca="1">E40/$E$43</f>
        <v>0.12558236030632153</v>
      </c>
      <c r="H40" s="315">
        <f t="shared" ref="H40:H43" ca="1" si="10">(E40-I40)/I40</f>
        <v>0.29691023906179526</v>
      </c>
      <c r="I40" s="282">
        <f ca="1">INDEX([4]Kraje!C28:AL28,1,3*T!$A$4-2)</f>
        <v>2660.4</v>
      </c>
      <c r="J40" s="96">
        <f ca="1">INDEX([4]Kraje!D28:AM28,1,3*T!$A$4-2)</f>
        <v>28274.549876000019</v>
      </c>
      <c r="K40" s="351">
        <f t="shared" ref="K40:K41" ca="1" si="11">I40/$I$43</f>
        <v>0.11834361641081301</v>
      </c>
    </row>
    <row r="41" spans="1:11" ht="14.1" customHeight="1" x14ac:dyDescent="0.2">
      <c r="A41" s="291"/>
      <c r="B41" s="267"/>
      <c r="C41" s="256" t="s">
        <v>8</v>
      </c>
      <c r="D41" s="244">
        <f ca="1">INDEX([2]Kraje!B29:AK29,1,3*T!$A$4-2)</f>
        <v>8532</v>
      </c>
      <c r="E41" s="96">
        <f ca="1">INDEX([2]Kraje!C29:AL29,1,3*T!$A$4-2)</f>
        <v>4335.8999999999996</v>
      </c>
      <c r="F41" s="96">
        <f ca="1">INDEX([2]Kraje!D29:AM29,1,3*T!$A$4-2)</f>
        <v>46319.4</v>
      </c>
      <c r="G41" s="333">
        <f t="shared" ref="G41:G42" ca="1" si="12">E41/$E$43</f>
        <v>0.15781600326121772</v>
      </c>
      <c r="H41" s="315">
        <f t="shared" ca="1" si="10"/>
        <v>0.40853717961212338</v>
      </c>
      <c r="I41" s="282">
        <f ca="1">INDEX([4]Kraje!C29:AL29,1,3*T!$A$4-2)</f>
        <v>3078.3</v>
      </c>
      <c r="J41" s="96">
        <f ca="1">INDEX([4]Kraje!D29:AM29,1,3*T!$A$4-2)</f>
        <v>32715.8</v>
      </c>
      <c r="K41" s="351">
        <f t="shared" ca="1" si="11"/>
        <v>0.13693322598008031</v>
      </c>
    </row>
    <row r="42" spans="1:11" ht="14.1" customHeight="1" x14ac:dyDescent="0.2">
      <c r="A42" s="291"/>
      <c r="B42" s="267"/>
      <c r="C42" s="256" t="s">
        <v>9</v>
      </c>
      <c r="D42" s="244">
        <f ca="1">INDEX([2]Kraje!B30:AK30,1,3*T!$A$4-2)</f>
        <v>83630</v>
      </c>
      <c r="E42" s="96">
        <f ca="1">INDEX([2]Kraje!C30:AL30,1,3*T!$A$4-2)</f>
        <v>6357.3</v>
      </c>
      <c r="F42" s="96">
        <f ca="1">INDEX([2]Kraje!D30:AM30,1,3*T!$A$4-2)</f>
        <v>67914.5</v>
      </c>
      <c r="G42" s="333">
        <f t="shared" ca="1" si="12"/>
        <v>0.23138994846111291</v>
      </c>
      <c r="H42" s="315">
        <f t="shared" ca="1" si="10"/>
        <v>0.3298121574697736</v>
      </c>
      <c r="I42" s="282">
        <f ca="1">INDEX([4]Kraje!C30:AL30,1,3*T!$A$4-2)</f>
        <v>4780.6000000000004</v>
      </c>
      <c r="J42" s="96">
        <f ca="1">INDEX([4]Kraje!D30:AM30,1,3*T!$A$4-2)</f>
        <v>50806.8</v>
      </c>
      <c r="K42" s="351">
        <f ca="1">I42/$I$43</f>
        <v>0.21265730439540395</v>
      </c>
    </row>
    <row r="43" spans="1:11" ht="14.1" customHeight="1" x14ac:dyDescent="0.2">
      <c r="A43" s="291"/>
      <c r="B43" s="267"/>
      <c r="C43" s="258" t="s">
        <v>2</v>
      </c>
      <c r="D43" s="252">
        <f ca="1">SUM(D39:D42)</f>
        <v>92559</v>
      </c>
      <c r="E43" s="250">
        <f ca="1">SUM(E39:E42)</f>
        <v>27474.399999999998</v>
      </c>
      <c r="F43" s="251">
        <f ca="1">SUM(F39:F42)</f>
        <v>293505.54518000002</v>
      </c>
      <c r="G43" s="335">
        <f ca="1">SUM(G39:G42)</f>
        <v>1</v>
      </c>
      <c r="H43" s="317">
        <f t="shared" ca="1" si="10"/>
        <v>0.22215450861420863</v>
      </c>
      <c r="I43" s="285">
        <f ca="1">SUM(I39:I42)</f>
        <v>22480.300000000003</v>
      </c>
      <c r="J43" s="251">
        <f ca="1">SUM(J39:J42)</f>
        <v>238916.32913799997</v>
      </c>
      <c r="K43" s="353">
        <f ca="1">SUM(K39:K42)</f>
        <v>0.99999999999999989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33" t="s">
        <v>216</v>
      </c>
      <c r="B45" s="833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 ca="1">INDEX([2]Kraje!B33:AK33,1,3*T!$A$4-2)</f>
        <v>135</v>
      </c>
      <c r="E46" s="96">
        <f ca="1">INDEX([2]Kraje!C33:AL33,1,3*T!$A$4-2)</f>
        <v>44311.1</v>
      </c>
      <c r="F46" s="96">
        <f ca="1">INDEX([2]Kraje!D33:AM33,1,3*T!$A$4-2)</f>
        <v>473193.80458</v>
      </c>
      <c r="G46" s="333">
        <f ca="1">E46/$E$50</f>
        <v>0.5823161506585719</v>
      </c>
      <c r="H46" s="315">
        <f ca="1">(E46-I46)/I46</f>
        <v>7.4870344406010009E-2</v>
      </c>
      <c r="I46" s="282">
        <f ca="1">INDEX([4]Kraje!C33:AL33,1,3*T!$A$4-2)</f>
        <v>41224.6</v>
      </c>
      <c r="J46" s="96">
        <f ca="1">INDEX([4]Kraje!D33:AM33,1,3*T!$A$4-2)</f>
        <v>438008.40335000004</v>
      </c>
      <c r="K46" s="351">
        <f ca="1">I46/$I$50</f>
        <v>0.62252322823186923</v>
      </c>
    </row>
    <row r="47" spans="1:11" ht="14.1" customHeight="1" x14ac:dyDescent="0.2">
      <c r="A47" s="95"/>
      <c r="B47" s="95"/>
      <c r="C47" s="256" t="s">
        <v>7</v>
      </c>
      <c r="D47" s="244">
        <f ca="1">INDEX([2]Kraje!B34:AK34,1,3*T!$A$4-2)</f>
        <v>480</v>
      </c>
      <c r="E47" s="96">
        <f ca="1">INDEX([2]Kraje!C34:AL34,1,3*T!$A$4-2)</f>
        <v>5101.6000000000004</v>
      </c>
      <c r="F47" s="96">
        <f ca="1">INDEX([2]Kraje!D34:AM34,1,3*T!$A$4-2)</f>
        <v>54481.696959999994</v>
      </c>
      <c r="G47" s="333">
        <f t="shared" ref="G47:G49" ca="1" si="13">E47/$E$50</f>
        <v>6.7042887091491088E-2</v>
      </c>
      <c r="H47" s="315">
        <f t="shared" ref="H47:H50" ca="1" si="14">(E47-I47)/I47</f>
        <v>0.17776341305753068</v>
      </c>
      <c r="I47" s="282">
        <f ca="1">INDEX([4]Kraje!C34:AL34,1,3*T!$A$4-2)</f>
        <v>4331.6000000000004</v>
      </c>
      <c r="J47" s="96">
        <f ca="1">INDEX([4]Kraje!D34:AM34,1,3*T!$A$4-2)</f>
        <v>46024.741327000025</v>
      </c>
      <c r="K47" s="351">
        <f t="shared" ref="K47:K49" ca="1" si="15">I47/$I$50</f>
        <v>6.5410497989287109E-2</v>
      </c>
    </row>
    <row r="48" spans="1:11" ht="14.1" customHeight="1" x14ac:dyDescent="0.2">
      <c r="A48" s="291"/>
      <c r="B48" s="267"/>
      <c r="C48" s="256" t="s">
        <v>8</v>
      </c>
      <c r="D48" s="244">
        <f ca="1">INDEX([2]Kraje!B35:AK35,1,3*T!$A$4-2)</f>
        <v>17998</v>
      </c>
      <c r="E48" s="96">
        <f ca="1">INDEX([2]Kraje!C35:AL35,1,3*T!$A$4-2)</f>
        <v>8042.7749999999996</v>
      </c>
      <c r="F48" s="96">
        <f ca="1">INDEX([2]Kraje!D35:AM35,1,3*T!$A$4-2)</f>
        <v>85907.088999999993</v>
      </c>
      <c r="G48" s="333">
        <f t="shared" ca="1" si="13"/>
        <v>0.10569445982187298</v>
      </c>
      <c r="H48" s="315">
        <f t="shared" ca="1" si="14"/>
        <v>0.27848048748618226</v>
      </c>
      <c r="I48" s="282">
        <f ca="1">INDEX([4]Kraje!C35:AL35,1,3*T!$A$4-2)</f>
        <v>6290.8860000000004</v>
      </c>
      <c r="J48" s="96">
        <f ca="1">INDEX([4]Kraje!D35:AM35,1,3*T!$A$4-2)</f>
        <v>66854.982000000004</v>
      </c>
      <c r="K48" s="351">
        <f t="shared" ca="1" si="15"/>
        <v>9.4997226441461441E-2</v>
      </c>
    </row>
    <row r="49" spans="1:11" ht="14.1" customHeight="1" x14ac:dyDescent="0.2">
      <c r="A49" s="291"/>
      <c r="B49" s="267"/>
      <c r="C49" s="256" t="s">
        <v>9</v>
      </c>
      <c r="D49" s="244">
        <f ca="1">INDEX([2]Kraje!B36:AK36,1,3*T!$A$4-2)</f>
        <v>366535</v>
      </c>
      <c r="E49" s="96">
        <f ca="1">INDEX([2]Kraje!C36:AL36,1,3*T!$A$4-2)</f>
        <v>18639.099999999999</v>
      </c>
      <c r="F49" s="96">
        <f ca="1">INDEX([2]Kraje!D36:AM36,1,3*T!$A$4-2)</f>
        <v>199119.1</v>
      </c>
      <c r="G49" s="333">
        <f t="shared" ca="1" si="13"/>
        <v>0.24494650242806401</v>
      </c>
      <c r="H49" s="315">
        <f t="shared" ca="1" si="14"/>
        <v>0.2966601042108703</v>
      </c>
      <c r="I49" s="282">
        <f ca="1">INDEX([4]Kraje!C36:AL36,1,3*T!$A$4-2)</f>
        <v>14374.7</v>
      </c>
      <c r="J49" s="96">
        <f ca="1">INDEX([4]Kraje!D36:AM36,1,3*T!$A$4-2)</f>
        <v>152771.1</v>
      </c>
      <c r="K49" s="351">
        <f t="shared" ca="1" si="15"/>
        <v>0.21706904733738233</v>
      </c>
    </row>
    <row r="50" spans="1:11" ht="14.1" customHeight="1" x14ac:dyDescent="0.2">
      <c r="A50" s="291"/>
      <c r="B50" s="267"/>
      <c r="C50" s="258" t="s">
        <v>2</v>
      </c>
      <c r="D50" s="252">
        <f ca="1">SUM(D46:D49)</f>
        <v>385148</v>
      </c>
      <c r="E50" s="250">
        <f ca="1">SUM(E46:E49)</f>
        <v>76094.574999999997</v>
      </c>
      <c r="F50" s="251">
        <f ca="1">SUM(F46:F49)</f>
        <v>812701.69053999998</v>
      </c>
      <c r="G50" s="335">
        <f ca="1">SUM(G46:G49)</f>
        <v>1</v>
      </c>
      <c r="H50" s="317">
        <f t="shared" ca="1" si="14"/>
        <v>0.14908672200414536</v>
      </c>
      <c r="I50" s="285">
        <f ca="1">SUM(I46:I49)</f>
        <v>66221.785999999993</v>
      </c>
      <c r="J50" s="251">
        <f ca="1">SUM(J46:J49)</f>
        <v>703659.22667700006</v>
      </c>
      <c r="K50" s="353">
        <f ca="1">SUM(K46:K49)</f>
        <v>1.0000000000000002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33" t="s">
        <v>217</v>
      </c>
      <c r="B52" s="833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 ca="1">INDEX([2]Kraje!B39:AK39,1,3*T!$A$4-2)</f>
        <v>109</v>
      </c>
      <c r="E53" s="96">
        <f ca="1">INDEX([2]Kraje!C39:AL39,1,3*T!$A$4-2)</f>
        <v>16631.2</v>
      </c>
      <c r="F53" s="96">
        <f ca="1">INDEX([2]Kraje!D39:AM39,1,3*T!$A$4-2)</f>
        <v>177669.32398000004</v>
      </c>
      <c r="G53" s="333">
        <f ca="1">E53/$E$57</f>
        <v>0.43275480731700972</v>
      </c>
      <c r="H53" s="315">
        <f ca="1">(E53-I53)/I53</f>
        <v>6.3471154706943103E-2</v>
      </c>
      <c r="I53" s="282">
        <f ca="1">INDEX([4]Kraje!C39:AL39,1,3*T!$A$4-2)</f>
        <v>15638.6</v>
      </c>
      <c r="J53" s="96">
        <f ca="1">INDEX([4]Kraje!D39:AM39,1,3*T!$A$4-2)</f>
        <v>166203.96315900001</v>
      </c>
      <c r="K53" s="351">
        <f ca="1">I53/$I$57</f>
        <v>0.47690581181880831</v>
      </c>
    </row>
    <row r="54" spans="1:11" ht="14.1" customHeight="1" x14ac:dyDescent="0.2">
      <c r="A54" s="95"/>
      <c r="B54" s="95"/>
      <c r="C54" s="256" t="s">
        <v>7</v>
      </c>
      <c r="D54" s="244">
        <f ca="1">INDEX([2]Kraje!B40:AK40,1,3*T!$A$4-2)</f>
        <v>380</v>
      </c>
      <c r="E54" s="96">
        <f ca="1">INDEX([2]Kraje!C40:AL40,1,3*T!$A$4-2)</f>
        <v>4057.2</v>
      </c>
      <c r="F54" s="96">
        <f ca="1">INDEX([2]Kraje!D40:AM40,1,3*T!$A$4-2)</f>
        <v>43342.344079999973</v>
      </c>
      <c r="G54" s="333">
        <f ca="1">E54/$E$57</f>
        <v>0.1055710233925737</v>
      </c>
      <c r="H54" s="315">
        <f t="shared" ref="H54:H57" ca="1" si="16">(E54-I54)/I54</f>
        <v>0.17331328262818466</v>
      </c>
      <c r="I54" s="282">
        <f ca="1">INDEX([4]Kraje!C40:AL40,1,3*T!$A$4-2)</f>
        <v>3457.9</v>
      </c>
      <c r="J54" s="96">
        <f ca="1">INDEX([4]Kraje!D40:AM40,1,3*T!$A$4-2)</f>
        <v>36749.830563000025</v>
      </c>
      <c r="K54" s="351">
        <f t="shared" ref="K54:K55" ca="1" si="17">I54/$I$57</f>
        <v>0.10545014302356076</v>
      </c>
    </row>
    <row r="55" spans="1:11" ht="14.1" customHeight="1" x14ac:dyDescent="0.2">
      <c r="A55" s="291"/>
      <c r="B55" s="267"/>
      <c r="C55" s="256" t="s">
        <v>8</v>
      </c>
      <c r="D55" s="244">
        <f ca="1">INDEX([2]Kraje!B41:AK41,1,3*T!$A$4-2)</f>
        <v>12768</v>
      </c>
      <c r="E55" s="96">
        <f ca="1">INDEX([2]Kraje!C41:AL41,1,3*T!$A$4-2)</f>
        <v>5696.5</v>
      </c>
      <c r="F55" s="96">
        <f ca="1">INDEX([2]Kraje!D41:AM41,1,3*T!$A$4-2)</f>
        <v>60855.5</v>
      </c>
      <c r="G55" s="333">
        <f ca="1">E55/$E$57</f>
        <v>0.14822669199344279</v>
      </c>
      <c r="H55" s="315">
        <f t="shared" ca="1" si="16"/>
        <v>0.26109672134776729</v>
      </c>
      <c r="I55" s="282">
        <f ca="1">INDEX([4]Kraje!C41:AL41,1,3*T!$A$4-2)</f>
        <v>4517.1000000000004</v>
      </c>
      <c r="J55" s="96">
        <f ca="1">INDEX([4]Kraje!D41:AM41,1,3*T!$A$4-2)</f>
        <v>48006.400000000001</v>
      </c>
      <c r="K55" s="351">
        <f t="shared" ca="1" si="17"/>
        <v>0.13775090113991911</v>
      </c>
    </row>
    <row r="56" spans="1:11" ht="14.1" customHeight="1" x14ac:dyDescent="0.2">
      <c r="A56" s="291"/>
      <c r="B56" s="267"/>
      <c r="C56" s="256" t="s">
        <v>9</v>
      </c>
      <c r="D56" s="244">
        <f ca="1">INDEX([2]Kraje!B42:AK42,1,3*T!$A$4-2)</f>
        <v>174286</v>
      </c>
      <c r="E56" s="96">
        <f ca="1">INDEX([2]Kraje!C42:AL42,1,3*T!$A$4-2)</f>
        <v>12046.1</v>
      </c>
      <c r="F56" s="96">
        <f ca="1">INDEX([2]Kraje!D42:AM42,1,3*T!$A$4-2)</f>
        <v>128687.2</v>
      </c>
      <c r="G56" s="333">
        <f t="shared" ref="G56" ca="1" si="18">E56/$E$57</f>
        <v>0.31344747729697381</v>
      </c>
      <c r="H56" s="315">
        <f t="shared" ca="1" si="16"/>
        <v>0.31246867577520643</v>
      </c>
      <c r="I56" s="282">
        <f ca="1">INDEX([4]Kraje!C42:AL42,1,3*T!$A$4-2)</f>
        <v>9178.2000000000007</v>
      </c>
      <c r="J56" s="96">
        <f ca="1">INDEX([4]Kraje!D42:AM42,1,3*T!$A$4-2)</f>
        <v>97543.7</v>
      </c>
      <c r="K56" s="351">
        <f ca="1">I56/$I$57</f>
        <v>0.27989314401771176</v>
      </c>
    </row>
    <row r="57" spans="1:11" ht="14.1" customHeight="1" x14ac:dyDescent="0.2">
      <c r="A57" s="291"/>
      <c r="B57" s="267"/>
      <c r="C57" s="258" t="s">
        <v>2</v>
      </c>
      <c r="D57" s="252">
        <f ca="1">SUM(D53:D56)</f>
        <v>187543</v>
      </c>
      <c r="E57" s="250">
        <f ca="1">SUM(E53:E56)</f>
        <v>38431</v>
      </c>
      <c r="F57" s="251">
        <f ca="1">SUM(F53:F56)</f>
        <v>410554.36806000007</v>
      </c>
      <c r="G57" s="335">
        <f ca="1">SUM(G53:G56)</f>
        <v>1</v>
      </c>
      <c r="H57" s="317">
        <f t="shared" ca="1" si="16"/>
        <v>0.17196982172372352</v>
      </c>
      <c r="I57" s="285">
        <f ca="1">SUM(I53:I56)</f>
        <v>32791.800000000003</v>
      </c>
      <c r="J57" s="251">
        <f ca="1">SUM(J53:J56)</f>
        <v>348503.89372200001</v>
      </c>
      <c r="K57" s="353">
        <f ca="1">SUM(K53:K56)</f>
        <v>1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9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0"/>
      <c r="K1" s="820"/>
    </row>
    <row r="2" spans="1:17" ht="6.75" customHeight="1" x14ac:dyDescent="0.2"/>
    <row r="3" spans="1:17" ht="30" customHeight="1" x14ac:dyDescent="0.2">
      <c r="A3" s="828"/>
      <c r="B3" s="828"/>
      <c r="C3" s="828"/>
      <c r="D3" s="828"/>
      <c r="E3" s="828"/>
      <c r="F3" s="828"/>
      <c r="G3" s="828"/>
      <c r="H3" s="828"/>
      <c r="I3" s="828"/>
      <c r="J3" s="828"/>
      <c r="K3" s="828"/>
    </row>
    <row r="4" spans="1:17" ht="16.5" customHeight="1" x14ac:dyDescent="0.2">
      <c r="B4" s="241"/>
      <c r="C4" s="241"/>
      <c r="D4" s="827"/>
      <c r="E4" s="827"/>
      <c r="F4" s="223"/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0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'7'!E7</f>
        <v>Říjen</v>
      </c>
      <c r="F7" s="264">
        <f>'7'!F7</f>
        <v>2015</v>
      </c>
      <c r="G7" s="264"/>
      <c r="H7" s="831"/>
      <c r="I7" s="279" t="str">
        <f>E7</f>
        <v>Říjen</v>
      </c>
      <c r="J7" s="259">
        <f>F7-1</f>
        <v>2014</v>
      </c>
      <c r="K7" s="273"/>
    </row>
    <row r="8" spans="1:17" ht="14.1" customHeight="1" x14ac:dyDescent="0.2">
      <c r="A8" s="277"/>
      <c r="B8" s="825" t="s">
        <v>92</v>
      </c>
      <c r="C8" s="825"/>
      <c r="D8" s="837" t="s">
        <v>0</v>
      </c>
      <c r="E8" s="839" t="s">
        <v>71</v>
      </c>
      <c r="F8" s="793"/>
      <c r="G8" s="330" t="s">
        <v>205</v>
      </c>
      <c r="H8" s="831"/>
      <c r="I8" s="840" t="s">
        <v>71</v>
      </c>
      <c r="J8" s="793"/>
      <c r="K8" s="348" t="s">
        <v>205</v>
      </c>
    </row>
    <row r="9" spans="1:17" ht="14.1" customHeight="1" x14ac:dyDescent="0.2">
      <c r="A9" s="249"/>
      <c r="B9" s="826"/>
      <c r="C9" s="826"/>
      <c r="D9" s="838"/>
      <c r="E9" s="265" t="s">
        <v>15</v>
      </c>
      <c r="F9" s="265" t="s">
        <v>1</v>
      </c>
      <c r="G9" s="331" t="s">
        <v>118</v>
      </c>
      <c r="H9" s="832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33" t="s">
        <v>218</v>
      </c>
      <c r="B10" s="833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 ca="1">INDEX([2]Kraje!B45:AK45,1,3*T!$A$4-2)</f>
        <v>76</v>
      </c>
      <c r="E11" s="96">
        <f ca="1">INDEX([2]Kraje!C45:AL45,1,3*T!$A$4-2)</f>
        <v>13876.2</v>
      </c>
      <c r="F11" s="96">
        <f ca="1">INDEX([2]Kraje!D45:AM45,1,3*T!$A$4-2)</f>
        <v>148237.65017000001</v>
      </c>
      <c r="G11" s="333">
        <f ca="1">E11/$E$15</f>
        <v>0.43949577170367088</v>
      </c>
      <c r="H11" s="315">
        <f ca="1">(E11-I11)/I11</f>
        <v>0.4068516622225829</v>
      </c>
      <c r="I11" s="282">
        <f ca="1">INDEX([4]Kraje!C45:AL45,1,3*T!$A$4-2)</f>
        <v>9863.2999999999993</v>
      </c>
      <c r="J11" s="96">
        <f ca="1">INDEX([4]Kraje!D45:AM45,1,3*T!$A$4-2)</f>
        <v>104825.33723800001</v>
      </c>
      <c r="K11" s="351">
        <f ca="1">I11/$I$15</f>
        <v>0.41190964406376196</v>
      </c>
    </row>
    <row r="12" spans="1:17" ht="14.1" customHeight="1" x14ac:dyDescent="0.2">
      <c r="A12" s="95"/>
      <c r="B12" s="95"/>
      <c r="C12" s="256" t="s">
        <v>7</v>
      </c>
      <c r="D12" s="244">
        <f ca="1">INDEX([2]Kraje!B46:AK46,1,3*T!$A$4-2)</f>
        <v>290</v>
      </c>
      <c r="E12" s="96">
        <f ca="1">INDEX([2]Kraje!C46:AL46,1,3*T!$A$4-2)</f>
        <v>3299.5</v>
      </c>
      <c r="F12" s="96">
        <f ca="1">INDEX([2]Kraje!D46:AM46,1,3*T!$A$4-2)</f>
        <v>35248.438000000002</v>
      </c>
      <c r="G12" s="333">
        <f ca="1">E12/$E$15</f>
        <v>0.10450384822474899</v>
      </c>
      <c r="H12" s="315">
        <f ca="1">(E12-I12)/I12</f>
        <v>2.0821731328506957E-2</v>
      </c>
      <c r="I12" s="282">
        <f ca="1">INDEX([4]Kraje!C46:AL46,1,3*T!$A$4-2)</f>
        <v>3232.2</v>
      </c>
      <c r="J12" s="96">
        <f ca="1">INDEX([4]Kraje!D46:AM46,1,3*T!$A$4-2)</f>
        <v>34350.992505999995</v>
      </c>
      <c r="K12" s="351">
        <f ca="1">I12/$I$15</f>
        <v>0.13498264795179013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 ca="1">INDEX([2]Kraje!B47:AK47,1,3*T!$A$4-2)</f>
        <v>10814</v>
      </c>
      <c r="E13" s="96">
        <f ca="1">INDEX([2]Kraje!C47:AL47,1,3*T!$A$4-2)</f>
        <v>4759</v>
      </c>
      <c r="F13" s="96">
        <f ca="1">INDEX([2]Kraje!D47:AM47,1,3*T!$A$4-2)</f>
        <v>50839.8</v>
      </c>
      <c r="G13" s="333">
        <f ca="1">E13/$E$15</f>
        <v>0.15073005416020016</v>
      </c>
      <c r="H13" s="315">
        <f t="shared" ref="H13:H15" ca="1" si="0">(E13-I13)/I13</f>
        <v>0.3056957857769973</v>
      </c>
      <c r="I13" s="282">
        <f ca="1">INDEX([4]Kraje!C47:AL47,1,3*T!$A$4-2)</f>
        <v>3644.8</v>
      </c>
      <c r="J13" s="96">
        <f ca="1">INDEX([4]Kraje!D47:AM47,1,3*T!$A$4-2)</f>
        <v>38736.699999999997</v>
      </c>
      <c r="K13" s="351">
        <f ca="1">I13/$I$15</f>
        <v>0.15221358679991481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 ca="1">INDEX([2]Kraje!B48:AK48,1,3*T!$A$4-2)</f>
        <v>125060</v>
      </c>
      <c r="E14" s="96">
        <f ca="1">INDEX([2]Kraje!C48:AL48,1,3*T!$A$4-2)</f>
        <v>9638.2999999999993</v>
      </c>
      <c r="F14" s="96">
        <f ca="1">INDEX([2]Kraje!D48:AM48,1,3*T!$A$4-2)</f>
        <v>102964.3</v>
      </c>
      <c r="G14" s="333">
        <f ca="1">E14/$E$15</f>
        <v>0.30527032591137998</v>
      </c>
      <c r="H14" s="315">
        <f t="shared" ca="1" si="0"/>
        <v>0.33772380291464249</v>
      </c>
      <c r="I14" s="282">
        <f ca="1">INDEX([4]Kraje!C48:AL48,1,3*T!$A$4-2)</f>
        <v>7205</v>
      </c>
      <c r="J14" s="96">
        <f ca="1">INDEX([4]Kraje!D48:AM48,1,3*T!$A$4-2)</f>
        <v>76572.800000000003</v>
      </c>
      <c r="K14" s="351">
        <f ca="1">I14/$I$15</f>
        <v>0.30089412118453307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 ca="1">SUM(D11:D14)</f>
        <v>136240</v>
      </c>
      <c r="E15" s="250">
        <f ca="1">SUM(E11:E14)</f>
        <v>31573</v>
      </c>
      <c r="F15" s="251">
        <f ca="1">SUM(F11:F14)</f>
        <v>337290.18816999998</v>
      </c>
      <c r="G15" s="335">
        <f ca="1">SUM(G11:G14)</f>
        <v>1</v>
      </c>
      <c r="H15" s="317">
        <f t="shared" ca="1" si="0"/>
        <v>0.31854685470635158</v>
      </c>
      <c r="I15" s="285">
        <f ca="1">SUM(I11:I14)</f>
        <v>23945.3</v>
      </c>
      <c r="J15" s="251">
        <f ca="1">SUM(J11:J14)</f>
        <v>254485.82974399999</v>
      </c>
      <c r="K15" s="353">
        <f ca="1">SUM(K11:K14)</f>
        <v>1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16" ht="12.95" customHeight="1" x14ac:dyDescent="0.2">
      <c r="A17" s="833" t="s">
        <v>219</v>
      </c>
      <c r="B17" s="833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16" ht="14.1" customHeight="1" x14ac:dyDescent="0.2">
      <c r="A18" s="95"/>
      <c r="B18" s="95"/>
      <c r="C18" s="256" t="s">
        <v>6</v>
      </c>
      <c r="D18" s="244">
        <f ca="1">INDEX([2]Kraje!B51:AK51,1,3*T!$A$4-2)</f>
        <v>83</v>
      </c>
      <c r="E18" s="96">
        <f ca="1">INDEX([2]Kraje!C51:AL51,1,3*T!$A$4-2)</f>
        <v>13675.7</v>
      </c>
      <c r="F18" s="96">
        <f ca="1">INDEX([2]Kraje!D51:AM51,1,3*T!$A$4-2)</f>
        <v>146096.33692000006</v>
      </c>
      <c r="G18" s="333">
        <f ca="1">E18/$E$22</f>
        <v>0.43349552262461372</v>
      </c>
      <c r="H18" s="315">
        <f ca="1">(E18-I18)/I18</f>
        <v>2.9300638246628215E-2</v>
      </c>
      <c r="I18" s="282">
        <f ca="1">INDEX([4]Kraje!C51:AL51,1,3*T!$A$4-2)</f>
        <v>13286.4</v>
      </c>
      <c r="J18" s="96">
        <f ca="1">INDEX([4]Kraje!D51:AM51,1,3*T!$A$4-2)</f>
        <v>141205.01061999996</v>
      </c>
      <c r="K18" s="351">
        <f ca="1">I18/$I$22</f>
        <v>0.50448233833395983</v>
      </c>
      <c r="L18" s="283"/>
      <c r="M18" s="283"/>
      <c r="N18" s="283"/>
    </row>
    <row r="19" spans="1:16" ht="14.1" customHeight="1" x14ac:dyDescent="0.2">
      <c r="A19" s="95"/>
      <c r="B19" s="95"/>
      <c r="C19" s="256" t="s">
        <v>7</v>
      </c>
      <c r="D19" s="244">
        <f ca="1">INDEX([2]Kraje!B52:AK52,1,3*T!$A$4-2)</f>
        <v>345</v>
      </c>
      <c r="E19" s="96">
        <f ca="1">INDEX([2]Kraje!C52:AL52,1,3*T!$A$4-2)</f>
        <v>3637.6</v>
      </c>
      <c r="F19" s="96">
        <f ca="1">INDEX([2]Kraje!D52:AM52,1,3*T!$A$4-2)</f>
        <v>38860.051570000047</v>
      </c>
      <c r="G19" s="333">
        <f t="shared" ref="G19:G20" ca="1" si="1">E19/$E$22</f>
        <v>0.11530549171883667</v>
      </c>
      <c r="H19" s="315">
        <f ca="1">(E19-I19)/I19</f>
        <v>0.35584628573558452</v>
      </c>
      <c r="I19" s="282">
        <f ca="1">INDEX([4]Kraje!C52:AL52,1,3*T!$A$4-2)</f>
        <v>2682.9</v>
      </c>
      <c r="J19" s="96">
        <f ca="1">INDEX([4]Kraje!D52:AM52,1,3*T!$A$4-2)</f>
        <v>28513.597980000006</v>
      </c>
      <c r="K19" s="351">
        <f t="shared" ref="K19:K21" ca="1" si="2">I19/$I$22</f>
        <v>0.10186925469022316</v>
      </c>
      <c r="L19" s="286"/>
      <c r="M19" s="286"/>
      <c r="N19" s="283"/>
    </row>
    <row r="20" spans="1:16" ht="14.1" customHeight="1" x14ac:dyDescent="0.2">
      <c r="A20" s="291"/>
      <c r="B20" s="267"/>
      <c r="C20" s="256" t="s">
        <v>8</v>
      </c>
      <c r="D20" s="244">
        <f ca="1">INDEX([2]Kraje!B53:AK53,1,3*T!$A$4-2)</f>
        <v>11364</v>
      </c>
      <c r="E20" s="96">
        <f ca="1">INDEX([2]Kraje!C53:AL53,1,3*T!$A$4-2)</f>
        <v>5253.8</v>
      </c>
      <c r="F20" s="96">
        <f ca="1">INDEX([2]Kraje!D53:AM53,1,3*T!$A$4-2)</f>
        <v>56125.7</v>
      </c>
      <c r="G20" s="333">
        <f t="shared" ca="1" si="1"/>
        <v>0.16653617560820985</v>
      </c>
      <c r="H20" s="315">
        <f t="shared" ref="H20:H22" ca="1" si="3">(E20-I20)/I20</f>
        <v>0.35100802304052664</v>
      </c>
      <c r="I20" s="282">
        <f ca="1">INDEX([4]Kraje!C53:AL53,1,3*T!$A$4-2)</f>
        <v>3888.8</v>
      </c>
      <c r="J20" s="96">
        <f ca="1">INDEX([4]Kraje!D53:AM53,1,3*T!$A$4-2)</f>
        <v>41329.800000000003</v>
      </c>
      <c r="K20" s="351">
        <f t="shared" ca="1" si="2"/>
        <v>0.14765707169083447</v>
      </c>
      <c r="L20" s="283"/>
      <c r="M20" s="283"/>
      <c r="N20" s="283"/>
      <c r="O20" s="283"/>
      <c r="P20" s="283"/>
    </row>
    <row r="21" spans="1:16" ht="14.1" customHeight="1" x14ac:dyDescent="0.2">
      <c r="A21" s="291"/>
      <c r="B21" s="267"/>
      <c r="C21" s="256" t="s">
        <v>9</v>
      </c>
      <c r="D21" s="244">
        <f ca="1">INDEX([2]Kraje!B54:AK54,1,3*T!$A$4-2)</f>
        <v>147312</v>
      </c>
      <c r="E21" s="96">
        <f ca="1">INDEX([2]Kraje!C54:AL54,1,3*T!$A$4-2)</f>
        <v>8980.4</v>
      </c>
      <c r="F21" s="96">
        <f ca="1">INDEX([2]Kraje!D54:AM54,1,3*T!$A$4-2)</f>
        <v>95936.9</v>
      </c>
      <c r="G21" s="333">
        <f ca="1">E21/$E$22</f>
        <v>0.28466281004833982</v>
      </c>
      <c r="H21" s="315">
        <f t="shared" ca="1" si="3"/>
        <v>0.3861636773376963</v>
      </c>
      <c r="I21" s="282">
        <f ca="1">INDEX([4]Kraje!C54:AL54,1,3*T!$A$4-2)</f>
        <v>6478.6</v>
      </c>
      <c r="J21" s="96">
        <f ca="1">INDEX([4]Kraje!D54:AM54,1,3*T!$A$4-2)</f>
        <v>68853.100000000006</v>
      </c>
      <c r="K21" s="351">
        <f t="shared" ca="1" si="2"/>
        <v>0.2459913352849826</v>
      </c>
      <c r="L21" s="283"/>
      <c r="M21" s="283"/>
      <c r="N21" s="283"/>
      <c r="O21" s="283"/>
      <c r="P21" s="283"/>
    </row>
    <row r="22" spans="1:16" ht="14.1" customHeight="1" x14ac:dyDescent="0.2">
      <c r="A22" s="291"/>
      <c r="B22" s="267"/>
      <c r="C22" s="258" t="s">
        <v>2</v>
      </c>
      <c r="D22" s="252">
        <f ca="1">SUM(D18:D21)</f>
        <v>159104</v>
      </c>
      <c r="E22" s="250">
        <f ca="1">SUM(E18:E21)</f>
        <v>31547.5</v>
      </c>
      <c r="F22" s="251">
        <f ca="1">SUM(F18:F21)</f>
        <v>337018.98849000013</v>
      </c>
      <c r="G22" s="335">
        <f ca="1">SUM(G18:G21)</f>
        <v>1</v>
      </c>
      <c r="H22" s="317">
        <f t="shared" ca="1" si="3"/>
        <v>0.19785318585851697</v>
      </c>
      <c r="I22" s="285">
        <f ca="1">SUM(I18:I21)</f>
        <v>26336.699999999997</v>
      </c>
      <c r="J22" s="251">
        <f ca="1">SUM(J18:J21)</f>
        <v>279901.50859999994</v>
      </c>
      <c r="K22" s="353">
        <f ca="1">SUM(K18:K21)</f>
        <v>1</v>
      </c>
      <c r="L22" s="283"/>
      <c r="M22" s="283"/>
      <c r="N22" s="283"/>
      <c r="O22" s="283"/>
      <c r="P22" s="283"/>
    </row>
    <row r="23" spans="1:16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16" ht="12.95" customHeight="1" x14ac:dyDescent="0.2">
      <c r="A24" s="833" t="s">
        <v>3</v>
      </c>
      <c r="B24" s="833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16" ht="14.1" customHeight="1" x14ac:dyDescent="0.2">
      <c r="A25" s="95"/>
      <c r="B25" s="95"/>
      <c r="C25" s="256" t="s">
        <v>6</v>
      </c>
      <c r="D25" s="244">
        <f ca="1">INDEX([2]Kraje!B57:AK57,1,3*T!$A$4-2)</f>
        <v>185</v>
      </c>
      <c r="E25" s="96">
        <f ca="1">INDEX([2]Kraje!C57:AL57,1,3*T!$A$4-2)</f>
        <v>19785.400000000001</v>
      </c>
      <c r="F25" s="96">
        <f ca="1">INDEX([2]Kraje!D57:AM57,1,3*T!$A$4-2)</f>
        <v>211171.139</v>
      </c>
      <c r="G25" s="333">
        <f ca="1">E25/$E$29</f>
        <v>0.26491195888960151</v>
      </c>
      <c r="H25" s="315">
        <f ca="1">(E25-I25)/I25</f>
        <v>0.18963667029795878</v>
      </c>
      <c r="I25" s="282">
        <f ca="1">INDEX([4]Kraje!C57:AL57,1,3*T!$A$4-2)</f>
        <v>16631.464458005074</v>
      </c>
      <c r="J25" s="96">
        <f ca="1">INDEX([4]Kraje!D57:AM57,1,3*T!$A$4-2)</f>
        <v>176523.52799999999</v>
      </c>
      <c r="K25" s="351">
        <f ca="1">I25/$I$29</f>
        <v>0.28944116765003397</v>
      </c>
      <c r="L25" s="286"/>
      <c r="N25" s="283"/>
      <c r="O25" s="283"/>
      <c r="P25" s="283"/>
    </row>
    <row r="26" spans="1:16" ht="14.1" customHeight="1" x14ac:dyDescent="0.2">
      <c r="A26" s="95"/>
      <c r="B26" s="95"/>
      <c r="C26" s="256" t="s">
        <v>7</v>
      </c>
      <c r="D26" s="244">
        <f ca="1">INDEX([2]Kraje!B58:AK58,1,3*T!$A$4-2)</f>
        <v>1627</v>
      </c>
      <c r="E26" s="96">
        <f ca="1">INDEX([2]Kraje!C58:AL58,1,3*T!$A$4-2)</f>
        <v>14265.4</v>
      </c>
      <c r="F26" s="96">
        <f ca="1">INDEX([2]Kraje!D58:AM58,1,3*T!$A$4-2)</f>
        <v>152248.27900000001</v>
      </c>
      <c r="G26" s="333">
        <f t="shared" ref="G26:G28" ca="1" si="4">E26/$E$29</f>
        <v>0.1910032174403207</v>
      </c>
      <c r="H26" s="315">
        <f t="shared" ref="H26:H29" ca="1" si="5">(E26-I26)/I26</f>
        <v>0.31500829818668669</v>
      </c>
      <c r="I26" s="282">
        <f ca="1">INDEX([4]Kraje!C58:AL58,1,3*T!$A$4-2)</f>
        <v>10848.14447153762</v>
      </c>
      <c r="J26" s="96">
        <f ca="1">INDEX([4]Kraje!D58:AM58,1,3*T!$A$4-2)</f>
        <v>115140.067</v>
      </c>
      <c r="K26" s="351">
        <f t="shared" ref="K26:K28" ca="1" si="6">I26/$I$29</f>
        <v>0.18879273142821826</v>
      </c>
      <c r="L26" s="286"/>
      <c r="N26" s="283"/>
      <c r="O26" s="283"/>
      <c r="P26" s="283"/>
    </row>
    <row r="27" spans="1:16" ht="14.1" customHeight="1" x14ac:dyDescent="0.2">
      <c r="A27" s="291"/>
      <c r="B27" s="267"/>
      <c r="C27" s="256" t="s">
        <v>8</v>
      </c>
      <c r="D27" s="244">
        <f ca="1">INDEX([2]Kraje!B59:AK59,1,3*T!$A$4-2)</f>
        <v>38532</v>
      </c>
      <c r="E27" s="96">
        <f ca="1">INDEX([2]Kraje!C59:AL59,1,3*T!$A$4-2)</f>
        <v>16020.6</v>
      </c>
      <c r="F27" s="96">
        <f ca="1">INDEX([2]Kraje!D59:AM59,1,3*T!$A$4-2)</f>
        <v>170994.1985428952</v>
      </c>
      <c r="G27" s="333">
        <f ca="1">E27/$E$29</f>
        <v>0.21450405493883115</v>
      </c>
      <c r="H27" s="315">
        <f t="shared" ca="1" si="5"/>
        <v>0.37862362654680137</v>
      </c>
      <c r="I27" s="282">
        <f ca="1">INDEX([4]Kraje!C59:AL59,1,3*T!$A$4-2)</f>
        <v>11620.720616930566</v>
      </c>
      <c r="J27" s="96">
        <f ca="1">INDEX([4]Kraje!D59:AM59,1,3*T!$A$4-2)</f>
        <v>123340.45001816805</v>
      </c>
      <c r="K27" s="351">
        <f t="shared" ca="1" si="6"/>
        <v>0.202238050220543</v>
      </c>
    </row>
    <row r="28" spans="1:16" ht="14.1" customHeight="1" x14ac:dyDescent="0.2">
      <c r="A28" s="291"/>
      <c r="B28" s="267"/>
      <c r="C28" s="256" t="s">
        <v>9</v>
      </c>
      <c r="D28" s="244">
        <f ca="1">INDEX([2]Kraje!B60:AK60,1,3*T!$A$4-2)</f>
        <v>388146</v>
      </c>
      <c r="E28" s="96">
        <f ca="1">INDEX([2]Kraje!C60:AL60,1,3*T!$A$4-2)</f>
        <v>24615.3</v>
      </c>
      <c r="F28" s="96">
        <f ca="1">INDEX([2]Kraje!D60:AM60,1,3*T!$A$4-2)</f>
        <v>262729.12945706648</v>
      </c>
      <c r="G28" s="333">
        <f t="shared" ca="1" si="4"/>
        <v>0.32958076873124664</v>
      </c>
      <c r="H28" s="315">
        <f t="shared" ca="1" si="5"/>
        <v>0.34068253733666826</v>
      </c>
      <c r="I28" s="282">
        <f ca="1">INDEX([4]Kraje!C60:AL60,1,3*T!$A$4-2)</f>
        <v>18360.274945401692</v>
      </c>
      <c r="J28" s="96">
        <f ca="1">INDEX([4]Kraje!D60:AM60,1,3*T!$A$4-2)</f>
        <v>194872.99014174991</v>
      </c>
      <c r="K28" s="351">
        <f t="shared" ca="1" si="6"/>
        <v>0.31952805070120471</v>
      </c>
    </row>
    <row r="29" spans="1:16" ht="14.1" customHeight="1" x14ac:dyDescent="0.2">
      <c r="A29" s="291"/>
      <c r="B29" s="267"/>
      <c r="C29" s="258" t="s">
        <v>2</v>
      </c>
      <c r="D29" s="252">
        <f ca="1">SUM(D25:D28)</f>
        <v>428490</v>
      </c>
      <c r="E29" s="250">
        <f ca="1">SUM(E25:E28)</f>
        <v>74686.7</v>
      </c>
      <c r="F29" s="251">
        <f ca="1">SUM(F25:F28)</f>
        <v>797142.74599996163</v>
      </c>
      <c r="G29" s="335">
        <f ca="1">SUM(G25:G28)</f>
        <v>1</v>
      </c>
      <c r="H29" s="317">
        <f t="shared" ca="1" si="5"/>
        <v>0.29978966738090701</v>
      </c>
      <c r="I29" s="285">
        <f ca="1">SUM(I25:I28)</f>
        <v>57460.604491874954</v>
      </c>
      <c r="J29" s="251">
        <f ca="1">SUM(J25:J28)</f>
        <v>609877.03515991801</v>
      </c>
      <c r="K29" s="353">
        <f ca="1">SUM(K25:K28)</f>
        <v>0.99999999999999989</v>
      </c>
    </row>
    <row r="30" spans="1:16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16" ht="12.95" customHeight="1" x14ac:dyDescent="0.2">
      <c r="A31" s="833" t="s">
        <v>220</v>
      </c>
      <c r="B31" s="833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16" ht="14.1" customHeight="1" x14ac:dyDescent="0.2">
      <c r="A32" s="95"/>
      <c r="B32" s="95"/>
      <c r="C32" s="256" t="s">
        <v>6</v>
      </c>
      <c r="D32" s="244">
        <f ca="1">INDEX([2]Kraje!B63:AK63,1,3*T!$A$4-2)</f>
        <v>180</v>
      </c>
      <c r="E32" s="96">
        <f ca="1">INDEX([2]Kraje!C63:AL63,1,3*T!$A$4-2)</f>
        <v>47412.775999999998</v>
      </c>
      <c r="F32" s="96">
        <f ca="1">INDEX([2]Kraje!D63:AM63,1,3*T!$A$4-2)</f>
        <v>506484.01860000013</v>
      </c>
      <c r="G32" s="333">
        <f ca="1">E32/$E$36</f>
        <v>0.5593696804887186</v>
      </c>
      <c r="H32" s="315">
        <f ca="1">(E32-I32)/I32</f>
        <v>-9.1391816167495407E-2</v>
      </c>
      <c r="I32" s="282">
        <f ca="1">INDEX([4]Kraje!C63:AL63,1,3*T!$A$4-2)</f>
        <v>52181.761999999995</v>
      </c>
      <c r="J32" s="96">
        <f ca="1">INDEX([4]Kraje!D63:AM63,1,3*T!$A$4-2)</f>
        <v>554551.59908699989</v>
      </c>
      <c r="K32" s="351">
        <f ca="1">I32/$I$36</f>
        <v>0.64515226971073303</v>
      </c>
    </row>
    <row r="33" spans="1:11" ht="14.1" customHeight="1" x14ac:dyDescent="0.2">
      <c r="A33" s="95"/>
      <c r="B33" s="95"/>
      <c r="C33" s="256" t="s">
        <v>7</v>
      </c>
      <c r="D33" s="244">
        <f ca="1">INDEX([2]Kraje!B64:AK64,1,3*T!$A$4-2)</f>
        <v>649</v>
      </c>
      <c r="E33" s="96">
        <f ca="1">INDEX([2]Kraje!C64:AL64,1,3*T!$A$4-2)</f>
        <v>7501.9</v>
      </c>
      <c r="F33" s="96">
        <f ca="1">INDEX([2]Kraje!D64:AM64,1,3*T!$A$4-2)</f>
        <v>80142.400090000039</v>
      </c>
      <c r="G33" s="333">
        <f t="shared" ref="G33:G35" ca="1" si="7">E33/$E$36</f>
        <v>8.8506427171830618E-2</v>
      </c>
      <c r="H33" s="315">
        <f t="shared" ref="H33:H36" ca="1" si="8">(E33-I33)/I33</f>
        <v>0.18112256947177827</v>
      </c>
      <c r="I33" s="282">
        <f ca="1">INDEX([4]Kraje!C64:AL64,1,3*T!$A$4-2)</f>
        <v>6351.5</v>
      </c>
      <c r="J33" s="96">
        <f ca="1">INDEX([4]Kraje!D64:AM64,1,3*T!$A$4-2)</f>
        <v>67502.831455999985</v>
      </c>
      <c r="K33" s="351">
        <f t="shared" ref="K33:K35" ca="1" si="9">I33/$I$36</f>
        <v>7.8527142128081484E-2</v>
      </c>
    </row>
    <row r="34" spans="1:11" ht="14.1" customHeight="1" x14ac:dyDescent="0.2">
      <c r="A34" s="291"/>
      <c r="B34" s="267"/>
      <c r="C34" s="256" t="s">
        <v>8</v>
      </c>
      <c r="D34" s="244">
        <f ca="1">INDEX([2]Kraje!B65:AK65,1,3*T!$A$4-2)</f>
        <v>17943</v>
      </c>
      <c r="E34" s="96">
        <f ca="1">INDEX([2]Kraje!C65:AL65,1,3*T!$A$4-2)</f>
        <v>8575.1</v>
      </c>
      <c r="F34" s="96">
        <f ca="1">INDEX([2]Kraje!D65:AM65,1,3*T!$A$4-2)</f>
        <v>91607.1</v>
      </c>
      <c r="G34" s="333">
        <f t="shared" ca="1" si="7"/>
        <v>0.1011678992843366</v>
      </c>
      <c r="H34" s="315">
        <f t="shared" ca="1" si="8"/>
        <v>0.33091727456153969</v>
      </c>
      <c r="I34" s="282">
        <f ca="1">INDEX([4]Kraje!C65:AL65,1,3*T!$A$4-2)</f>
        <v>6443</v>
      </c>
      <c r="J34" s="96">
        <f ca="1">INDEX([4]Kraje!D65:AM65,1,3*T!$A$4-2)</f>
        <v>68474.899999999994</v>
      </c>
      <c r="K34" s="351">
        <f t="shared" ca="1" si="9"/>
        <v>7.9658407735374151E-2</v>
      </c>
    </row>
    <row r="35" spans="1:11" ht="14.1" customHeight="1" x14ac:dyDescent="0.2">
      <c r="A35" s="291"/>
      <c r="B35" s="267"/>
      <c r="C35" s="256" t="s">
        <v>9</v>
      </c>
      <c r="D35" s="244">
        <f ca="1">INDEX([2]Kraje!B66:AK66,1,3*T!$A$4-2)</f>
        <v>234292</v>
      </c>
      <c r="E35" s="96">
        <f ca="1">INDEX([2]Kraje!C66:AL66,1,3*T!$A$4-2)</f>
        <v>21271.3</v>
      </c>
      <c r="F35" s="96">
        <f ca="1">INDEX([2]Kraje!D66:AM66,1,3*T!$A$4-2)</f>
        <v>227238.39999999999</v>
      </c>
      <c r="G35" s="333">
        <f t="shared" ca="1" si="7"/>
        <v>0.25095599305511412</v>
      </c>
      <c r="H35" s="315">
        <f t="shared" ca="1" si="8"/>
        <v>0.33726251996026801</v>
      </c>
      <c r="I35" s="282">
        <f ca="1">INDEX([4]Kraje!C66:AL66,1,3*T!$A$4-2)</f>
        <v>15906.6</v>
      </c>
      <c r="J35" s="96">
        <f ca="1">INDEX([4]Kraje!D66:AM66,1,3*T!$A$4-2)</f>
        <v>169051.7</v>
      </c>
      <c r="K35" s="351">
        <f t="shared" ca="1" si="9"/>
        <v>0.19666218042581135</v>
      </c>
    </row>
    <row r="36" spans="1:11" ht="14.1" customHeight="1" x14ac:dyDescent="0.2">
      <c r="A36" s="291"/>
      <c r="B36" s="267"/>
      <c r="C36" s="258" t="s">
        <v>2</v>
      </c>
      <c r="D36" s="252">
        <f ca="1">SUM(D32:D35)</f>
        <v>253064</v>
      </c>
      <c r="E36" s="250">
        <f ca="1">SUM(E32:E35)</f>
        <v>84761.076000000001</v>
      </c>
      <c r="F36" s="251">
        <f ca="1">SUM(F32:F35)</f>
        <v>905471.9186900002</v>
      </c>
      <c r="G36" s="335">
        <f ca="1">SUM(G32:G35)</f>
        <v>1</v>
      </c>
      <c r="H36" s="317">
        <f t="shared" ca="1" si="8"/>
        <v>4.7948525857059901E-2</v>
      </c>
      <c r="I36" s="285">
        <f ca="1">SUM(I32:I35)</f>
        <v>80882.861999999994</v>
      </c>
      <c r="J36" s="251">
        <f ca="1">SUM(J32:J35)</f>
        <v>859581.03054299997</v>
      </c>
      <c r="K36" s="353">
        <f ca="1">SUM(K32:K35)</f>
        <v>1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33" t="s">
        <v>221</v>
      </c>
      <c r="B38" s="833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 ca="1">INDEX([2]Kraje!B69:AK69,1,3*T!$A$4-2)</f>
        <v>131</v>
      </c>
      <c r="E39" s="96">
        <f ca="1">INDEX([2]Kraje!C69:AL69,1,3*T!$A$4-2)</f>
        <v>70295.625</v>
      </c>
      <c r="F39" s="96">
        <f ca="1">INDEX([2]Kraje!D69:AM69,1,3*T!$A$4-2)</f>
        <v>750370.8874799998</v>
      </c>
      <c r="G39" s="333">
        <f ca="1">E39/$E$43</f>
        <v>0.77903592460169591</v>
      </c>
      <c r="H39" s="315">
        <f ca="1">(E39-I39)/I39</f>
        <v>0.70292012776038926</v>
      </c>
      <c r="I39" s="282">
        <f ca="1">INDEX([4]Kraje!C69:AL69,1,3*T!$A$4-2)</f>
        <v>41279.460999999996</v>
      </c>
      <c r="J39" s="96">
        <f ca="1">INDEX([4]Kraje!D69:AM69,1,3*T!$A$4-2)</f>
        <v>438710.26547099993</v>
      </c>
      <c r="K39" s="351">
        <f ca="1">I39/$I$43</f>
        <v>0.73255397185816706</v>
      </c>
    </row>
    <row r="40" spans="1:11" ht="14.1" customHeight="1" x14ac:dyDescent="0.2">
      <c r="A40" s="95"/>
      <c r="B40" s="95"/>
      <c r="C40" s="256" t="s">
        <v>7</v>
      </c>
      <c r="D40" s="244">
        <f ca="1">INDEX([2]Kraje!B70:AK70,1,3*T!$A$4-2)</f>
        <v>343</v>
      </c>
      <c r="E40" s="96">
        <f ca="1">INDEX([2]Kraje!C70:AL70,1,3*T!$A$4-2)</f>
        <v>3619.6</v>
      </c>
      <c r="F40" s="96">
        <f ca="1">INDEX([2]Kraje!D70:AM70,1,3*T!$A$4-2)</f>
        <v>38667.51017999999</v>
      </c>
      <c r="G40" s="333">
        <f t="shared" ref="G40:G41" ca="1" si="10">E40/$E$43</f>
        <v>4.0113427154083892E-2</v>
      </c>
      <c r="H40" s="315">
        <f t="shared" ref="H40:H43" ca="1" si="11">(E40-I40)/I40</f>
        <v>0.23128210361601528</v>
      </c>
      <c r="I40" s="282">
        <f ca="1">INDEX([4]Kraje!C70:AL70,1,3*T!$A$4-2)</f>
        <v>2939.7</v>
      </c>
      <c r="J40" s="96">
        <f ca="1">INDEX([4]Kraje!D70:AM70,1,3*T!$A$4-2)</f>
        <v>31242.355923999985</v>
      </c>
      <c r="K40" s="351">
        <f t="shared" ref="K40:K42" ca="1" si="12">I40/$I$43</f>
        <v>5.2168532701322191E-2</v>
      </c>
    </row>
    <row r="41" spans="1:11" ht="14.1" customHeight="1" x14ac:dyDescent="0.2">
      <c r="A41" s="291"/>
      <c r="B41" s="267"/>
      <c r="C41" s="256" t="s">
        <v>8</v>
      </c>
      <c r="D41" s="244">
        <f ca="1">INDEX([2]Kraje!B71:AK71,1,3*T!$A$4-2)</f>
        <v>12344</v>
      </c>
      <c r="E41" s="96">
        <f ca="1">INDEX([2]Kraje!C71:AL71,1,3*T!$A$4-2)</f>
        <v>5032.3999999999996</v>
      </c>
      <c r="F41" s="96">
        <f ca="1">INDEX([2]Kraje!D71:AM71,1,3*T!$A$4-2)</f>
        <v>53760.1</v>
      </c>
      <c r="G41" s="333">
        <f t="shared" ca="1" si="10"/>
        <v>5.5770474861921694E-2</v>
      </c>
      <c r="H41" s="315">
        <f t="shared" ca="1" si="11"/>
        <v>0.3416155691815515</v>
      </c>
      <c r="I41" s="282">
        <f ca="1">INDEX([4]Kraje!C71:AL71,1,3*T!$A$4-2)</f>
        <v>3751</v>
      </c>
      <c r="J41" s="96">
        <f ca="1">INDEX([4]Kraje!D71:AM71,1,3*T!$A$4-2)</f>
        <v>39864.5</v>
      </c>
      <c r="K41" s="351">
        <f t="shared" ca="1" si="12"/>
        <v>6.6566032643691375E-2</v>
      </c>
    </row>
    <row r="42" spans="1:11" ht="14.1" customHeight="1" x14ac:dyDescent="0.2">
      <c r="A42" s="291"/>
      <c r="B42" s="267"/>
      <c r="C42" s="256" t="s">
        <v>9</v>
      </c>
      <c r="D42" s="244">
        <f ca="1">INDEX([2]Kraje!B72:AK72,1,3*T!$A$4-2)</f>
        <v>213750</v>
      </c>
      <c r="E42" s="96">
        <f ca="1">INDEX([2]Kraje!C72:AL72,1,3*T!$A$4-2)</f>
        <v>11286.5</v>
      </c>
      <c r="F42" s="96">
        <f ca="1">INDEX([2]Kraje!D72:AM72,1,3*T!$A$4-2)</f>
        <v>120572.5</v>
      </c>
      <c r="G42" s="333">
        <f ca="1">E42/$E$43</f>
        <v>0.12508017338229854</v>
      </c>
      <c r="H42" s="315">
        <f t="shared" ca="1" si="11"/>
        <v>0.34685378107137321</v>
      </c>
      <c r="I42" s="282">
        <f ca="1">INDEX([4]Kraje!C72:AL72,1,3*T!$A$4-2)</f>
        <v>8379.9</v>
      </c>
      <c r="J42" s="96">
        <f ca="1">INDEX([4]Kraje!D72:AM72,1,3*T!$A$4-2)</f>
        <v>89060.4</v>
      </c>
      <c r="K42" s="351">
        <f t="shared" ca="1" si="12"/>
        <v>0.14871146279681935</v>
      </c>
    </row>
    <row r="43" spans="1:11" ht="14.1" customHeight="1" x14ac:dyDescent="0.2">
      <c r="A43" s="291"/>
      <c r="B43" s="267"/>
      <c r="C43" s="258" t="s">
        <v>2</v>
      </c>
      <c r="D43" s="252">
        <f ca="1">SUM(D39:D42)</f>
        <v>226568</v>
      </c>
      <c r="E43" s="250">
        <f ca="1">SUM(E39:E42)</f>
        <v>90234.125</v>
      </c>
      <c r="F43" s="251">
        <f ca="1">SUM(F39:F42)</f>
        <v>963370.99765999976</v>
      </c>
      <c r="G43" s="335">
        <f ca="1">SUM(G39:G42)</f>
        <v>1</v>
      </c>
      <c r="H43" s="317">
        <f t="shared" ca="1" si="11"/>
        <v>0.60131370576511012</v>
      </c>
      <c r="I43" s="285">
        <f ca="1">SUM(I39:I42)</f>
        <v>56350.060999999994</v>
      </c>
      <c r="J43" s="251">
        <f ca="1">SUM(J39:J42)</f>
        <v>598877.52139499993</v>
      </c>
      <c r="K43" s="353">
        <f ca="1">SUM(K39:K42)</f>
        <v>1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33" t="s">
        <v>222</v>
      </c>
      <c r="B45" s="833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 ca="1">INDEX([2]Kraje!B75:AK75,1,3*T!$A$4-2)</f>
        <v>98</v>
      </c>
      <c r="E46" s="96">
        <f ca="1">INDEX([2]Kraje!C75:AL75,1,3*T!$A$4-2)</f>
        <v>11303.011999999999</v>
      </c>
      <c r="F46" s="96">
        <f ca="1">INDEX([2]Kraje!D75:AM75,1,3*T!$A$4-2)</f>
        <v>120739.46674</v>
      </c>
      <c r="G46" s="333">
        <f ca="1">E46/$E$50</f>
        <v>0.39597922636958893</v>
      </c>
      <c r="H46" s="315">
        <f ca="1">(E46-I46)/I46</f>
        <v>2.67800075071228E-2</v>
      </c>
      <c r="I46" s="282">
        <f ca="1">INDEX([4]Kraje!C75:AL75,1,3*T!$A$4-2)</f>
        <v>11008.212</v>
      </c>
      <c r="J46" s="96">
        <f ca="1">INDEX([4]Kraje!D75:AM75,1,3*T!$A$4-2)</f>
        <v>116974.04295200003</v>
      </c>
      <c r="K46" s="351">
        <f ca="1">I46/$I$50</f>
        <v>0.45082998749634334</v>
      </c>
    </row>
    <row r="47" spans="1:11" ht="14.1" customHeight="1" x14ac:dyDescent="0.2">
      <c r="A47" s="95"/>
      <c r="B47" s="95"/>
      <c r="C47" s="256" t="s">
        <v>7</v>
      </c>
      <c r="D47" s="244">
        <f ca="1">INDEX([2]Kraje!B76:AK76,1,3*T!$A$4-2)</f>
        <v>333</v>
      </c>
      <c r="E47" s="96">
        <f ca="1">INDEX([2]Kraje!C76:AL76,1,3*T!$A$4-2)</f>
        <v>3429.0970000000002</v>
      </c>
      <c r="F47" s="96">
        <f ca="1">INDEX([2]Kraje!D76:AM76,1,3*T!$A$4-2)</f>
        <v>36629.291850000009</v>
      </c>
      <c r="G47" s="333">
        <f t="shared" ref="G47:G49" ca="1" si="13">E47/$E$50</f>
        <v>0.12013180001987776</v>
      </c>
      <c r="H47" s="315">
        <f t="shared" ref="H47:H50" ca="1" si="14">(E47-I47)/I47</f>
        <v>7.1192119697725598E-2</v>
      </c>
      <c r="I47" s="282">
        <f ca="1">INDEX([4]Kraje!C76:AL76,1,3*T!$A$4-2)</f>
        <v>3201.1970000000001</v>
      </c>
      <c r="J47" s="96">
        <f ca="1">INDEX([4]Kraje!D76:AM76,1,3*T!$A$4-2)</f>
        <v>34013.783054</v>
      </c>
      <c r="K47" s="351">
        <f t="shared" ref="K47:K49" ca="1" si="15">I47/$I$50</f>
        <v>0.13110172691835259</v>
      </c>
    </row>
    <row r="48" spans="1:11" ht="14.1" customHeight="1" x14ac:dyDescent="0.2">
      <c r="A48" s="291"/>
      <c r="B48" s="267"/>
      <c r="C48" s="256" t="s">
        <v>8</v>
      </c>
      <c r="D48" s="244">
        <f ca="1">INDEX([2]Kraje!B77:AK77,1,3*T!$A$4-2)</f>
        <v>10120</v>
      </c>
      <c r="E48" s="96">
        <f ca="1">INDEX([2]Kraje!C77:AL77,1,3*T!$A$4-2)</f>
        <v>4771.9940560000005</v>
      </c>
      <c r="F48" s="96">
        <f ca="1">INDEX([2]Kraje!D77:AM77,1,3*T!$A$4-2)</f>
        <v>50975.919446</v>
      </c>
      <c r="G48" s="333">
        <f t="shared" ca="1" si="13"/>
        <v>0.16717760845827265</v>
      </c>
      <c r="H48" s="315">
        <f t="shared" ca="1" si="14"/>
        <v>0.35004443960283732</v>
      </c>
      <c r="I48" s="282">
        <f ca="1">INDEX([4]Kraje!C77:AL77,1,3*T!$A$4-2)</f>
        <v>3534.6940560000003</v>
      </c>
      <c r="J48" s="96">
        <f ca="1">INDEX([4]Kraje!D77:AM77,1,3*T!$A$4-2)</f>
        <v>37558.446877999995</v>
      </c>
      <c r="K48" s="351">
        <f t="shared" ca="1" si="15"/>
        <v>0.14475975545073799</v>
      </c>
    </row>
    <row r="49" spans="1:11" ht="14.1" customHeight="1" x14ac:dyDescent="0.2">
      <c r="A49" s="291"/>
      <c r="B49" s="267"/>
      <c r="C49" s="256" t="s">
        <v>9</v>
      </c>
      <c r="D49" s="244">
        <f ca="1">INDEX([2]Kraje!B78:AK78,1,3*T!$A$4-2)</f>
        <v>104778</v>
      </c>
      <c r="E49" s="96">
        <f ca="1">INDEX([2]Kraje!C78:AL78,1,3*T!$A$4-2)</f>
        <v>9040.3539440000004</v>
      </c>
      <c r="F49" s="96">
        <f ca="1">INDEX([2]Kraje!D78:AM78,1,3*T!$A$4-2)</f>
        <v>96570.723553999997</v>
      </c>
      <c r="G49" s="333">
        <f t="shared" ca="1" si="13"/>
        <v>0.31671136515226056</v>
      </c>
      <c r="H49" s="315">
        <f t="shared" ca="1" si="14"/>
        <v>0.35465361033425402</v>
      </c>
      <c r="I49" s="282">
        <f ca="1">INDEX([4]Kraje!C78:AL78,1,3*T!$A$4-2)</f>
        <v>6673.5539440000002</v>
      </c>
      <c r="J49" s="96">
        <f ca="1">INDEX([4]Kraje!D78:AM78,1,3*T!$A$4-2)</f>
        <v>70910.052121999994</v>
      </c>
      <c r="K49" s="351">
        <f t="shared" ca="1" si="15"/>
        <v>0.27330853013456619</v>
      </c>
    </row>
    <row r="50" spans="1:11" ht="14.1" customHeight="1" x14ac:dyDescent="0.2">
      <c r="A50" s="291"/>
      <c r="B50" s="267"/>
      <c r="C50" s="258" t="s">
        <v>2</v>
      </c>
      <c r="D50" s="252">
        <f ca="1">SUM(D46:D49)</f>
        <v>115329</v>
      </c>
      <c r="E50" s="250">
        <f ca="1">SUM(E46:E49)</f>
        <v>28544.457000000002</v>
      </c>
      <c r="F50" s="251">
        <f ca="1">SUM(F46:F49)</f>
        <v>304915.40159000002</v>
      </c>
      <c r="G50" s="335">
        <f ca="1">SUM(G46:G49)</f>
        <v>1</v>
      </c>
      <c r="H50" s="317">
        <f t="shared" ca="1" si="14"/>
        <v>0.16900884470610766</v>
      </c>
      <c r="I50" s="285">
        <f ca="1">SUM(I46:I49)</f>
        <v>24417.656999999999</v>
      </c>
      <c r="J50" s="251">
        <f ca="1">SUM(J46:J49)</f>
        <v>259456.32500600003</v>
      </c>
      <c r="K50" s="353">
        <f ca="1">SUM(K46:K49)</f>
        <v>1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33" t="s">
        <v>223</v>
      </c>
      <c r="B52" s="833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 ca="1">INDEX([2]Kraje!B81:AK81,1,3*T!$A$4-2)</f>
        <v>69</v>
      </c>
      <c r="E53" s="96">
        <f ca="1">INDEX([2]Kraje!C81:AL81,1,3*T!$A$4-2)</f>
        <v>13338.3</v>
      </c>
      <c r="F53" s="96">
        <f ca="1">INDEX([2]Kraje!D81:AM81,1,3*T!$A$4-2)</f>
        <v>142491.54215999998</v>
      </c>
      <c r="G53" s="333">
        <f ca="1">E53/$E$57</f>
        <v>0.39044145412606368</v>
      </c>
      <c r="H53" s="315">
        <f ca="1">(E53-I53)/I53</f>
        <v>-4.0913764713495795E-2</v>
      </c>
      <c r="I53" s="282">
        <f ca="1">INDEX([4]Kraje!C81:AL81,1,3*T!$A$4-2)</f>
        <v>13907.3</v>
      </c>
      <c r="J53" s="96">
        <f ca="1">INDEX([4]Kraje!D81:AM81,1,3*T!$A$4-2)</f>
        <v>147803.782114</v>
      </c>
      <c r="K53" s="351">
        <f ca="1">I53/$I$57</f>
        <v>0.46301025079319635</v>
      </c>
    </row>
    <row r="54" spans="1:11" ht="14.1" customHeight="1" x14ac:dyDescent="0.2">
      <c r="A54" s="95"/>
      <c r="B54" s="95"/>
      <c r="C54" s="256" t="s">
        <v>7</v>
      </c>
      <c r="D54" s="244">
        <f ca="1">INDEX([2]Kraje!B82:AK82,1,3*T!$A$4-2)</f>
        <v>346</v>
      </c>
      <c r="E54" s="96">
        <f ca="1">INDEX([2]Kraje!C82:AL82,1,3*T!$A$4-2)</f>
        <v>3615.1</v>
      </c>
      <c r="F54" s="96">
        <f ca="1">INDEX([2]Kraje!D82:AM82,1,3*T!$A$4-2)</f>
        <v>38619.298569999977</v>
      </c>
      <c r="G54" s="333">
        <f t="shared" ref="G54:G56" ca="1" si="16">E54/$E$57</f>
        <v>0.10582194888487535</v>
      </c>
      <c r="H54" s="315">
        <f t="shared" ref="H54:H57" ca="1" si="17">(E54-I54)/I54</f>
        <v>0.11635734799122988</v>
      </c>
      <c r="I54" s="282">
        <f ca="1">INDEX([4]Kraje!C82:AL82,1,3*T!$A$4-2)</f>
        <v>3238.3</v>
      </c>
      <c r="J54" s="96">
        <f ca="1">INDEX([4]Kraje!D82:AM82,1,3*T!$A$4-2)</f>
        <v>34415.541758999985</v>
      </c>
      <c r="K54" s="351">
        <f t="shared" ref="K54:K56" ca="1" si="18">I54/$I$57</f>
        <v>0.10781144400017313</v>
      </c>
    </row>
    <row r="55" spans="1:11" ht="14.1" customHeight="1" x14ac:dyDescent="0.2">
      <c r="A55" s="291"/>
      <c r="B55" s="267"/>
      <c r="C55" s="256" t="s">
        <v>8</v>
      </c>
      <c r="D55" s="244">
        <f ca="1">INDEX([2]Kraje!B83:AK83,1,3*T!$A$4-2)</f>
        <v>10392</v>
      </c>
      <c r="E55" s="96">
        <f ca="1">INDEX([2]Kraje!C83:AL83,1,3*T!$A$4-2)</f>
        <v>5284.5</v>
      </c>
      <c r="F55" s="96">
        <f ca="1">INDEX([2]Kraje!D83:AM83,1,3*T!$A$4-2)</f>
        <v>56454.2</v>
      </c>
      <c r="G55" s="333">
        <f t="shared" ca="1" si="16"/>
        <v>0.15468896818404021</v>
      </c>
      <c r="H55" s="315">
        <f t="shared" ca="1" si="17"/>
        <v>0.32826442126429561</v>
      </c>
      <c r="I55" s="282">
        <f ca="1">INDEX([4]Kraje!C83:AL83,1,3*T!$A$4-2)</f>
        <v>3978.5</v>
      </c>
      <c r="J55" s="96">
        <f ca="1">INDEX([4]Kraje!D83:AM83,1,3*T!$A$4-2)</f>
        <v>42283.1</v>
      </c>
      <c r="K55" s="351">
        <f t="shared" ca="1" si="18"/>
        <v>0.13245463050201922</v>
      </c>
    </row>
    <row r="56" spans="1:11" ht="14.1" customHeight="1" x14ac:dyDescent="0.2">
      <c r="A56" s="291"/>
      <c r="B56" s="267"/>
      <c r="C56" s="256" t="s">
        <v>9</v>
      </c>
      <c r="D56" s="244">
        <f ca="1">INDEX([2]Kraje!B84:AK84,1,3*T!$A$4-2)</f>
        <v>147956</v>
      </c>
      <c r="E56" s="96">
        <f ca="1">INDEX([2]Kraje!C84:AL84,1,3*T!$A$4-2)</f>
        <v>11924.2</v>
      </c>
      <c r="F56" s="96">
        <f ca="1">INDEX([2]Kraje!D84:AM84,1,3*T!$A$4-2)</f>
        <v>127385.2</v>
      </c>
      <c r="G56" s="333">
        <f t="shared" ca="1" si="16"/>
        <v>0.34904762880502083</v>
      </c>
      <c r="H56" s="315">
        <f t="shared" ca="1" si="17"/>
        <v>0.337903642034872</v>
      </c>
      <c r="I56" s="282">
        <f ca="1">INDEX([4]Kraje!C84:AL84,1,3*T!$A$4-2)</f>
        <v>8912.6</v>
      </c>
      <c r="J56" s="96">
        <f ca="1">INDEX([4]Kraje!D84:AM84,1,3*T!$A$4-2)</f>
        <v>94721.4</v>
      </c>
      <c r="K56" s="351">
        <f t="shared" ca="1" si="18"/>
        <v>0.29672367470461142</v>
      </c>
    </row>
    <row r="57" spans="1:11" ht="14.1" customHeight="1" x14ac:dyDescent="0.2">
      <c r="A57" s="291"/>
      <c r="B57" s="267"/>
      <c r="C57" s="258" t="s">
        <v>2</v>
      </c>
      <c r="D57" s="252">
        <f ca="1">SUM(D53:D56)</f>
        <v>158763</v>
      </c>
      <c r="E57" s="250">
        <f ca="1">SUM(E53:E56)</f>
        <v>34162.1</v>
      </c>
      <c r="F57" s="251">
        <f ca="1">SUM(F53:F56)</f>
        <v>364950.24072999996</v>
      </c>
      <c r="G57" s="335">
        <f ca="1">SUM(G53:G56)</f>
        <v>1</v>
      </c>
      <c r="H57" s="317">
        <f t="shared" ca="1" si="17"/>
        <v>0.13734531423225593</v>
      </c>
      <c r="I57" s="285">
        <f ca="1">SUM(I53:I56)</f>
        <v>30036.699999999997</v>
      </c>
      <c r="J57" s="251">
        <f ca="1">SUM(J53:J56)</f>
        <v>319223.82387299999</v>
      </c>
      <c r="K57" s="353">
        <f ca="1">SUM(K53:K56)</f>
        <v>1.0000000000000002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2015-12-03T12:34:09Z</cp:lastPrinted>
  <dcterms:created xsi:type="dcterms:W3CDTF">2010-02-15T08:19:53Z</dcterms:created>
  <dcterms:modified xsi:type="dcterms:W3CDTF">2015-12-03T12:34:18Z</dcterms:modified>
</cp:coreProperties>
</file>