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6405" windowWidth="14310" windowHeight="6435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'1'!$A$1:$C$32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'2'!$A$1:$D$44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O30" i="98" l="1"/>
  <c r="N30" i="98"/>
  <c r="M30" i="98"/>
  <c r="O29" i="98"/>
  <c r="N29" i="98"/>
  <c r="M29" i="98"/>
  <c r="L29" i="98"/>
  <c r="K29" i="98"/>
  <c r="J29" i="98"/>
  <c r="I29" i="98"/>
  <c r="H29" i="98"/>
  <c r="G29" i="98"/>
  <c r="F29" i="98"/>
  <c r="E48" i="96" l="1"/>
  <c r="F48" i="96"/>
  <c r="G48" i="96"/>
  <c r="H48" i="96"/>
  <c r="I48" i="96"/>
  <c r="J48" i="96"/>
  <c r="K48" i="96"/>
  <c r="L48" i="96"/>
  <c r="M48" i="96"/>
  <c r="N48" i="96"/>
  <c r="O48" i="96"/>
  <c r="G47" i="96"/>
  <c r="H47" i="96"/>
  <c r="I47" i="96"/>
  <c r="J47" i="96"/>
  <c r="K47" i="96"/>
  <c r="L47" i="96"/>
  <c r="M47" i="96"/>
  <c r="N47" i="96"/>
  <c r="O47" i="96"/>
  <c r="D48" i="96" l="1"/>
  <c r="P48" i="96" l="1"/>
  <c r="E22" i="97" l="1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D19" i="98" l="1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I30" i="98" s="1"/>
  <c r="J17" i="98"/>
  <c r="J30" i="98" s="1"/>
  <c r="K17" i="98"/>
  <c r="K30" i="98" s="1"/>
  <c r="L17" i="98"/>
  <c r="L30" i="98" s="1"/>
  <c r="M17" i="98"/>
  <c r="N17" i="98"/>
  <c r="O17" i="98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M33" i="97"/>
  <c r="N33" i="97"/>
  <c r="O33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I9" i="97" s="1"/>
  <c r="J7" i="97"/>
  <c r="K7" i="97"/>
  <c r="K9" i="97" s="1"/>
  <c r="L7" i="97"/>
  <c r="L9" i="97" s="1"/>
  <c r="M7" i="97"/>
  <c r="N7" i="97"/>
  <c r="O7" i="97"/>
  <c r="D7" i="97"/>
  <c r="D9" i="97" s="1"/>
  <c r="P26" i="94"/>
  <c r="P25" i="94"/>
  <c r="P24" i="94"/>
  <c r="P23" i="94"/>
  <c r="P22" i="94"/>
  <c r="P21" i="94"/>
  <c r="L12" i="97" l="1"/>
  <c r="L21" i="97"/>
  <c r="L17" i="97"/>
  <c r="L33" i="97" s="1"/>
  <c r="J9" i="97"/>
  <c r="K17" i="97"/>
  <c r="K33" i="97" s="1"/>
  <c r="K12" i="97"/>
  <c r="K21" i="97"/>
  <c r="J21" i="97"/>
  <c r="J12" i="97"/>
  <c r="J17" i="97"/>
  <c r="I17" i="97"/>
  <c r="I33" i="97" s="1"/>
  <c r="I12" i="97"/>
  <c r="I21" i="97"/>
  <c r="E9" i="97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P32" i="96"/>
  <c r="P25" i="96"/>
  <c r="P18" i="96"/>
  <c r="P11" i="96"/>
  <c r="M40" i="96"/>
  <c r="N40" i="96"/>
  <c r="O40" i="96"/>
  <c r="M41" i="96"/>
  <c r="N41" i="96"/>
  <c r="O41" i="96"/>
  <c r="M42" i="96"/>
  <c r="N42" i="96"/>
  <c r="O42" i="96"/>
  <c r="J35" i="96"/>
  <c r="K35" i="96"/>
  <c r="L35" i="96"/>
  <c r="M35" i="96"/>
  <c r="N35" i="96"/>
  <c r="O35" i="96"/>
  <c r="J36" i="96"/>
  <c r="K36" i="96"/>
  <c r="L36" i="96"/>
  <c r="M36" i="96"/>
  <c r="N36" i="96"/>
  <c r="O36" i="96"/>
  <c r="M37" i="96"/>
  <c r="N37" i="96"/>
  <c r="O37" i="96"/>
  <c r="J28" i="96"/>
  <c r="K28" i="96"/>
  <c r="L28" i="96"/>
  <c r="M28" i="96"/>
  <c r="N28" i="96"/>
  <c r="O28" i="96"/>
  <c r="J29" i="96"/>
  <c r="K29" i="96"/>
  <c r="L29" i="96"/>
  <c r="M29" i="96"/>
  <c r="N29" i="96"/>
  <c r="O29" i="96"/>
  <c r="M30" i="96"/>
  <c r="N30" i="96"/>
  <c r="O30" i="96"/>
  <c r="J31" i="96"/>
  <c r="K31" i="96"/>
  <c r="L31" i="96"/>
  <c r="M31" i="96"/>
  <c r="N31" i="96"/>
  <c r="O31" i="96"/>
  <c r="M32" i="96"/>
  <c r="N32" i="96"/>
  <c r="O32" i="96"/>
  <c r="J21" i="96"/>
  <c r="K21" i="96"/>
  <c r="L21" i="96"/>
  <c r="M21" i="96"/>
  <c r="N21" i="96"/>
  <c r="O21" i="96"/>
  <c r="J22" i="96"/>
  <c r="K22" i="96"/>
  <c r="L22" i="96"/>
  <c r="M22" i="96"/>
  <c r="N22" i="96"/>
  <c r="O22" i="96"/>
  <c r="M23" i="96"/>
  <c r="N23" i="96"/>
  <c r="O23" i="96"/>
  <c r="J24" i="96"/>
  <c r="K24" i="96"/>
  <c r="L24" i="96"/>
  <c r="M24" i="96"/>
  <c r="N24" i="96"/>
  <c r="O24" i="96"/>
  <c r="M25" i="96"/>
  <c r="N25" i="96"/>
  <c r="O25" i="96"/>
  <c r="J14" i="96"/>
  <c r="K14" i="96"/>
  <c r="L14" i="96"/>
  <c r="M14" i="96"/>
  <c r="N14" i="96"/>
  <c r="O14" i="96"/>
  <c r="J15" i="96"/>
  <c r="K15" i="96"/>
  <c r="L15" i="96"/>
  <c r="M15" i="96"/>
  <c r="N15" i="96"/>
  <c r="O15" i="96"/>
  <c r="M16" i="96"/>
  <c r="N16" i="96"/>
  <c r="O16" i="96"/>
  <c r="J17" i="96"/>
  <c r="K17" i="96"/>
  <c r="L17" i="96"/>
  <c r="M17" i="96"/>
  <c r="N17" i="96"/>
  <c r="O17" i="96"/>
  <c r="M18" i="96"/>
  <c r="N18" i="96"/>
  <c r="O18" i="96"/>
  <c r="J10" i="96"/>
  <c r="K10" i="96"/>
  <c r="L10" i="96"/>
  <c r="M10" i="96"/>
  <c r="N10" i="96"/>
  <c r="O10" i="96"/>
  <c r="M11" i="96"/>
  <c r="N11" i="96"/>
  <c r="O11" i="96"/>
  <c r="M9" i="96"/>
  <c r="N9" i="96"/>
  <c r="O9" i="96"/>
  <c r="J8" i="96"/>
  <c r="K8" i="96"/>
  <c r="L8" i="96"/>
  <c r="M8" i="96"/>
  <c r="N8" i="96"/>
  <c r="O8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L40" i="96" l="1"/>
  <c r="L23" i="96" s="1"/>
  <c r="L41" i="96"/>
  <c r="J33" i="97"/>
  <c r="L42" i="96"/>
  <c r="L32" i="96" s="1"/>
  <c r="L34" i="97"/>
  <c r="K34" i="97"/>
  <c r="K41" i="96"/>
  <c r="K42" i="96"/>
  <c r="K11" i="96" s="1"/>
  <c r="K40" i="96"/>
  <c r="K37" i="96" s="1"/>
  <c r="J34" i="97"/>
  <c r="J42" i="96"/>
  <c r="J25" i="96" s="1"/>
  <c r="J41" i="96"/>
  <c r="J40" i="96"/>
  <c r="I34" i="97"/>
  <c r="E33" i="97"/>
  <c r="H34" i="97"/>
  <c r="G34" i="97"/>
  <c r="F34" i="97"/>
  <c r="F33" i="97"/>
  <c r="E34" i="97"/>
  <c r="D34" i="97"/>
  <c r="L37" i="96" l="1"/>
  <c r="L16" i="96"/>
  <c r="L9" i="96"/>
  <c r="L30" i="96"/>
  <c r="L25" i="96"/>
  <c r="L18" i="96"/>
  <c r="L11" i="96"/>
  <c r="K18" i="96"/>
  <c r="K25" i="96"/>
  <c r="K32" i="96"/>
  <c r="K30" i="96"/>
  <c r="K23" i="96"/>
  <c r="K16" i="96"/>
  <c r="K9" i="96"/>
  <c r="J18" i="96"/>
  <c r="J32" i="96"/>
  <c r="J11" i="96"/>
  <c r="J37" i="96"/>
  <c r="J23" i="96"/>
  <c r="J30" i="96"/>
  <c r="J16" i="96"/>
  <c r="J9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E35" i="96" l="1"/>
  <c r="I35" i="96"/>
  <c r="F36" i="96"/>
  <c r="E28" i="96"/>
  <c r="I28" i="96"/>
  <c r="F29" i="96"/>
  <c r="E31" i="96"/>
  <c r="I31" i="96"/>
  <c r="H21" i="96"/>
  <c r="E22" i="96"/>
  <c r="I22" i="96"/>
  <c r="H24" i="96"/>
  <c r="G14" i="96"/>
  <c r="H15" i="96"/>
  <c r="G17" i="96"/>
  <c r="F10" i="96"/>
  <c r="G8" i="96"/>
  <c r="H7" i="96"/>
  <c r="G35" i="96"/>
  <c r="H29" i="96"/>
  <c r="G31" i="96"/>
  <c r="F21" i="96"/>
  <c r="I14" i="96"/>
  <c r="F15" i="96"/>
  <c r="E17" i="96"/>
  <c r="I17" i="96"/>
  <c r="I36" i="96"/>
  <c r="H28" i="96"/>
  <c r="E29" i="96"/>
  <c r="H22" i="96"/>
  <c r="G24" i="96"/>
  <c r="F14" i="96"/>
  <c r="I10" i="96"/>
  <c r="G7" i="96"/>
  <c r="F35" i="96"/>
  <c r="G36" i="96"/>
  <c r="F28" i="96"/>
  <c r="G29" i="96"/>
  <c r="F31" i="96"/>
  <c r="E21" i="96"/>
  <c r="I21" i="96"/>
  <c r="F22" i="96"/>
  <c r="E24" i="96"/>
  <c r="I24" i="96"/>
  <c r="H14" i="96"/>
  <c r="E15" i="96"/>
  <c r="I15" i="96"/>
  <c r="H17" i="96"/>
  <c r="G10" i="96"/>
  <c r="H8" i="96"/>
  <c r="E7" i="96"/>
  <c r="I7" i="96"/>
  <c r="H36" i="96"/>
  <c r="G28" i="96"/>
  <c r="G22" i="96"/>
  <c r="F24" i="96"/>
  <c r="E14" i="96"/>
  <c r="H10" i="96"/>
  <c r="E8" i="96"/>
  <c r="I8" i="96"/>
  <c r="F7" i="96"/>
  <c r="H35" i="96"/>
  <c r="E36" i="96"/>
  <c r="I29" i="96"/>
  <c r="H31" i="96"/>
  <c r="G21" i="96"/>
  <c r="G15" i="96"/>
  <c r="F17" i="96"/>
  <c r="E10" i="96"/>
  <c r="F8" i="96"/>
  <c r="D24" i="96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H41" i="96" l="1"/>
  <c r="F41" i="96"/>
  <c r="H42" i="96"/>
  <c r="H32" i="96" s="1"/>
  <c r="G40" i="96"/>
  <c r="G30" i="96" s="1"/>
  <c r="E42" i="96"/>
  <c r="E25" i="96" s="1"/>
  <c r="F40" i="96"/>
  <c r="F16" i="96" s="1"/>
  <c r="I42" i="96"/>
  <c r="I25" i="96" s="1"/>
  <c r="I41" i="96"/>
  <c r="I40" i="96"/>
  <c r="I37" i="96" s="1"/>
  <c r="F42" i="96"/>
  <c r="F11" i="96" s="1"/>
  <c r="H40" i="96"/>
  <c r="H9" i="96" s="1"/>
  <c r="G42" i="96"/>
  <c r="G32" i="96" s="1"/>
  <c r="G41" i="96"/>
  <c r="E41" i="96"/>
  <c r="E40" i="96"/>
  <c r="E30" i="96" s="1"/>
  <c r="D42" i="96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I32" i="96" l="1"/>
  <c r="E18" i="96"/>
  <c r="E11" i="96"/>
  <c r="I18" i="96"/>
  <c r="F30" i="96"/>
  <c r="H37" i="96"/>
  <c r="G37" i="96"/>
  <c r="I9" i="96"/>
  <c r="I11" i="96"/>
  <c r="G9" i="96"/>
  <c r="G18" i="96"/>
  <c r="E16" i="96"/>
  <c r="E37" i="96"/>
  <c r="F37" i="96"/>
  <c r="H23" i="96"/>
  <c r="H16" i="96"/>
  <c r="H30" i="96"/>
  <c r="G23" i="96"/>
  <c r="I30" i="96"/>
  <c r="I23" i="96"/>
  <c r="I16" i="96"/>
  <c r="E9" i="96"/>
  <c r="H25" i="96"/>
  <c r="E23" i="96"/>
  <c r="F25" i="96"/>
  <c r="G16" i="96"/>
  <c r="F9" i="96"/>
  <c r="F18" i="96"/>
  <c r="F32" i="96"/>
  <c r="E32" i="96"/>
  <c r="G25" i="96"/>
  <c r="G11" i="96"/>
  <c r="H18" i="96"/>
  <c r="F23" i="96"/>
  <c r="H11" i="96"/>
  <c r="D25" i="96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B8" i="63" l="1"/>
  <c r="F8" i="63"/>
  <c r="J8" i="63"/>
  <c r="B9" i="63"/>
  <c r="F9" i="63"/>
  <c r="J9" i="63"/>
  <c r="B10" i="63"/>
  <c r="F10" i="63"/>
  <c r="J10" i="63"/>
  <c r="C7" i="63"/>
  <c r="G7" i="63"/>
  <c r="K7" i="63"/>
  <c r="L11" i="63"/>
  <c r="H8" i="63"/>
  <c r="D9" i="63"/>
  <c r="L9" i="63"/>
  <c r="H10" i="63"/>
  <c r="E7" i="63"/>
  <c r="M7" i="63"/>
  <c r="M11" i="63"/>
  <c r="I8" i="63"/>
  <c r="E9" i="63"/>
  <c r="I9" i="63"/>
  <c r="I10" i="63"/>
  <c r="F7" i="63"/>
  <c r="B7" i="63"/>
  <c r="K11" i="63"/>
  <c r="C8" i="63"/>
  <c r="G8" i="63"/>
  <c r="K8" i="63"/>
  <c r="C9" i="63"/>
  <c r="G9" i="63"/>
  <c r="K9" i="63"/>
  <c r="C10" i="63"/>
  <c r="G10" i="63"/>
  <c r="K10" i="63"/>
  <c r="D7" i="63"/>
  <c r="H7" i="63"/>
  <c r="L7" i="63"/>
  <c r="D8" i="63"/>
  <c r="L8" i="63"/>
  <c r="H9" i="63"/>
  <c r="D10" i="63"/>
  <c r="L10" i="63"/>
  <c r="I7" i="63"/>
  <c r="E8" i="63"/>
  <c r="M8" i="63"/>
  <c r="M9" i="63"/>
  <c r="E10" i="63"/>
  <c r="M10" i="63"/>
  <c r="J7" i="63"/>
  <c r="A10" i="8"/>
  <c r="H10" i="8" s="1"/>
  <c r="A14" i="8"/>
  <c r="H14" i="8" s="1"/>
  <c r="A18" i="8"/>
  <c r="H18" i="8" s="1"/>
  <c r="A22" i="8"/>
  <c r="H22" i="8" s="1"/>
  <c r="A26" i="8"/>
  <c r="H26" i="8" s="1"/>
  <c r="A30" i="8"/>
  <c r="H30" i="8" s="1"/>
  <c r="A34" i="8"/>
  <c r="H34" i="8" s="1"/>
  <c r="A38" i="8"/>
  <c r="H38" i="8" s="1"/>
  <c r="A31" i="8"/>
  <c r="H31" i="8" s="1"/>
  <c r="A8" i="8"/>
  <c r="H8" i="8" s="1"/>
  <c r="A16" i="8"/>
  <c r="H16" i="8" s="1"/>
  <c r="A24" i="8"/>
  <c r="H24" i="8" s="1"/>
  <c r="A28" i="8"/>
  <c r="H28" i="8" s="1"/>
  <c r="A36" i="8"/>
  <c r="H36" i="8" s="1"/>
  <c r="A13" i="8"/>
  <c r="H13" i="8" s="1"/>
  <c r="A21" i="8"/>
  <c r="H21" i="8" s="1"/>
  <c r="A29" i="8"/>
  <c r="H29" i="8" s="1"/>
  <c r="A37" i="8"/>
  <c r="H37" i="8" s="1"/>
  <c r="A11" i="8"/>
  <c r="H11" i="8" s="1"/>
  <c r="A15" i="8"/>
  <c r="H15" i="8" s="1"/>
  <c r="A19" i="8"/>
  <c r="H19" i="8" s="1"/>
  <c r="A23" i="8"/>
  <c r="H23" i="8" s="1"/>
  <c r="A27" i="8"/>
  <c r="H27" i="8" s="1"/>
  <c r="A35" i="8"/>
  <c r="H35" i="8" s="1"/>
  <c r="A12" i="8"/>
  <c r="H12" i="8" s="1"/>
  <c r="A20" i="8"/>
  <c r="H20" i="8" s="1"/>
  <c r="A32" i="8"/>
  <c r="H32" i="8" s="1"/>
  <c r="A9" i="8"/>
  <c r="H9" i="8" s="1"/>
  <c r="A17" i="8"/>
  <c r="H17" i="8" s="1"/>
  <c r="A25" i="8"/>
  <c r="H25" i="8" s="1"/>
  <c r="A33" i="8"/>
  <c r="H33" i="8" s="1"/>
  <c r="C8" i="8"/>
  <c r="C10" i="8"/>
  <c r="D11" i="8"/>
  <c r="E12" i="8"/>
  <c r="C14" i="8"/>
  <c r="D15" i="8"/>
  <c r="E16" i="8"/>
  <c r="C18" i="8"/>
  <c r="I18" i="8" s="1"/>
  <c r="D19" i="8"/>
  <c r="E20" i="8"/>
  <c r="C22" i="8"/>
  <c r="D23" i="8"/>
  <c r="E24" i="8"/>
  <c r="J24" i="8" s="1"/>
  <c r="C26" i="8"/>
  <c r="I26" i="8" s="1"/>
  <c r="D27" i="8"/>
  <c r="E28" i="8"/>
  <c r="C30" i="8"/>
  <c r="D31" i="8"/>
  <c r="E32" i="8"/>
  <c r="C34" i="8"/>
  <c r="I34" i="8" s="1"/>
  <c r="D35" i="8"/>
  <c r="E36" i="8"/>
  <c r="C38" i="8"/>
  <c r="D8" i="8"/>
  <c r="B12" i="8"/>
  <c r="B16" i="8"/>
  <c r="B20" i="8"/>
  <c r="B24" i="8"/>
  <c r="B28" i="8"/>
  <c r="B32" i="8"/>
  <c r="B36" i="8"/>
  <c r="E35" i="8"/>
  <c r="D38" i="8"/>
  <c r="B13" i="8"/>
  <c r="B17" i="8"/>
  <c r="B25" i="8"/>
  <c r="B33" i="8"/>
  <c r="C12" i="8"/>
  <c r="I12" i="8" s="1"/>
  <c r="E14" i="8"/>
  <c r="D17" i="8"/>
  <c r="C20" i="8"/>
  <c r="E22" i="8"/>
  <c r="D25" i="8"/>
  <c r="C28" i="8"/>
  <c r="E30" i="8"/>
  <c r="E34" i="8"/>
  <c r="D37" i="8"/>
  <c r="B10" i="8"/>
  <c r="B14" i="8"/>
  <c r="B22" i="8"/>
  <c r="B30" i="8"/>
  <c r="B38" i="8"/>
  <c r="E9" i="8"/>
  <c r="J9" i="8" s="1"/>
  <c r="D12" i="8"/>
  <c r="E13" i="8"/>
  <c r="D16" i="8"/>
  <c r="D20" i="8"/>
  <c r="C23" i="8"/>
  <c r="E25" i="8"/>
  <c r="J25" i="8" s="1"/>
  <c r="D28" i="8"/>
  <c r="C31" i="8"/>
  <c r="E33" i="8"/>
  <c r="D36" i="8"/>
  <c r="E8" i="8"/>
  <c r="B15" i="8"/>
  <c r="B23" i="8"/>
  <c r="B31" i="8"/>
  <c r="B8" i="8"/>
  <c r="C9" i="8"/>
  <c r="I9" i="8" s="1"/>
  <c r="D10" i="8"/>
  <c r="E11" i="8"/>
  <c r="C13" i="8"/>
  <c r="I13" i="8" s="1"/>
  <c r="D14" i="8"/>
  <c r="E15" i="8"/>
  <c r="C17" i="8"/>
  <c r="D18" i="8"/>
  <c r="E19" i="8"/>
  <c r="C21" i="8"/>
  <c r="D22" i="8"/>
  <c r="E23" i="8"/>
  <c r="C25" i="8"/>
  <c r="D26" i="8"/>
  <c r="E27" i="8"/>
  <c r="C29" i="8"/>
  <c r="D30" i="8"/>
  <c r="E31" i="8"/>
  <c r="J31" i="8" s="1"/>
  <c r="C33" i="8"/>
  <c r="D34" i="8"/>
  <c r="C37" i="8"/>
  <c r="B9" i="8"/>
  <c r="B21" i="8"/>
  <c r="B29" i="8"/>
  <c r="B37" i="8"/>
  <c r="D9" i="8"/>
  <c r="E10" i="8"/>
  <c r="D13" i="8"/>
  <c r="C16" i="8"/>
  <c r="E18" i="8"/>
  <c r="D21" i="8"/>
  <c r="C24" i="8"/>
  <c r="E26" i="8"/>
  <c r="D29" i="8"/>
  <c r="C32" i="8"/>
  <c r="D33" i="8"/>
  <c r="C36" i="8"/>
  <c r="E38" i="8"/>
  <c r="B18" i="8"/>
  <c r="B26" i="8"/>
  <c r="B34" i="8"/>
  <c r="C11" i="8"/>
  <c r="C15" i="8"/>
  <c r="E17" i="8"/>
  <c r="C19" i="8"/>
  <c r="E21" i="8"/>
  <c r="D24" i="8"/>
  <c r="C27" i="8"/>
  <c r="I27" i="8" s="1"/>
  <c r="E29" i="8"/>
  <c r="D32" i="8"/>
  <c r="C35" i="8"/>
  <c r="E37" i="8"/>
  <c r="B11" i="8"/>
  <c r="B19" i="8"/>
  <c r="B27" i="8"/>
  <c r="B35" i="8"/>
  <c r="S2" i="68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J11" i="63" l="1"/>
  <c r="J14" i="8"/>
  <c r="I11" i="63"/>
  <c r="I10" i="8"/>
  <c r="I35" i="8"/>
  <c r="I15" i="8"/>
  <c r="H11" i="63"/>
  <c r="I32" i="8"/>
  <c r="I33" i="8"/>
  <c r="J11" i="8"/>
  <c r="J13" i="8"/>
  <c r="J16" i="8"/>
  <c r="I11" i="8"/>
  <c r="J18" i="8"/>
  <c r="J33" i="8"/>
  <c r="J34" i="8"/>
  <c r="J27" i="8"/>
  <c r="J32" i="8"/>
  <c r="I16" i="8"/>
  <c r="J10" i="8"/>
  <c r="I17" i="8"/>
  <c r="I38" i="8"/>
  <c r="I22" i="8"/>
  <c r="F11" i="63"/>
  <c r="E11" i="63"/>
  <c r="G11" i="63"/>
  <c r="J21" i="8"/>
  <c r="J38" i="8"/>
  <c r="I21" i="8"/>
  <c r="J15" i="8"/>
  <c r="J22" i="8"/>
  <c r="I24" i="8"/>
  <c r="J35" i="8"/>
  <c r="D11" i="63"/>
  <c r="C11" i="63"/>
  <c r="B11" i="63"/>
  <c r="I23" i="8"/>
  <c r="J20" i="8"/>
  <c r="W2" i="68"/>
  <c r="T2" i="68"/>
  <c r="J29" i="8"/>
  <c r="I19" i="8"/>
  <c r="I36" i="8"/>
  <c r="J26" i="8"/>
  <c r="I37" i="8"/>
  <c r="I25" i="8"/>
  <c r="J19" i="8"/>
  <c r="I31" i="8"/>
  <c r="J30" i="8"/>
  <c r="I20" i="8"/>
  <c r="I30" i="8"/>
  <c r="I14" i="8"/>
  <c r="I8" i="8"/>
  <c r="J36" i="8"/>
  <c r="J37" i="8"/>
  <c r="J17" i="8"/>
  <c r="I29" i="8"/>
  <c r="J23" i="8"/>
  <c r="J8" i="8"/>
  <c r="I28" i="8"/>
  <c r="J28" i="8"/>
  <c r="J12" i="8"/>
  <c r="S3" i="68"/>
  <c r="W3" i="68" s="1"/>
  <c r="V2" i="68"/>
  <c r="E7" i="93"/>
  <c r="E33" i="93" s="1"/>
  <c r="J45" i="93"/>
  <c r="F21" i="93"/>
  <c r="F7" i="93"/>
  <c r="E20" i="93" l="1"/>
  <c r="E45" i="93"/>
  <c r="V3" i="68"/>
  <c r="T3" i="68"/>
  <c r="S4" i="68"/>
  <c r="W4" i="68" s="1"/>
  <c r="F33" i="93"/>
  <c r="E21" i="93"/>
  <c r="F45" i="93"/>
  <c r="T4" i="68" l="1"/>
  <c r="V4" i="68"/>
  <c r="S5" i="68"/>
  <c r="W5" i="68" s="1"/>
  <c r="E4" i="92"/>
  <c r="E7" i="92" s="1"/>
  <c r="D10" i="92" s="1"/>
  <c r="H46" i="92"/>
  <c r="S6" i="68" l="1"/>
  <c r="W6" i="68" s="1"/>
  <c r="T5" i="68"/>
  <c r="V5" i="68"/>
  <c r="E46" i="92"/>
  <c r="I7" i="92"/>
  <c r="K42" i="90"/>
  <c r="K28" i="90"/>
  <c r="K20" i="90"/>
  <c r="T6" i="68" l="1"/>
  <c r="S7" i="68"/>
  <c r="W7" i="68" s="1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W8" i="68" s="1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W9" i="68" s="1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W10" i="68" s="1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W11" i="68" s="1"/>
  <c r="V10" i="68"/>
  <c r="J25" i="92"/>
  <c r="T11" i="68" l="1"/>
  <c r="V11" i="68"/>
  <c r="S12" i="68"/>
  <c r="W12" i="68" s="1"/>
  <c r="D3" i="82"/>
  <c r="E3" i="82"/>
  <c r="T12" i="68" l="1"/>
  <c r="V12" i="68"/>
  <c r="S13" i="68"/>
  <c r="W13" i="68" s="1"/>
  <c r="A31" i="68"/>
  <c r="T13" i="68" l="1"/>
  <c r="V13" i="68"/>
  <c r="S14" i="68"/>
  <c r="W14" i="68" s="1"/>
  <c r="T1" i="68"/>
  <c r="A2" i="68"/>
  <c r="T14" i="68" l="1"/>
  <c r="S15" i="68"/>
  <c r="W15" i="68" s="1"/>
  <c r="V14" i="68"/>
  <c r="D41" i="8"/>
  <c r="C40" i="8"/>
  <c r="E40" i="8" s="1"/>
  <c r="C39" i="8"/>
  <c r="T15" i="68" l="1"/>
  <c r="S16" i="68"/>
  <c r="W16" i="68" s="1"/>
  <c r="V15" i="68"/>
  <c r="E39" i="8"/>
  <c r="D39" i="8"/>
  <c r="T16" i="68" l="1"/>
  <c r="V16" i="68"/>
  <c r="S17" i="68"/>
  <c r="W17" i="68" s="1"/>
  <c r="T17" i="68" l="1"/>
  <c r="S18" i="68"/>
  <c r="W18" i="68" s="1"/>
  <c r="V17" i="68"/>
  <c r="D40" i="8"/>
  <c r="T18" i="68" l="1"/>
  <c r="S19" i="68"/>
  <c r="W19" i="68" s="1"/>
  <c r="V18" i="68"/>
  <c r="T19" i="68" l="1"/>
  <c r="S20" i="68"/>
  <c r="W20" i="68" s="1"/>
  <c r="V19" i="68"/>
  <c r="F30" i="82"/>
  <c r="F29" i="82"/>
  <c r="F28" i="82"/>
  <c r="F27" i="82"/>
  <c r="T20" i="68" l="1"/>
  <c r="S21" i="68"/>
  <c r="W21" i="68" s="1"/>
  <c r="V20" i="68"/>
  <c r="F31" i="82"/>
  <c r="T21" i="68" l="1"/>
  <c r="S22" i="68"/>
  <c r="W22" i="68" s="1"/>
  <c r="V21" i="68"/>
  <c r="T22" i="68" l="1"/>
  <c r="V22" i="68"/>
  <c r="S23" i="68"/>
  <c r="W23" i="68" s="1"/>
  <c r="E42" i="8"/>
  <c r="D42" i="8"/>
  <c r="C42" i="8"/>
  <c r="C41" i="8"/>
  <c r="E41" i="8" l="1"/>
  <c r="K7" i="8"/>
  <c r="T23" i="68"/>
  <c r="S24" i="68"/>
  <c r="W24" i="68" s="1"/>
  <c r="V23" i="68"/>
  <c r="K8" i="8" l="1"/>
  <c r="L7" i="8"/>
  <c r="T24" i="68"/>
  <c r="S25" i="68"/>
  <c r="W25" i="68" s="1"/>
  <c r="V24" i="68"/>
  <c r="K9" i="8" l="1"/>
  <c r="L8" i="8"/>
  <c r="T25" i="68"/>
  <c r="S26" i="68"/>
  <c r="W26" i="68" s="1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W27" i="68" s="1"/>
  <c r="V26" i="68"/>
  <c r="N11" i="63"/>
  <c r="Q10" i="63"/>
  <c r="K11" i="8" l="1"/>
  <c r="L11" i="8" s="1"/>
  <c r="L10" i="8"/>
  <c r="T27" i="68"/>
  <c r="S28" i="68"/>
  <c r="W28" i="68" s="1"/>
  <c r="V27" i="68"/>
  <c r="Q11" i="63"/>
  <c r="K12" i="8" l="1"/>
  <c r="L12" i="8" s="1"/>
  <c r="T28" i="68"/>
  <c r="V28" i="68"/>
  <c r="S29" i="68"/>
  <c r="W29" i="68" s="1"/>
  <c r="K13" i="8" l="1"/>
  <c r="L13" i="8" s="1"/>
  <c r="T29" i="68"/>
  <c r="S30" i="68"/>
  <c r="W30" i="68" s="1"/>
  <c r="V29" i="68"/>
  <c r="K14" i="8" l="1"/>
  <c r="L14" i="8" s="1"/>
  <c r="T30" i="68"/>
  <c r="V30" i="68"/>
  <c r="S31" i="68"/>
  <c r="W31" i="68" s="1"/>
  <c r="K15" i="8" l="1"/>
  <c r="L15" i="8" s="1"/>
  <c r="T31" i="68"/>
  <c r="S32" i="68"/>
  <c r="W32" i="68" s="1"/>
  <c r="V31" i="68"/>
  <c r="K16" i="8" l="1"/>
  <c r="L16" i="8" s="1"/>
  <c r="T32" i="68"/>
  <c r="V32" i="68"/>
  <c r="S33" i="68"/>
  <c r="W33" i="68" s="1"/>
  <c r="K17" i="8" l="1"/>
  <c r="L17" i="8" s="1"/>
  <c r="T33" i="68"/>
  <c r="S34" i="68"/>
  <c r="W34" i="68" s="1"/>
  <c r="V33" i="68"/>
  <c r="K18" i="8" l="1"/>
  <c r="L18" i="8" s="1"/>
  <c r="T34" i="68"/>
  <c r="S35" i="68"/>
  <c r="W35" i="68" s="1"/>
  <c r="V34" i="68"/>
  <c r="K19" i="8" l="1"/>
  <c r="L19" i="8" s="1"/>
  <c r="T35" i="68"/>
  <c r="S36" i="68"/>
  <c r="W36" i="68" s="1"/>
  <c r="V35" i="68"/>
  <c r="K20" i="8" l="1"/>
  <c r="L20" i="8" s="1"/>
  <c r="T36" i="68"/>
  <c r="S37" i="68"/>
  <c r="W37" i="68" s="1"/>
  <c r="V36" i="68"/>
  <c r="K21" i="8" l="1"/>
  <c r="L21" i="8" s="1"/>
  <c r="T37" i="68"/>
  <c r="S38" i="68"/>
  <c r="W38" i="68" s="1"/>
  <c r="V37" i="68"/>
  <c r="K22" i="8" l="1"/>
  <c r="L22" i="8" s="1"/>
  <c r="T38" i="68"/>
  <c r="V38" i="68"/>
  <c r="S39" i="68"/>
  <c r="W39" i="68" s="1"/>
  <c r="K23" i="8" l="1"/>
  <c r="L23" i="8" s="1"/>
  <c r="T39" i="68"/>
  <c r="S40" i="68"/>
  <c r="W40" i="68" s="1"/>
  <c r="V39" i="68"/>
  <c r="K24" i="8" l="1"/>
  <c r="L24" i="8" s="1"/>
  <c r="T40" i="68"/>
  <c r="V40" i="68"/>
  <c r="S41" i="68"/>
  <c r="W41" i="68" s="1"/>
  <c r="K25" i="8" l="1"/>
  <c r="L25" i="8" s="1"/>
  <c r="T41" i="68"/>
  <c r="S42" i="68"/>
  <c r="W42" i="68" s="1"/>
  <c r="V41" i="68"/>
  <c r="K26" i="8" l="1"/>
  <c r="L26" i="8" s="1"/>
  <c r="T42" i="68"/>
  <c r="S43" i="68"/>
  <c r="W43" i="68" s="1"/>
  <c r="V42" i="68"/>
  <c r="K27" i="8" l="1"/>
  <c r="L27" i="8" s="1"/>
  <c r="T43" i="68"/>
  <c r="S44" i="68"/>
  <c r="W44" i="68" s="1"/>
  <c r="V43" i="68"/>
  <c r="K28" i="8" l="1"/>
  <c r="L28" i="8" s="1"/>
  <c r="T44" i="68"/>
  <c r="V44" i="68"/>
  <c r="S45" i="68"/>
  <c r="W45" i="68" s="1"/>
  <c r="K29" i="8" l="1"/>
  <c r="L29" i="8" s="1"/>
  <c r="T45" i="68"/>
  <c r="S46" i="68"/>
  <c r="W46" i="68" s="1"/>
  <c r="V45" i="68"/>
  <c r="K30" i="8" l="1"/>
  <c r="L30" i="8" s="1"/>
  <c r="T46" i="68"/>
  <c r="V46" i="68"/>
  <c r="S47" i="68"/>
  <c r="W47" i="68" s="1"/>
  <c r="K31" i="8" l="1"/>
  <c r="L31" i="8" s="1"/>
  <c r="T47" i="68"/>
  <c r="S48" i="68"/>
  <c r="W48" i="68" s="1"/>
  <c r="V47" i="68"/>
  <c r="K32" i="8" l="1"/>
  <c r="L32" i="8" s="1"/>
  <c r="T48" i="68"/>
  <c r="V48" i="68"/>
  <c r="S49" i="68"/>
  <c r="W49" i="68" s="1"/>
  <c r="K33" i="8" l="1"/>
  <c r="L33" i="8" s="1"/>
  <c r="T49" i="68"/>
  <c r="S50" i="68"/>
  <c r="W50" i="68" s="1"/>
  <c r="V49" i="68"/>
  <c r="K34" i="8" l="1"/>
  <c r="L34" i="8" s="1"/>
  <c r="T50" i="68"/>
  <c r="S51" i="68"/>
  <c r="W51" i="68" s="1"/>
  <c r="V50" i="68"/>
  <c r="K35" i="8" l="1"/>
  <c r="L35" i="8" s="1"/>
  <c r="T51" i="68"/>
  <c r="S52" i="68"/>
  <c r="W52" i="68" s="1"/>
  <c r="V51" i="68"/>
  <c r="K36" i="8" l="1"/>
  <c r="L36" i="8" s="1"/>
  <c r="T52" i="68"/>
  <c r="S53" i="68"/>
  <c r="W53" i="68" s="1"/>
  <c r="V52" i="68"/>
  <c r="K37" i="8" l="1"/>
  <c r="L37" i="8" s="1"/>
  <c r="T53" i="68"/>
  <c r="S54" i="68"/>
  <c r="W54" i="68" s="1"/>
  <c r="V53" i="68"/>
  <c r="K38" i="8" l="1"/>
  <c r="L38" i="8" s="1"/>
  <c r="N6" i="8"/>
  <c r="T54" i="68"/>
  <c r="V54" i="68"/>
  <c r="S55" i="68"/>
  <c r="W55" i="68" s="1"/>
  <c r="N7" i="8" l="1"/>
  <c r="O7" i="8" s="1"/>
  <c r="T55" i="68"/>
  <c r="S56" i="68"/>
  <c r="W56" i="68" s="1"/>
  <c r="V55" i="68"/>
  <c r="N8" i="8" l="1"/>
  <c r="O8" i="8" s="1"/>
  <c r="T56" i="68"/>
  <c r="V56" i="68"/>
  <c r="S57" i="68"/>
  <c r="W57" i="68" s="1"/>
  <c r="N9" i="8" l="1"/>
  <c r="O9" i="8" s="1"/>
  <c r="T57" i="68"/>
  <c r="S58" i="68"/>
  <c r="W58" i="68" s="1"/>
  <c r="V57" i="68"/>
  <c r="N10" i="8" l="1"/>
  <c r="O10" i="8" s="1"/>
  <c r="T58" i="68"/>
  <c r="S59" i="68"/>
  <c r="W59" i="68" s="1"/>
  <c r="V58" i="68"/>
  <c r="N11" i="8" l="1"/>
  <c r="O11" i="8" s="1"/>
  <c r="T59" i="68"/>
  <c r="V59" i="68"/>
  <c r="S60" i="68"/>
  <c r="W60" i="68" s="1"/>
  <c r="N12" i="8" l="1"/>
  <c r="O12" i="8" s="1"/>
  <c r="T60" i="68"/>
  <c r="V60" i="68"/>
  <c r="S61" i="68"/>
  <c r="W61" i="68" s="1"/>
  <c r="N13" i="8" l="1"/>
  <c r="O13" i="8" s="1"/>
  <c r="T61" i="68"/>
  <c r="S62" i="68"/>
  <c r="W62" i="68" s="1"/>
  <c r="V61" i="68"/>
  <c r="N14" i="8" l="1"/>
  <c r="O14" i="8" s="1"/>
  <c r="T62" i="68"/>
  <c r="V62" i="68"/>
  <c r="S63" i="68"/>
  <c r="W63" i="68" s="1"/>
  <c r="N15" i="8" l="1"/>
  <c r="O15" i="8" s="1"/>
  <c r="T63" i="68"/>
  <c r="S64" i="68"/>
  <c r="W64" i="68" s="1"/>
  <c r="V63" i="68"/>
  <c r="N16" i="8" l="1"/>
  <c r="O16" i="8" s="1"/>
  <c r="T64" i="68"/>
  <c r="V64" i="68"/>
  <c r="S65" i="68"/>
  <c r="W65" i="68" s="1"/>
  <c r="N17" i="8" l="1"/>
  <c r="O17" i="8" s="1"/>
  <c r="T65" i="68"/>
  <c r="S66" i="68"/>
  <c r="W66" i="68" s="1"/>
  <c r="V65" i="68"/>
  <c r="N18" i="8" l="1"/>
  <c r="O18" i="8" s="1"/>
  <c r="T66" i="68"/>
  <c r="S67" i="68"/>
  <c r="W67" i="68" s="1"/>
  <c r="V66" i="68"/>
  <c r="N19" i="8" l="1"/>
  <c r="O19" i="8" s="1"/>
  <c r="T67" i="68"/>
  <c r="S68" i="68"/>
  <c r="W68" i="68" s="1"/>
  <c r="V67" i="68"/>
  <c r="N20" i="8" l="1"/>
  <c r="O20" i="8" s="1"/>
  <c r="T68" i="68"/>
  <c r="S69" i="68"/>
  <c r="W69" i="68" s="1"/>
  <c r="V68" i="68"/>
  <c r="N21" i="8" l="1"/>
  <c r="O21" i="8" s="1"/>
  <c r="T69" i="68"/>
  <c r="S70" i="68"/>
  <c r="W70" i="68" s="1"/>
  <c r="V69" i="68"/>
  <c r="N22" i="8" l="1"/>
  <c r="O22" i="8" s="1"/>
  <c r="T70" i="68"/>
  <c r="V70" i="68"/>
  <c r="S71" i="68"/>
  <c r="W71" i="68" s="1"/>
  <c r="N23" i="8" l="1"/>
  <c r="O23" i="8" s="1"/>
  <c r="T71" i="68"/>
  <c r="S72" i="68"/>
  <c r="W72" i="68" s="1"/>
  <c r="V71" i="68"/>
  <c r="N24" i="8" l="1"/>
  <c r="O24" i="8" s="1"/>
  <c r="T72" i="68"/>
  <c r="S73" i="68"/>
  <c r="W73" i="68" s="1"/>
  <c r="V72" i="68"/>
  <c r="N25" i="8" l="1"/>
  <c r="O25" i="8" s="1"/>
  <c r="T73" i="68"/>
  <c r="S74" i="68"/>
  <c r="W74" i="68" s="1"/>
  <c r="V73" i="68"/>
  <c r="N26" i="8" l="1"/>
  <c r="O26" i="8" s="1"/>
  <c r="T74" i="68"/>
  <c r="S75" i="68"/>
  <c r="W75" i="68" s="1"/>
  <c r="V74" i="68"/>
  <c r="N27" i="8" l="1"/>
  <c r="O27" i="8" s="1"/>
  <c r="T75" i="68"/>
  <c r="S76" i="68"/>
  <c r="W76" i="68" s="1"/>
  <c r="V75" i="68"/>
  <c r="N28" i="8" l="1"/>
  <c r="O28" i="8" s="1"/>
  <c r="T76" i="68"/>
  <c r="S77" i="68"/>
  <c r="W77" i="68" s="1"/>
  <c r="V76" i="68"/>
  <c r="N29" i="8" l="1"/>
  <c r="O29" i="8" s="1"/>
  <c r="T77" i="68"/>
  <c r="S78" i="68"/>
  <c r="W78" i="68" s="1"/>
  <c r="V77" i="68"/>
  <c r="N30" i="8" l="1"/>
  <c r="O30" i="8" s="1"/>
  <c r="T78" i="68"/>
  <c r="V78" i="68"/>
  <c r="S79" i="68"/>
  <c r="W79" i="68" s="1"/>
  <c r="N31" i="8" l="1"/>
  <c r="T79" i="68"/>
  <c r="S80" i="68"/>
  <c r="W80" i="68" s="1"/>
  <c r="V79" i="68"/>
  <c r="N32" i="8" l="1"/>
  <c r="O31" i="8"/>
  <c r="T80" i="68"/>
  <c r="S81" i="68"/>
  <c r="W81" i="68" s="1"/>
  <c r="V80" i="68"/>
  <c r="N33" i="8" l="1"/>
  <c r="O33" i="8" s="1"/>
  <c r="O32" i="8"/>
  <c r="T81" i="68"/>
  <c r="S82" i="68"/>
  <c r="W82" i="68" s="1"/>
  <c r="V81" i="68"/>
  <c r="N34" i="8" l="1"/>
  <c r="O34" i="8" s="1"/>
  <c r="T82" i="68"/>
  <c r="S83" i="68"/>
  <c r="W83" i="68" s="1"/>
  <c r="V82" i="68"/>
  <c r="N35" i="8" l="1"/>
  <c r="T83" i="68"/>
  <c r="S84" i="68"/>
  <c r="W84" i="68" s="1"/>
  <c r="V83" i="68"/>
  <c r="N36" i="8" l="1"/>
  <c r="O36" i="8" s="1"/>
  <c r="O35" i="8"/>
  <c r="T84" i="68"/>
  <c r="S85" i="68"/>
  <c r="W85" i="68" s="1"/>
  <c r="V84" i="68"/>
  <c r="N37" i="8" l="1"/>
  <c r="O37" i="8" s="1"/>
  <c r="T85" i="68"/>
  <c r="S86" i="68"/>
  <c r="W86" i="68" s="1"/>
  <c r="V85" i="68"/>
  <c r="N38" i="8" l="1"/>
  <c r="O38" i="8" s="1"/>
  <c r="T86" i="68"/>
  <c r="V86" i="68"/>
  <c r="S87" i="68"/>
  <c r="W87" i="68" s="1"/>
  <c r="T87" i="68" l="1"/>
  <c r="S88" i="68"/>
  <c r="W88" i="68" s="1"/>
  <c r="V87" i="68"/>
  <c r="T88" i="68" l="1"/>
  <c r="S89" i="68"/>
  <c r="W89" i="68" s="1"/>
  <c r="V88" i="68"/>
  <c r="T89" i="68" l="1"/>
  <c r="S90" i="68"/>
  <c r="W90" i="68" s="1"/>
  <c r="V89" i="68"/>
  <c r="T90" i="68" l="1"/>
  <c r="S91" i="68"/>
  <c r="W91" i="68" s="1"/>
  <c r="V90" i="68"/>
  <c r="T91" i="68" l="1"/>
  <c r="S92" i="68"/>
  <c r="U92" i="68" s="1"/>
  <c r="V91" i="68"/>
  <c r="T92" i="68" l="1"/>
  <c r="S93" i="68"/>
  <c r="U93" i="68" s="1"/>
  <c r="V92" i="68"/>
  <c r="T93" i="68" l="1"/>
  <c r="S94" i="68"/>
  <c r="U94" i="68" s="1"/>
  <c r="V93" i="68"/>
  <c r="T94" i="68" l="1"/>
  <c r="V94" i="68"/>
  <c r="S95" i="68"/>
  <c r="U95" i="68" s="1"/>
  <c r="T95" i="68" l="1"/>
  <c r="S96" i="68"/>
  <c r="U96" i="68" s="1"/>
  <c r="V95" i="68"/>
  <c r="T96" i="68" l="1"/>
  <c r="S97" i="68"/>
  <c r="U97" i="68" s="1"/>
  <c r="V96" i="68"/>
  <c r="T97" i="68" l="1"/>
  <c r="S98" i="68"/>
  <c r="U98" i="68" s="1"/>
  <c r="V97" i="68"/>
  <c r="T98" i="68" l="1"/>
  <c r="S99" i="68"/>
  <c r="U99" i="68" s="1"/>
  <c r="V98" i="68"/>
  <c r="T99" i="68" l="1"/>
  <c r="S100" i="68"/>
  <c r="U100" i="68" s="1"/>
  <c r="V99" i="68"/>
  <c r="T100" i="68" l="1"/>
  <c r="S101" i="68"/>
  <c r="U101" i="68" s="1"/>
  <c r="V100" i="68"/>
  <c r="T101" i="68" l="1"/>
  <c r="S102" i="68"/>
  <c r="U102" i="68" s="1"/>
  <c r="V101" i="68"/>
  <c r="T102" i="68" l="1"/>
  <c r="V102" i="68"/>
  <c r="S103" i="68"/>
  <c r="U103" i="68" s="1"/>
  <c r="T103" i="68" l="1"/>
  <c r="S104" i="68"/>
  <c r="U104" i="68" s="1"/>
  <c r="V103" i="68"/>
  <c r="T104" i="68" l="1"/>
  <c r="S105" i="68"/>
  <c r="U105" i="68" s="1"/>
  <c r="V104" i="68"/>
  <c r="T105" i="68" l="1"/>
  <c r="S106" i="68"/>
  <c r="U106" i="68" s="1"/>
  <c r="V105" i="68"/>
  <c r="T106" i="68" l="1"/>
  <c r="S107" i="68"/>
  <c r="U107" i="68" s="1"/>
  <c r="V106" i="68"/>
  <c r="T107" i="68" l="1"/>
  <c r="S108" i="68"/>
  <c r="U108" i="68" s="1"/>
  <c r="V107" i="68"/>
  <c r="T108" i="68" l="1"/>
  <c r="S109" i="68"/>
  <c r="U109" i="68" s="1"/>
  <c r="V108" i="68"/>
  <c r="T109" i="68" l="1"/>
  <c r="S110" i="68"/>
  <c r="U110" i="68" s="1"/>
  <c r="V109" i="68"/>
  <c r="T110" i="68" l="1"/>
  <c r="V110" i="68"/>
  <c r="S111" i="68"/>
  <c r="U111" i="68" s="1"/>
  <c r="T111" i="68" l="1"/>
  <c r="S112" i="68"/>
  <c r="U112" i="68" s="1"/>
  <c r="V111" i="68"/>
  <c r="T112" i="68" l="1"/>
  <c r="S113" i="68"/>
  <c r="U113" i="68" s="1"/>
  <c r="V112" i="68"/>
  <c r="T113" i="68" l="1"/>
  <c r="S114" i="68"/>
  <c r="U114" i="68" s="1"/>
  <c r="V113" i="68"/>
  <c r="T114" i="68" l="1"/>
  <c r="S115" i="68"/>
  <c r="U115" i="68" s="1"/>
  <c r="V114" i="68"/>
  <c r="T115" i="68" l="1"/>
  <c r="S116" i="68"/>
  <c r="U116" i="68" s="1"/>
  <c r="V115" i="68"/>
  <c r="T116" i="68" l="1"/>
  <c r="S117" i="68"/>
  <c r="U117" i="68" s="1"/>
  <c r="V116" i="68"/>
  <c r="T117" i="68" l="1"/>
  <c r="S118" i="68"/>
  <c r="U118" i="68" s="1"/>
  <c r="V117" i="68"/>
  <c r="T118" i="68" l="1"/>
  <c r="V118" i="68"/>
  <c r="S119" i="68"/>
  <c r="U119" i="68" s="1"/>
  <c r="T119" i="68" l="1"/>
  <c r="S120" i="68"/>
  <c r="U120" i="68" s="1"/>
  <c r="V119" i="68"/>
  <c r="T120" i="68" l="1"/>
  <c r="S121" i="68"/>
  <c r="U121" i="68" s="1"/>
  <c r="V120" i="68"/>
  <c r="T121" i="68" l="1"/>
  <c r="S122" i="68"/>
  <c r="U122" i="68" s="1"/>
  <c r="V121" i="68"/>
  <c r="T122" i="68" l="1"/>
  <c r="S123" i="68"/>
  <c r="U123" i="68" s="1"/>
  <c r="V122" i="68"/>
  <c r="T123" i="68" l="1"/>
  <c r="S124" i="68"/>
  <c r="U124" i="68" s="1"/>
  <c r="V123" i="68"/>
  <c r="T124" i="68" l="1"/>
  <c r="S125" i="68"/>
  <c r="U125" i="68" s="1"/>
  <c r="V124" i="68"/>
  <c r="T125" i="68" l="1"/>
  <c r="S126" i="68"/>
  <c r="U126" i="68" s="1"/>
  <c r="V125" i="68"/>
  <c r="T126" i="68" l="1"/>
  <c r="V126" i="68"/>
  <c r="S127" i="68"/>
  <c r="U127" i="68" s="1"/>
  <c r="T127" i="68" l="1"/>
  <c r="S128" i="68"/>
  <c r="U128" i="68" s="1"/>
  <c r="V127" i="68"/>
  <c r="T128" i="68" l="1"/>
  <c r="S129" i="68"/>
  <c r="U129" i="68" s="1"/>
  <c r="V128" i="68"/>
  <c r="T129" i="68" l="1"/>
  <c r="S130" i="68"/>
  <c r="U130" i="68" s="1"/>
  <c r="V129" i="68"/>
  <c r="T130" i="68" l="1"/>
  <c r="S131" i="68"/>
  <c r="U131" i="68" s="1"/>
  <c r="V130" i="68"/>
  <c r="T131" i="68" l="1"/>
  <c r="S132" i="68"/>
  <c r="U132" i="68" s="1"/>
  <c r="V131" i="68"/>
  <c r="T132" i="68" l="1"/>
  <c r="S133" i="68"/>
  <c r="U133" i="68" s="1"/>
  <c r="V132" i="68"/>
  <c r="T133" i="68" l="1"/>
  <c r="V133" i="68"/>
  <c r="S134" i="68"/>
  <c r="U134" i="68" s="1"/>
  <c r="T134" i="68" l="1"/>
  <c r="V134" i="68"/>
  <c r="S135" i="68"/>
  <c r="U135" i="68" s="1"/>
  <c r="T135" i="68" l="1"/>
  <c r="S136" i="68"/>
  <c r="U136" i="68" s="1"/>
  <c r="V135" i="68"/>
  <c r="T136" i="68" l="1"/>
  <c r="S137" i="68"/>
  <c r="U137" i="68" s="1"/>
  <c r="V136" i="68"/>
  <c r="T137" i="68" l="1"/>
  <c r="V137" i="68"/>
  <c r="S138" i="68"/>
  <c r="U138" i="68" s="1"/>
  <c r="T138" i="68" l="1"/>
  <c r="S139" i="68"/>
  <c r="U139" i="68" s="1"/>
  <c r="V138" i="68"/>
  <c r="T139" i="68" l="1"/>
  <c r="S140" i="68"/>
  <c r="U140" i="68" s="1"/>
  <c r="V139" i="68"/>
  <c r="T140" i="68" l="1"/>
  <c r="S141" i="68"/>
  <c r="U141" i="68" s="1"/>
  <c r="V140" i="68"/>
  <c r="T141" i="68" l="1"/>
  <c r="S142" i="68"/>
  <c r="U142" i="68" s="1"/>
  <c r="V141" i="68"/>
  <c r="T142" i="68" l="1"/>
  <c r="V142" i="68"/>
  <c r="S143" i="68"/>
  <c r="U143" i="68" s="1"/>
  <c r="T143" i="68" l="1"/>
  <c r="V143" i="68"/>
  <c r="S144" i="68"/>
  <c r="U144" i="68" s="1"/>
  <c r="T144" i="68" l="1"/>
  <c r="S145" i="68"/>
  <c r="U145" i="68" s="1"/>
  <c r="V144" i="68"/>
  <c r="T145" i="68" l="1"/>
  <c r="S146" i="68"/>
  <c r="U146" i="68" s="1"/>
  <c r="V145" i="68"/>
  <c r="T146" i="68" l="1"/>
  <c r="S147" i="68"/>
  <c r="U147" i="68" s="1"/>
  <c r="V146" i="68"/>
  <c r="T147" i="68" l="1"/>
  <c r="S148" i="68"/>
  <c r="U148" i="68" s="1"/>
  <c r="V147" i="68"/>
  <c r="T148" i="68" l="1"/>
  <c r="S149" i="68"/>
  <c r="U149" i="68" s="1"/>
  <c r="V148" i="68"/>
  <c r="T149" i="68" l="1"/>
  <c r="V149" i="68"/>
  <c r="S150" i="68"/>
  <c r="U150" i="68" s="1"/>
  <c r="T150" i="68" l="1"/>
  <c r="V150" i="68"/>
  <c r="S151" i="68"/>
  <c r="U151" i="68" s="1"/>
  <c r="T151" i="68" l="1"/>
  <c r="S152" i="68"/>
  <c r="U152" i="68" s="1"/>
  <c r="V151" i="68"/>
  <c r="T152" i="68" l="1"/>
  <c r="V152" i="68"/>
  <c r="S153" i="68"/>
  <c r="U153" i="68" s="1"/>
  <c r="T153" i="68" l="1"/>
  <c r="S154" i="68"/>
  <c r="U154" i="68" s="1"/>
  <c r="V153" i="68"/>
  <c r="T154" i="68" l="1"/>
  <c r="S155" i="68"/>
  <c r="U155" i="68" s="1"/>
  <c r="V154" i="68"/>
  <c r="T155" i="68" l="1"/>
  <c r="S156" i="68"/>
  <c r="U156" i="68" s="1"/>
  <c r="V155" i="68"/>
  <c r="T156" i="68" l="1"/>
  <c r="S157" i="68"/>
  <c r="U157" i="68" s="1"/>
  <c r="V156" i="68"/>
  <c r="T157" i="68" l="1"/>
  <c r="S158" i="68"/>
  <c r="U158" i="68" s="1"/>
  <c r="V157" i="68"/>
  <c r="T158" i="68" l="1"/>
  <c r="V158" i="68"/>
  <c r="S159" i="68"/>
  <c r="U159" i="68" s="1"/>
  <c r="T159" i="68" l="1"/>
  <c r="S160" i="68"/>
  <c r="U160" i="68" s="1"/>
  <c r="V159" i="68"/>
  <c r="T160" i="68" l="1"/>
  <c r="S161" i="68"/>
  <c r="U161" i="68" s="1"/>
  <c r="V160" i="68"/>
  <c r="T161" i="68" l="1"/>
  <c r="S162" i="68"/>
  <c r="U162" i="68" s="1"/>
  <c r="V161" i="68"/>
  <c r="T162" i="68" l="1"/>
  <c r="S163" i="68"/>
  <c r="U163" i="68" s="1"/>
  <c r="V162" i="68"/>
  <c r="T163" i="68" l="1"/>
  <c r="S164" i="68"/>
  <c r="U164" i="68" s="1"/>
  <c r="V163" i="68"/>
  <c r="T164" i="68" l="1"/>
  <c r="S165" i="68"/>
  <c r="U165" i="68" s="1"/>
  <c r="V164" i="68"/>
  <c r="T165" i="68" l="1"/>
  <c r="S166" i="68"/>
  <c r="U166" i="68" s="1"/>
  <c r="V165" i="68"/>
  <c r="T166" i="68" l="1"/>
  <c r="V166" i="68"/>
  <c r="S167" i="68"/>
  <c r="U167" i="68" s="1"/>
  <c r="T167" i="68" l="1"/>
  <c r="S168" i="68"/>
  <c r="U168" i="68" s="1"/>
  <c r="V167" i="68"/>
  <c r="T168" i="68" l="1"/>
  <c r="S169" i="68"/>
  <c r="U169" i="68" s="1"/>
  <c r="V168" i="68"/>
  <c r="T169" i="68" l="1"/>
  <c r="S170" i="68"/>
  <c r="U170" i="68" s="1"/>
  <c r="V169" i="68"/>
  <c r="T170" i="68" l="1"/>
  <c r="S171" i="68"/>
  <c r="U171" i="68" s="1"/>
  <c r="V170" i="68"/>
  <c r="T171" i="68" l="1"/>
  <c r="S172" i="68"/>
  <c r="U172" i="68" s="1"/>
  <c r="V171" i="68"/>
  <c r="T172" i="68" l="1"/>
  <c r="S173" i="68"/>
  <c r="U173" i="68" s="1"/>
  <c r="V172" i="68"/>
  <c r="T173" i="68" l="1"/>
  <c r="S174" i="68"/>
  <c r="U174" i="68" s="1"/>
  <c r="V173" i="68"/>
  <c r="T174" i="68" l="1"/>
  <c r="V174" i="68"/>
  <c r="S175" i="68"/>
  <c r="U175" i="68" s="1"/>
  <c r="T175" i="68" l="1"/>
  <c r="S176" i="68"/>
  <c r="U176" i="68" s="1"/>
  <c r="V175" i="68"/>
  <c r="T176" i="68" l="1"/>
  <c r="S177" i="68"/>
  <c r="U177" i="68" s="1"/>
  <c r="V176" i="68"/>
  <c r="T177" i="68" l="1"/>
  <c r="S178" i="68"/>
  <c r="U178" i="68" s="1"/>
  <c r="V177" i="68"/>
  <c r="T178" i="68" l="1"/>
  <c r="S179" i="68"/>
  <c r="U179" i="68" s="1"/>
  <c r="V178" i="68"/>
  <c r="T179" i="68" l="1"/>
  <c r="S180" i="68"/>
  <c r="U180" i="68" s="1"/>
  <c r="V179" i="68"/>
  <c r="T180" i="68" l="1"/>
  <c r="S181" i="68"/>
  <c r="U181" i="68" s="1"/>
  <c r="V180" i="68"/>
  <c r="T181" i="68" l="1"/>
  <c r="S182" i="68"/>
  <c r="U182" i="68" s="1"/>
  <c r="V181" i="68"/>
  <c r="T182" i="68" l="1"/>
  <c r="V182" i="68"/>
  <c r="S183" i="68"/>
  <c r="U183" i="68" s="1"/>
  <c r="T183" i="68" l="1"/>
  <c r="S184" i="68"/>
  <c r="U184" i="68" s="1"/>
  <c r="V183" i="68"/>
  <c r="T184" i="68" l="1"/>
  <c r="S185" i="68"/>
  <c r="U185" i="68" s="1"/>
  <c r="V184" i="68"/>
  <c r="T185" i="68" l="1"/>
  <c r="S186" i="68"/>
  <c r="U186" i="68" s="1"/>
  <c r="V185" i="68"/>
  <c r="T186" i="68" l="1"/>
  <c r="S187" i="68"/>
  <c r="U187" i="68" s="1"/>
  <c r="V186" i="68"/>
  <c r="T187" i="68" l="1"/>
  <c r="S188" i="68"/>
  <c r="U188" i="68" s="1"/>
  <c r="V187" i="68"/>
  <c r="T188" i="68" l="1"/>
  <c r="S189" i="68"/>
  <c r="U189" i="68" s="1"/>
  <c r="V188" i="68"/>
  <c r="T189" i="68" l="1"/>
  <c r="S190" i="68"/>
  <c r="U190" i="68" s="1"/>
  <c r="V189" i="68"/>
  <c r="T190" i="68" l="1"/>
  <c r="V190" i="68"/>
  <c r="S191" i="68"/>
  <c r="U191" i="68" s="1"/>
  <c r="T191" i="68" l="1"/>
  <c r="S192" i="68"/>
  <c r="U192" i="68" s="1"/>
  <c r="V191" i="68"/>
  <c r="T192" i="68" l="1"/>
  <c r="S193" i="68"/>
  <c r="U193" i="68" s="1"/>
  <c r="V192" i="68"/>
  <c r="T193" i="68" l="1"/>
  <c r="S194" i="68"/>
  <c r="U194" i="68" s="1"/>
  <c r="V193" i="68"/>
  <c r="T194" i="68" l="1"/>
  <c r="S195" i="68"/>
  <c r="U195" i="68" s="1"/>
  <c r="V194" i="68"/>
  <c r="T195" i="68" l="1"/>
  <c r="V195" i="68"/>
  <c r="S196" i="68"/>
  <c r="U196" i="68" s="1"/>
  <c r="T196" i="68" l="1"/>
  <c r="S197" i="68"/>
  <c r="U197" i="68" s="1"/>
  <c r="V196" i="68"/>
  <c r="T197" i="68" l="1"/>
  <c r="S198" i="68"/>
  <c r="U198" i="68" s="1"/>
  <c r="V197" i="68"/>
  <c r="T198" i="68" l="1"/>
  <c r="V198" i="68"/>
  <c r="S199" i="68"/>
  <c r="U199" i="68" s="1"/>
  <c r="T199" i="68" l="1"/>
  <c r="S200" i="68"/>
  <c r="U200" i="68" s="1"/>
  <c r="V199" i="68"/>
  <c r="T200" i="68" l="1"/>
  <c r="S201" i="68"/>
  <c r="U201" i="68" s="1"/>
  <c r="V200" i="68"/>
  <c r="T201" i="68" l="1"/>
  <c r="S202" i="68"/>
  <c r="U202" i="68" s="1"/>
  <c r="V201" i="68"/>
  <c r="T202" i="68" l="1"/>
  <c r="S203" i="68"/>
  <c r="U203" i="68" s="1"/>
  <c r="V202" i="68"/>
  <c r="T203" i="68" l="1"/>
  <c r="S204" i="68"/>
  <c r="U204" i="68" s="1"/>
  <c r="V203" i="68"/>
  <c r="T204" i="68" l="1"/>
  <c r="S205" i="68"/>
  <c r="U205" i="68" s="1"/>
  <c r="V204" i="68"/>
  <c r="T205" i="68" l="1"/>
  <c r="S206" i="68"/>
  <c r="U206" i="68" s="1"/>
  <c r="V205" i="68"/>
  <c r="T206" i="68" l="1"/>
  <c r="V206" i="68"/>
  <c r="S207" i="68"/>
  <c r="U207" i="68" s="1"/>
  <c r="T207" i="68" l="1"/>
  <c r="S208" i="68"/>
  <c r="U208" i="68" s="1"/>
  <c r="V207" i="68"/>
  <c r="T208" i="68" l="1"/>
  <c r="S209" i="68"/>
  <c r="U209" i="68" s="1"/>
  <c r="V208" i="68"/>
  <c r="T209" i="68" l="1"/>
  <c r="S210" i="68"/>
  <c r="U210" i="68" s="1"/>
  <c r="V209" i="68"/>
  <c r="T210" i="68" l="1"/>
  <c r="S211" i="68"/>
  <c r="U211" i="68" s="1"/>
  <c r="V210" i="68"/>
  <c r="T211" i="68" l="1"/>
  <c r="S212" i="68"/>
  <c r="U212" i="68" s="1"/>
  <c r="V211" i="68"/>
  <c r="T212" i="68" l="1"/>
  <c r="S213" i="68"/>
  <c r="U213" i="68" s="1"/>
  <c r="V212" i="68"/>
  <c r="T213" i="68" l="1"/>
  <c r="S214" i="68"/>
  <c r="U214" i="68" s="1"/>
  <c r="V213" i="68"/>
  <c r="T214" i="68" l="1"/>
  <c r="V214" i="68"/>
  <c r="S215" i="68"/>
  <c r="U215" i="68" s="1"/>
  <c r="T215" i="68" l="1"/>
  <c r="S216" i="68"/>
  <c r="U216" i="68" s="1"/>
  <c r="V215" i="68"/>
  <c r="T216" i="68" l="1"/>
  <c r="S217" i="68"/>
  <c r="U217" i="68" s="1"/>
  <c r="V216" i="68"/>
  <c r="T217" i="68" l="1"/>
  <c r="S218" i="68"/>
  <c r="U218" i="68" s="1"/>
  <c r="V217" i="68"/>
  <c r="T218" i="68" l="1"/>
  <c r="S219" i="68"/>
  <c r="U219" i="68" s="1"/>
  <c r="V218" i="68"/>
  <c r="T219" i="68" l="1"/>
  <c r="S220" i="68"/>
  <c r="U220" i="68" s="1"/>
  <c r="V219" i="68"/>
  <c r="T220" i="68" l="1"/>
  <c r="S221" i="68"/>
  <c r="U221" i="68" s="1"/>
  <c r="V220" i="68"/>
  <c r="T221" i="68" l="1"/>
  <c r="S222" i="68"/>
  <c r="U222" i="68" s="1"/>
  <c r="V221" i="68"/>
  <c r="T222" i="68" l="1"/>
  <c r="V222" i="68"/>
  <c r="S223" i="68"/>
  <c r="U223" i="68" s="1"/>
  <c r="T223" i="68" l="1"/>
  <c r="S224" i="68"/>
  <c r="U224" i="68" s="1"/>
  <c r="V223" i="68"/>
  <c r="T224" i="68" l="1"/>
  <c r="S225" i="68"/>
  <c r="U225" i="68" s="1"/>
  <c r="V224" i="68"/>
  <c r="T225" i="68" l="1"/>
  <c r="S226" i="68"/>
  <c r="U226" i="68" s="1"/>
  <c r="V225" i="68"/>
  <c r="T226" i="68" l="1"/>
  <c r="S227" i="68"/>
  <c r="U227" i="68" s="1"/>
  <c r="V226" i="68"/>
  <c r="T227" i="68" l="1"/>
  <c r="S228" i="68"/>
  <c r="U228" i="68" s="1"/>
  <c r="V227" i="68"/>
  <c r="T228" i="68" l="1"/>
  <c r="S229" i="68"/>
  <c r="U229" i="68" s="1"/>
  <c r="V228" i="68"/>
  <c r="T229" i="68" l="1"/>
  <c r="S230" i="68"/>
  <c r="U230" i="68" s="1"/>
  <c r="V229" i="68"/>
  <c r="T230" i="68" l="1"/>
  <c r="V230" i="68"/>
  <c r="S231" i="68"/>
  <c r="U231" i="68" s="1"/>
  <c r="T231" i="68" l="1"/>
  <c r="V231" i="68"/>
  <c r="S232" i="68"/>
  <c r="U232" i="68" s="1"/>
  <c r="T232" i="68" l="1"/>
  <c r="S233" i="68"/>
  <c r="U233" i="68" s="1"/>
  <c r="V232" i="68"/>
  <c r="T233" i="68" l="1"/>
  <c r="S234" i="68"/>
  <c r="U234" i="68" s="1"/>
  <c r="V233" i="68"/>
  <c r="T234" i="68" l="1"/>
  <c r="S235" i="68"/>
  <c r="U235" i="68" s="1"/>
  <c r="V234" i="68"/>
  <c r="T235" i="68" l="1"/>
  <c r="S236" i="68"/>
  <c r="U236" i="68" s="1"/>
  <c r="V235" i="68"/>
  <c r="T236" i="68" l="1"/>
  <c r="S237" i="68"/>
  <c r="U237" i="68" s="1"/>
  <c r="V236" i="68"/>
  <c r="T237" i="68" l="1"/>
  <c r="S238" i="68"/>
  <c r="U238" i="68" s="1"/>
  <c r="V237" i="68"/>
  <c r="T238" i="68" l="1"/>
  <c r="V238" i="68"/>
  <c r="S239" i="68"/>
  <c r="U239" i="68" s="1"/>
  <c r="T239" i="68" l="1"/>
  <c r="V239" i="68"/>
  <c r="S240" i="68"/>
  <c r="U240" i="68" s="1"/>
  <c r="T240" i="68" l="1"/>
  <c r="S241" i="68"/>
  <c r="U241" i="68" s="1"/>
  <c r="V240" i="68"/>
  <c r="T241" i="68" l="1"/>
  <c r="S242" i="68"/>
  <c r="U242" i="68" s="1"/>
  <c r="V241" i="68"/>
  <c r="T242" i="68" l="1"/>
  <c r="S243" i="68"/>
  <c r="U243" i="68" s="1"/>
  <c r="V242" i="68"/>
  <c r="T243" i="68" l="1"/>
  <c r="S244" i="68"/>
  <c r="U244" i="68" s="1"/>
  <c r="V243" i="68"/>
  <c r="T244" i="68" l="1"/>
  <c r="S245" i="68"/>
  <c r="U245" i="68" s="1"/>
  <c r="V244" i="68"/>
  <c r="T245" i="68" l="1"/>
  <c r="V245" i="68"/>
  <c r="S246" i="68"/>
  <c r="U246" i="68" s="1"/>
  <c r="T246" i="68" l="1"/>
  <c r="V246" i="68"/>
  <c r="S247" i="68"/>
  <c r="U247" i="68" s="1"/>
  <c r="T247" i="68" l="1"/>
  <c r="V247" i="68"/>
  <c r="S248" i="68"/>
  <c r="U248" i="68" s="1"/>
  <c r="T248" i="68" l="1"/>
  <c r="V248" i="68"/>
  <c r="S249" i="68"/>
  <c r="U249" i="68" s="1"/>
  <c r="T249" i="68" l="1"/>
  <c r="V249" i="68"/>
  <c r="S250" i="68"/>
  <c r="U250" i="68" s="1"/>
  <c r="T250" i="68" l="1"/>
  <c r="V250" i="68"/>
  <c r="S251" i="68"/>
  <c r="U251" i="68" s="1"/>
  <c r="T251" i="68" l="1"/>
  <c r="V251" i="68"/>
  <c r="S252" i="68"/>
  <c r="U252" i="68" s="1"/>
  <c r="T252" i="68" l="1"/>
  <c r="V252" i="68"/>
  <c r="S253" i="68"/>
  <c r="U253" i="68" s="1"/>
  <c r="T253" i="68" l="1"/>
  <c r="V253" i="68"/>
  <c r="S254" i="68"/>
  <c r="U254" i="68" s="1"/>
  <c r="T254" i="68" l="1"/>
  <c r="V254" i="68"/>
  <c r="S255" i="68"/>
  <c r="U255" i="68" s="1"/>
  <c r="T255" i="68" l="1"/>
  <c r="V255" i="68"/>
  <c r="S256" i="68"/>
  <c r="U256" i="68" s="1"/>
  <c r="T256" i="68" l="1"/>
  <c r="V256" i="68"/>
  <c r="S257" i="68"/>
  <c r="U257" i="68" s="1"/>
  <c r="T257" i="68" l="1"/>
  <c r="V257" i="68"/>
  <c r="S258" i="68"/>
  <c r="U258" i="68" s="1"/>
  <c r="T258" i="68" l="1"/>
  <c r="V258" i="68"/>
  <c r="S259" i="68"/>
  <c r="U259" i="68" s="1"/>
  <c r="T259" i="68" l="1"/>
  <c r="V259" i="68"/>
  <c r="S260" i="68"/>
  <c r="U260" i="68" s="1"/>
  <c r="T260" i="68" l="1"/>
  <c r="V260" i="68"/>
  <c r="S261" i="68"/>
  <c r="U261" i="68" s="1"/>
  <c r="T261" i="68" l="1"/>
  <c r="V261" i="68"/>
  <c r="S262" i="68"/>
  <c r="U262" i="68" s="1"/>
  <c r="T262" i="68" l="1"/>
  <c r="V262" i="68"/>
  <c r="S263" i="68"/>
  <c r="U263" i="68" s="1"/>
  <c r="T263" i="68" l="1"/>
  <c r="V263" i="68"/>
  <c r="S264" i="68"/>
  <c r="U264" i="68" s="1"/>
  <c r="T264" i="68" l="1"/>
  <c r="V264" i="68"/>
  <c r="S265" i="68"/>
  <c r="U265" i="68" s="1"/>
  <c r="T265" i="68" l="1"/>
  <c r="V265" i="68"/>
  <c r="S266" i="68"/>
  <c r="U266" i="68" s="1"/>
  <c r="T266" i="68" l="1"/>
  <c r="V266" i="68"/>
  <c r="S267" i="68"/>
  <c r="U267" i="68" s="1"/>
  <c r="T267" i="68" l="1"/>
  <c r="V267" i="68"/>
  <c r="S268" i="68"/>
  <c r="U268" i="68" s="1"/>
  <c r="T268" i="68" l="1"/>
  <c r="V268" i="68"/>
  <c r="S269" i="68"/>
  <c r="U269" i="68" s="1"/>
  <c r="T269" i="68" l="1"/>
  <c r="V269" i="68"/>
  <c r="S270" i="68"/>
  <c r="U270" i="68" s="1"/>
  <c r="T270" i="68" l="1"/>
  <c r="V270" i="68"/>
  <c r="S271" i="68"/>
  <c r="U271" i="68" s="1"/>
  <c r="T271" i="68" l="1"/>
  <c r="V271" i="68"/>
  <c r="S272" i="68"/>
  <c r="U272" i="68" s="1"/>
  <c r="T272" i="68" l="1"/>
  <c r="V272" i="68"/>
  <c r="S273" i="68"/>
  <c r="U273" i="68" s="1"/>
  <c r="T273" i="68" l="1"/>
  <c r="V273" i="68"/>
  <c r="S274" i="68"/>
  <c r="U274" i="68" s="1"/>
  <c r="T274" i="68" l="1"/>
  <c r="V274" i="68"/>
  <c r="S275" i="68"/>
  <c r="U275" i="68" s="1"/>
  <c r="T275" i="68" l="1"/>
  <c r="V275" i="68"/>
  <c r="S276" i="68"/>
  <c r="U276" i="68" s="1"/>
  <c r="T276" i="68" l="1"/>
  <c r="V276" i="68"/>
  <c r="S277" i="68"/>
  <c r="U277" i="68" s="1"/>
  <c r="T277" i="68" l="1"/>
  <c r="V277" i="68"/>
  <c r="S278" i="68"/>
  <c r="U278" i="68" s="1"/>
  <c r="T278" i="68" l="1"/>
  <c r="V278" i="68"/>
  <c r="S279" i="68"/>
  <c r="U279" i="68" s="1"/>
  <c r="T279" i="68" l="1"/>
  <c r="V279" i="68"/>
  <c r="S280" i="68"/>
  <c r="U280" i="68" s="1"/>
  <c r="T280" i="68" l="1"/>
  <c r="V280" i="68"/>
  <c r="S281" i="68"/>
  <c r="U281" i="68" s="1"/>
  <c r="T281" i="68" l="1"/>
  <c r="V281" i="68"/>
  <c r="S282" i="68"/>
  <c r="U282" i="68" s="1"/>
  <c r="T282" i="68" l="1"/>
  <c r="V282" i="68"/>
  <c r="S283" i="68"/>
  <c r="U283" i="68" s="1"/>
  <c r="T283" i="68" l="1"/>
  <c r="V283" i="68"/>
  <c r="S284" i="68"/>
  <c r="U284" i="68" s="1"/>
  <c r="T284" i="68" l="1"/>
  <c r="V284" i="68"/>
  <c r="S285" i="68"/>
  <c r="U285" i="68" s="1"/>
  <c r="T285" i="68" l="1"/>
  <c r="V285" i="68"/>
  <c r="S286" i="68"/>
  <c r="U286" i="68" s="1"/>
  <c r="T286" i="68" l="1"/>
  <c r="V286" i="68"/>
  <c r="S287" i="68"/>
  <c r="U287" i="68" s="1"/>
  <c r="T287" i="68" l="1"/>
  <c r="V287" i="68"/>
  <c r="S288" i="68"/>
  <c r="U288" i="68" s="1"/>
  <c r="T288" i="68" l="1"/>
  <c r="V288" i="68"/>
  <c r="S289" i="68"/>
  <c r="U289" i="68" s="1"/>
  <c r="T289" i="68" l="1"/>
  <c r="V289" i="68"/>
  <c r="S290" i="68"/>
  <c r="U290" i="68" s="1"/>
  <c r="T290" i="68" l="1"/>
  <c r="V290" i="68"/>
  <c r="S291" i="68"/>
  <c r="U291" i="68" s="1"/>
  <c r="T291" i="68" l="1"/>
  <c r="V291" i="68"/>
  <c r="S292" i="68"/>
  <c r="U292" i="68" s="1"/>
  <c r="T292" i="68" l="1"/>
  <c r="V292" i="68"/>
  <c r="S293" i="68"/>
  <c r="U293" i="68" s="1"/>
  <c r="T293" i="68" l="1"/>
  <c r="V293" i="68"/>
  <c r="S294" i="68"/>
  <c r="U294" i="68" s="1"/>
  <c r="T294" i="68" l="1"/>
  <c r="V294" i="68"/>
  <c r="S295" i="68"/>
  <c r="U295" i="68" s="1"/>
  <c r="T295" i="68" l="1"/>
  <c r="V295" i="68"/>
  <c r="S296" i="68"/>
  <c r="U296" i="68" s="1"/>
  <c r="T296" i="68" l="1"/>
  <c r="V296" i="68"/>
  <c r="S297" i="68"/>
  <c r="U297" i="68" s="1"/>
  <c r="T297" i="68" l="1"/>
  <c r="V297" i="68"/>
  <c r="S298" i="68"/>
  <c r="U298" i="68" s="1"/>
  <c r="T298" i="68" l="1"/>
  <c r="V298" i="68"/>
  <c r="S299" i="68"/>
  <c r="U299" i="68" s="1"/>
  <c r="T299" i="68" l="1"/>
  <c r="V299" i="68"/>
  <c r="S300" i="68"/>
  <c r="U300" i="68" s="1"/>
  <c r="T300" i="68" l="1"/>
  <c r="V300" i="68"/>
  <c r="S301" i="68"/>
  <c r="U301" i="68" s="1"/>
  <c r="T301" i="68" l="1"/>
  <c r="V301" i="68"/>
  <c r="S302" i="68"/>
  <c r="U302" i="68" s="1"/>
  <c r="T302" i="68" l="1"/>
  <c r="V302" i="68"/>
  <c r="S303" i="68"/>
  <c r="U303" i="68" s="1"/>
  <c r="T303" i="68" l="1"/>
  <c r="V303" i="68"/>
  <c r="S304" i="68"/>
  <c r="U304" i="68" s="1"/>
  <c r="T304" i="68" l="1"/>
  <c r="V304" i="68"/>
  <c r="S305" i="68"/>
  <c r="U305" i="68" s="1"/>
  <c r="T305" i="68" l="1"/>
  <c r="V305" i="68"/>
  <c r="S306" i="68"/>
  <c r="U306" i="68" s="1"/>
  <c r="T306" i="68" l="1"/>
  <c r="V306" i="68"/>
  <c r="S307" i="68"/>
  <c r="U307" i="68" s="1"/>
  <c r="T307" i="68" l="1"/>
  <c r="V307" i="68"/>
  <c r="S308" i="68"/>
  <c r="U308" i="68" s="1"/>
  <c r="T308" i="68" l="1"/>
  <c r="V308" i="68"/>
  <c r="S309" i="68"/>
  <c r="U309" i="68" s="1"/>
  <c r="T309" i="68" l="1"/>
  <c r="V309" i="68"/>
  <c r="S310" i="68"/>
  <c r="U310" i="68" s="1"/>
  <c r="T310" i="68" l="1"/>
  <c r="V310" i="68"/>
  <c r="S311" i="68"/>
  <c r="U311" i="68" s="1"/>
  <c r="T311" i="68" l="1"/>
  <c r="V311" i="68"/>
  <c r="S312" i="68"/>
  <c r="U312" i="68" s="1"/>
  <c r="T312" i="68" l="1"/>
  <c r="V312" i="68"/>
  <c r="S313" i="68"/>
  <c r="U313" i="68" s="1"/>
  <c r="T313" i="68" l="1"/>
  <c r="V313" i="68"/>
  <c r="S314" i="68"/>
  <c r="U314" i="68" s="1"/>
  <c r="T314" i="68" l="1"/>
  <c r="V314" i="68"/>
  <c r="S315" i="68"/>
  <c r="U315" i="68" s="1"/>
  <c r="T315" i="68" l="1"/>
  <c r="V315" i="68"/>
  <c r="S316" i="68"/>
  <c r="U316" i="68" s="1"/>
  <c r="T316" i="68" l="1"/>
  <c r="V316" i="68"/>
  <c r="S317" i="68"/>
  <c r="U317" i="68" s="1"/>
  <c r="T317" i="68" l="1"/>
  <c r="V317" i="68"/>
  <c r="S318" i="68"/>
  <c r="U318" i="68" s="1"/>
  <c r="T318" i="68" l="1"/>
  <c r="V318" i="68"/>
  <c r="S319" i="68"/>
  <c r="U319" i="68" s="1"/>
  <c r="T319" i="68" l="1"/>
  <c r="V319" i="68"/>
  <c r="S320" i="68"/>
  <c r="U320" i="68" s="1"/>
  <c r="T320" i="68" l="1"/>
  <c r="V320" i="68"/>
  <c r="S321" i="68"/>
  <c r="U321" i="68" s="1"/>
  <c r="T321" i="68" l="1"/>
  <c r="V321" i="68"/>
  <c r="S322" i="68"/>
  <c r="U322" i="68" s="1"/>
  <c r="T322" i="68" l="1"/>
  <c r="V322" i="68"/>
  <c r="S323" i="68"/>
  <c r="U323" i="68" s="1"/>
  <c r="T323" i="68" l="1"/>
  <c r="V323" i="68"/>
  <c r="S324" i="68"/>
  <c r="U324" i="68" s="1"/>
  <c r="T324" i="68" l="1"/>
  <c r="V324" i="68"/>
  <c r="S325" i="68"/>
  <c r="U325" i="68" s="1"/>
  <c r="T325" i="68" l="1"/>
  <c r="V325" i="68"/>
  <c r="S326" i="68"/>
  <c r="U326" i="68" s="1"/>
  <c r="T326" i="68" l="1"/>
  <c r="V326" i="68"/>
  <c r="S327" i="68"/>
  <c r="U327" i="68" s="1"/>
  <c r="T327" i="68" l="1"/>
  <c r="V327" i="68"/>
  <c r="S328" i="68"/>
  <c r="U328" i="68" s="1"/>
  <c r="T328" i="68" l="1"/>
  <c r="V328" i="68"/>
  <c r="S329" i="68"/>
  <c r="U329" i="68" s="1"/>
  <c r="T329" i="68" l="1"/>
  <c r="V329" i="68"/>
  <c r="S330" i="68"/>
  <c r="U330" i="68" s="1"/>
  <c r="T330" i="68" l="1"/>
  <c r="V330" i="68"/>
  <c r="S331" i="68"/>
  <c r="U331" i="68" s="1"/>
  <c r="T331" i="68" l="1"/>
  <c r="V331" i="68"/>
  <c r="S332" i="68"/>
  <c r="U332" i="68" s="1"/>
  <c r="T332" i="68" l="1"/>
  <c r="V332" i="68"/>
  <c r="S333" i="68"/>
  <c r="U333" i="68" s="1"/>
  <c r="T333" i="68" l="1"/>
  <c r="V333" i="68"/>
  <c r="S334" i="68"/>
  <c r="U334" i="68" s="1"/>
  <c r="T334" i="68" l="1"/>
  <c r="V334" i="68"/>
  <c r="S335" i="68"/>
  <c r="U335" i="68" s="1"/>
  <c r="T335" i="68" l="1"/>
  <c r="V335" i="68"/>
  <c r="S336" i="68"/>
  <c r="U336" i="68" s="1"/>
  <c r="T336" i="68" l="1"/>
  <c r="V336" i="68"/>
  <c r="S337" i="68"/>
  <c r="U337" i="68" s="1"/>
  <c r="T337" i="68" l="1"/>
  <c r="V337" i="68"/>
  <c r="S338" i="68"/>
  <c r="U338" i="68" s="1"/>
  <c r="T338" i="68" l="1"/>
  <c r="V338" i="68"/>
  <c r="S339" i="68"/>
  <c r="U339" i="68" s="1"/>
  <c r="T339" i="68" l="1"/>
  <c r="V339" i="68"/>
  <c r="S340" i="68"/>
  <c r="U340" i="68" s="1"/>
  <c r="T340" i="68" l="1"/>
  <c r="V340" i="68"/>
  <c r="S341" i="68"/>
  <c r="U341" i="68" s="1"/>
  <c r="T341" i="68" l="1"/>
  <c r="V341" i="68"/>
  <c r="S342" i="68"/>
  <c r="U342" i="68" s="1"/>
  <c r="T342" i="68" l="1"/>
  <c r="V342" i="68"/>
  <c r="S343" i="68"/>
  <c r="U343" i="68" s="1"/>
  <c r="T343" i="68" l="1"/>
  <c r="V343" i="68"/>
  <c r="S344" i="68"/>
  <c r="U344" i="68" s="1"/>
  <c r="T344" i="68" l="1"/>
  <c r="V344" i="68"/>
  <c r="S345" i="68"/>
  <c r="U345" i="68" s="1"/>
  <c r="T345" i="68" l="1"/>
  <c r="V345" i="68"/>
  <c r="S346" i="68"/>
  <c r="U346" i="68" s="1"/>
  <c r="T346" i="68" l="1"/>
  <c r="V346" i="68"/>
  <c r="S347" i="68"/>
  <c r="U347" i="68" s="1"/>
  <c r="T347" i="68" l="1"/>
  <c r="V347" i="68"/>
  <c r="S348" i="68"/>
  <c r="U348" i="68" s="1"/>
  <c r="T348" i="68" l="1"/>
  <c r="V348" i="68"/>
  <c r="S349" i="68"/>
  <c r="U349" i="68" s="1"/>
  <c r="T349" i="68" l="1"/>
  <c r="V349" i="68"/>
  <c r="S350" i="68"/>
  <c r="U350" i="68" s="1"/>
  <c r="T350" i="68" l="1"/>
  <c r="V350" i="68"/>
  <c r="S351" i="68"/>
  <c r="U351" i="68" s="1"/>
  <c r="T351" i="68" l="1"/>
  <c r="V351" i="68"/>
  <c r="S352" i="68"/>
  <c r="U352" i="68" s="1"/>
  <c r="T352" i="68" l="1"/>
  <c r="V352" i="68"/>
  <c r="S353" i="68"/>
  <c r="U353" i="68" s="1"/>
  <c r="T353" i="68" l="1"/>
  <c r="V353" i="68"/>
  <c r="S354" i="68"/>
  <c r="U354" i="68" s="1"/>
  <c r="T354" i="68" l="1"/>
  <c r="V354" i="68"/>
  <c r="S355" i="68"/>
  <c r="U355" i="68" s="1"/>
  <c r="T355" i="68" l="1"/>
  <c r="V355" i="68"/>
  <c r="S356" i="68"/>
  <c r="U356" i="68" s="1"/>
  <c r="T356" i="68" l="1"/>
  <c r="V356" i="68"/>
  <c r="S357" i="68"/>
  <c r="U357" i="68" s="1"/>
  <c r="T357" i="68" l="1"/>
  <c r="V357" i="68"/>
  <c r="S358" i="68"/>
  <c r="U358" i="68" l="1"/>
  <c r="S359" i="68"/>
  <c r="T358" i="68"/>
  <c r="V358" i="68"/>
  <c r="S360" i="68" l="1"/>
  <c r="U359" i="68"/>
  <c r="T359" i="68"/>
  <c r="V359" i="68"/>
  <c r="U360" i="68" l="1"/>
  <c r="T360" i="68"/>
  <c r="S361" i="68"/>
  <c r="V360" i="68"/>
  <c r="U361" i="68" l="1"/>
  <c r="T361" i="68"/>
  <c r="S362" i="68"/>
  <c r="V361" i="68"/>
  <c r="U362" i="68" l="1"/>
  <c r="T362" i="68"/>
  <c r="S363" i="68"/>
  <c r="V362" i="68"/>
  <c r="U363" i="68" l="1"/>
  <c r="T363" i="68"/>
  <c r="S364" i="68"/>
  <c r="V363" i="68"/>
  <c r="U364" i="68" l="1"/>
  <c r="T364" i="68"/>
  <c r="S365" i="68"/>
  <c r="V364" i="68"/>
  <c r="U365" i="68" l="1"/>
  <c r="T365" i="68"/>
  <c r="S366" i="68"/>
  <c r="V365" i="68"/>
  <c r="U366" i="68" l="1"/>
  <c r="T366" i="68"/>
  <c r="V366" i="68"/>
  <c r="S367" i="68"/>
  <c r="W367" i="68" s="1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D36" i="96"/>
  <c r="P36" i="96" s="1"/>
  <c r="F47" i="88"/>
  <c r="F49" i="88" s="1"/>
  <c r="F51" i="88" s="1"/>
  <c r="F14" i="93" s="1"/>
  <c r="F15" i="93" s="1"/>
  <c r="E27" i="92" l="1"/>
  <c r="G19" i="82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51" i="88" l="1"/>
  <c r="G15" i="88"/>
  <c r="G13" i="88"/>
  <c r="G12" i="88"/>
  <c r="H17" i="88"/>
  <c r="G14" i="88"/>
  <c r="G16" i="88"/>
  <c r="G11" i="88"/>
  <c r="F25" i="92"/>
  <c r="H14" i="93"/>
  <c r="E15" i="93"/>
  <c r="G14" i="93" s="1"/>
  <c r="F38" i="93"/>
  <c r="E25" i="93"/>
  <c r="P9" i="96"/>
  <c r="P23" i="96"/>
  <c r="P30" i="96"/>
  <c r="P16" i="96"/>
  <c r="P37" i="96"/>
  <c r="G12" i="93" l="1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<sst xmlns="http://schemas.openxmlformats.org/spreadsheetml/2006/main" count="830" uniqueCount="317">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</sst>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4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3" xfId="0" applyFont="1" applyFill="1" applyBorder="1" applyAlignment="1">
      <alignment horizontal="center" vertical="center" wrapText="1"/>
    </xf>
    <xf numFmtId="164" fontId="44" fillId="2" borderId="61" xfId="1" applyNumberFormat="1" applyFont="1" applyFill="1" applyBorder="1" applyAlignment="1">
      <alignment horizontal="right" vertical="center"/>
    </xf>
    <xf numFmtId="164" fontId="44" fillId="12" borderId="61" xfId="1" applyNumberFormat="1" applyFont="1" applyFill="1" applyBorder="1" applyAlignment="1">
      <alignment horizontal="right" vertical="center"/>
    </xf>
    <xf numFmtId="164" fontId="44" fillId="9" borderId="61" xfId="1" applyNumberFormat="1" applyFont="1" applyFill="1" applyBorder="1" applyAlignment="1">
      <alignment horizontal="right" vertical="center"/>
    </xf>
    <xf numFmtId="0" fontId="45" fillId="3" borderId="62" xfId="0" applyFont="1" applyFill="1" applyBorder="1" applyAlignment="1">
      <alignment vertical="center"/>
    </xf>
    <xf numFmtId="0" fontId="45" fillId="3" borderId="61" xfId="0" applyFont="1" applyFill="1" applyBorder="1" applyAlignment="1">
      <alignment vertical="center"/>
    </xf>
    <xf numFmtId="164" fontId="44" fillId="2" borderId="61" xfId="1" applyNumberFormat="1" applyFont="1" applyFill="1" applyBorder="1" applyAlignment="1">
      <alignment vertical="center"/>
    </xf>
    <xf numFmtId="164" fontId="44" fillId="12" borderId="61" xfId="1" applyNumberFormat="1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vertical="center"/>
    </xf>
    <xf numFmtId="164" fontId="44" fillId="9" borderId="61" xfId="1" applyNumberFormat="1" applyFont="1" applyFill="1" applyBorder="1" applyAlignment="1">
      <alignment vertical="center"/>
    </xf>
    <xf numFmtId="0" fontId="45" fillId="3" borderId="63" xfId="0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right" vertical="center" wrapText="1"/>
    </xf>
    <xf numFmtId="0" fontId="44" fillId="2" borderId="63" xfId="0" applyFont="1" applyFill="1" applyBorder="1" applyAlignment="1">
      <alignment horizontal="right" vertical="center" wrapText="1"/>
    </xf>
    <xf numFmtId="0" fontId="45" fillId="2" borderId="62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4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3" xfId="1" applyNumberFormat="1" applyFont="1" applyFill="1" applyBorder="1" applyAlignment="1">
      <alignment horizontal="right" vertical="center"/>
    </xf>
    <xf numFmtId="0" fontId="45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4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4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4" fillId="2" borderId="61" xfId="1" applyNumberFormat="1" applyFont="1" applyFill="1" applyBorder="1" applyAlignment="1">
      <alignment horizontal="right" vertical="center"/>
    </xf>
    <xf numFmtId="166" fontId="44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0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0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164" fontId="44" fillId="3" borderId="72" xfId="1" applyNumberFormat="1" applyFont="1" applyFill="1" applyBorder="1" applyAlignment="1">
      <alignment horizontal="right" vertical="center"/>
    </xf>
    <xf numFmtId="164" fontId="44" fillId="11" borderId="72" xfId="1" applyNumberFormat="1" applyFont="1" applyFill="1" applyBorder="1" applyAlignment="1">
      <alignment horizontal="right" vertical="center"/>
    </xf>
    <xf numFmtId="0" fontId="14" fillId="2" borderId="92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3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8" xfId="0" applyFont="1" applyFill="1" applyBorder="1" applyAlignment="1">
      <alignment horizontal="left" vertical="center"/>
    </xf>
    <xf numFmtId="0" fontId="4" fillId="3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 wrapText="1"/>
    </xf>
    <xf numFmtId="164" fontId="15" fillId="3" borderId="98" xfId="1" applyNumberFormat="1" applyFont="1" applyFill="1" applyBorder="1" applyAlignment="1">
      <alignment horizontal="right" vertical="center"/>
    </xf>
    <xf numFmtId="164" fontId="15" fillId="3" borderId="97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9" xfId="1" applyNumberFormat="1" applyFont="1" applyFill="1" applyBorder="1" applyAlignment="1">
      <alignment horizontal="right" vertical="center"/>
    </xf>
    <xf numFmtId="0" fontId="4" fillId="9" borderId="96" xfId="2" applyFont="1" applyFill="1" applyBorder="1" applyAlignment="1">
      <alignment horizontal="right" vertical="center" wrapText="1"/>
    </xf>
    <xf numFmtId="0" fontId="4" fillId="9" borderId="97" xfId="2" applyFont="1" applyFill="1" applyBorder="1" applyAlignment="1">
      <alignment horizontal="left" vertical="center"/>
    </xf>
    <xf numFmtId="166" fontId="15" fillId="9" borderId="98" xfId="2" applyNumberFormat="1" applyFont="1" applyFill="1" applyBorder="1" applyAlignment="1">
      <alignment horizontal="righ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9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/>
    </xf>
    <xf numFmtId="166" fontId="15" fillId="3" borderId="98" xfId="2" applyNumberFormat="1" applyFont="1" applyFill="1" applyBorder="1" applyAlignment="1">
      <alignment horizontal="righ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9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00" xfId="2" applyFont="1" applyFill="1" applyBorder="1"/>
    <xf numFmtId="0" fontId="37" fillId="2" borderId="87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0" fontId="37" fillId="2" borderId="89" xfId="2" applyFont="1" applyFill="1" applyBorder="1" applyAlignment="1">
      <alignment horizontal="right"/>
    </xf>
    <xf numFmtId="166" fontId="37" fillId="3" borderId="102" xfId="2" applyNumberFormat="1" applyFont="1" applyFill="1" applyBorder="1" applyAlignment="1">
      <alignment horizontal="right" vertical="center"/>
    </xf>
    <xf numFmtId="165" fontId="37" fillId="2" borderId="90" xfId="2" applyNumberFormat="1" applyFont="1" applyFill="1" applyBorder="1"/>
    <xf numFmtId="165" fontId="37" fillId="2" borderId="91" xfId="2" applyNumberFormat="1" applyFont="1" applyFill="1" applyBorder="1"/>
    <xf numFmtId="165" fontId="37" fillId="2" borderId="87" xfId="2" applyNumberFormat="1" applyFont="1" applyFill="1" applyBorder="1"/>
    <xf numFmtId="165" fontId="37" fillId="2" borderId="86" xfId="2" applyNumberFormat="1" applyFont="1" applyFill="1" applyBorder="1"/>
    <xf numFmtId="165" fontId="37" fillId="2" borderId="89" xfId="2" applyNumberFormat="1" applyFont="1" applyFill="1" applyBorder="1"/>
    <xf numFmtId="165" fontId="37" fillId="2" borderId="88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4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2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37" fillId="2" borderId="87" xfId="2" applyFont="1" applyFill="1" applyBorder="1" applyAlignment="1">
      <alignment horizontal="right"/>
    </xf>
    <xf numFmtId="0" fontId="37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166" fontId="4" fillId="3" borderId="0" xfId="2" applyNumberFormat="1" applyFont="1" applyFill="1" applyBorder="1" applyAlignment="1">
      <alignment horizontal="center" wrapText="1"/>
    </xf>
    <xf numFmtId="0" fontId="49" fillId="3" borderId="0" xfId="2" applyFont="1" applyFill="1" applyBorder="1" applyAlignment="1">
      <alignment horizontal="left"/>
    </xf>
    <xf numFmtId="166" fontId="4" fillId="3" borderId="0" xfId="2" applyNumberFormat="1" applyFont="1" applyFill="1" applyBorder="1" applyAlignment="1">
      <alignment horizontal="left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18" fillId="10" borderId="0" xfId="2" applyNumberFormat="1" applyFont="1" applyFill="1" applyBorder="1" applyAlignment="1">
      <alignment horizontal="center" vertical="center" wrapText="1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5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2822.6575416679966</c:v>
                </c:pt>
                <c:pt idx="1">
                  <c:v>-2117.9895279574953</c:v>
                </c:pt>
                <c:pt idx="2">
                  <c:v>0.26440799999999998</c:v>
                </c:pt>
                <c:pt idx="3">
                  <c:v>-350.663657</c:v>
                </c:pt>
                <c:pt idx="4">
                  <c:v>12.490767999999997</c:v>
                </c:pt>
                <c:pt idx="5">
                  <c:v>-13.798691359875317</c:v>
                </c:pt>
                <c:pt idx="6">
                  <c:v>-352.96084135062563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11747456"/>
        <c:axId val="111748992"/>
        <c:axId val="0"/>
      </c:bar3DChart>
      <c:catAx>
        <c:axId val="111747456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11748992"/>
        <c:crosses val="autoZero"/>
        <c:auto val="1"/>
        <c:lblAlgn val="ctr"/>
        <c:lblOffset val="100"/>
        <c:noMultiLvlLbl val="0"/>
      </c:catAx>
      <c:valAx>
        <c:axId val="111748992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1747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11609</c:v>
                </c:pt>
                <c:pt idx="6">
                  <c:v>11190</c:v>
                </c:pt>
                <c:pt idx="7">
                  <c:v>11846</c:v>
                </c:pt>
                <c:pt idx="8">
                  <c:v>12336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47968"/>
        <c:axId val="120149504"/>
      </c:barChart>
      <c:catAx>
        <c:axId val="12014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49504"/>
        <c:crosses val="autoZero"/>
        <c:auto val="1"/>
        <c:lblAlgn val="ctr"/>
        <c:lblOffset val="100"/>
        <c:noMultiLvlLbl val="0"/>
      </c:catAx>
      <c:valAx>
        <c:axId val="120149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147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10.568222416653482</c:v>
                </c:pt>
                <c:pt idx="182">
                  <c:v>10.252008199334703</c:v>
                </c:pt>
                <c:pt idx="183">
                  <c:v>9.4581659337544721</c:v>
                </c:pt>
                <c:pt idx="184">
                  <c:v>7.7685839626013005</c:v>
                </c:pt>
                <c:pt idx="185">
                  <c:v>7.4815198200827711</c:v>
                </c:pt>
                <c:pt idx="186">
                  <c:v>8.3956674696080977</c:v>
                </c:pt>
                <c:pt idx="187">
                  <c:v>9.7410070359215304</c:v>
                </c:pt>
                <c:pt idx="188">
                  <c:v>10.124209009856298</c:v>
                </c:pt>
                <c:pt idx="189">
                  <c:v>10.304019398838161</c:v>
                </c:pt>
                <c:pt idx="190">
                  <c:v>10.221858257142756</c:v>
                </c:pt>
                <c:pt idx="191">
                  <c:v>8.3894033132418855</c:v>
                </c:pt>
                <c:pt idx="192">
                  <c:v>8.3843553337064272</c:v>
                </c:pt>
                <c:pt idx="193">
                  <c:v>10.601010610209597</c:v>
                </c:pt>
                <c:pt idx="194">
                  <c:v>10.208741115734895</c:v>
                </c:pt>
                <c:pt idx="195">
                  <c:v>12.924143254571844</c:v>
                </c:pt>
                <c:pt idx="196">
                  <c:v>12.551668019700053</c:v>
                </c:pt>
                <c:pt idx="197">
                  <c:v>9.2990339430508389</c:v>
                </c:pt>
                <c:pt idx="198">
                  <c:v>7.6959416619133822</c:v>
                </c:pt>
                <c:pt idx="199">
                  <c:v>8.1498811526718686</c:v>
                </c:pt>
                <c:pt idx="200">
                  <c:v>9.6753351346492096</c:v>
                </c:pt>
                <c:pt idx="201">
                  <c:v>9.662856919296491</c:v>
                </c:pt>
                <c:pt idx="202">
                  <c:v>11.966225353661841</c:v>
                </c:pt>
                <c:pt idx="203">
                  <c:v>11.939966236043933</c:v>
                </c:pt>
                <c:pt idx="204">
                  <c:v>9.5720171627676969</c:v>
                </c:pt>
                <c:pt idx="205">
                  <c:v>8.0197646721725331</c:v>
                </c:pt>
                <c:pt idx="206">
                  <c:v>8.041607397011342</c:v>
                </c:pt>
                <c:pt idx="207">
                  <c:v>9.2368345783925179</c:v>
                </c:pt>
                <c:pt idx="208">
                  <c:v>9.2604844650181324</c:v>
                </c:pt>
                <c:pt idx="209">
                  <c:v>9.5109604735889803</c:v>
                </c:pt>
                <c:pt idx="210">
                  <c:v>9.960010804085428</c:v>
                </c:pt>
                <c:pt idx="211">
                  <c:v>9.0208912166222479</c:v>
                </c:pt>
                <c:pt idx="212">
                  <c:v>7.3274770439122872</c:v>
                </c:pt>
                <c:pt idx="213">
                  <c:v>7.3591133063275187</c:v>
                </c:pt>
                <c:pt idx="214">
                  <c:v>8.4957021969041211</c:v>
                </c:pt>
                <c:pt idx="215">
                  <c:v>8.5215988993338367</c:v>
                </c:pt>
                <c:pt idx="216">
                  <c:v>8.3804475972986712</c:v>
                </c:pt>
                <c:pt idx="217">
                  <c:v>8.7797788551200622</c:v>
                </c:pt>
                <c:pt idx="218">
                  <c:v>7.897185705717761</c:v>
                </c:pt>
                <c:pt idx="219">
                  <c:v>6.9156343597705554</c:v>
                </c:pt>
                <c:pt idx="220">
                  <c:v>7.0797433898515889</c:v>
                </c:pt>
                <c:pt idx="221">
                  <c:v>8.7429757997753992</c:v>
                </c:pt>
                <c:pt idx="222">
                  <c:v>8.8873771330949971</c:v>
                </c:pt>
                <c:pt idx="223">
                  <c:v>9.342068052433266</c:v>
                </c:pt>
                <c:pt idx="224">
                  <c:v>9.0227963088585845</c:v>
                </c:pt>
                <c:pt idx="225">
                  <c:v>8.617923221165789</c:v>
                </c:pt>
                <c:pt idx="226">
                  <c:v>7.6367264902928698</c:v>
                </c:pt>
                <c:pt idx="227">
                  <c:v>7.6500080231819716</c:v>
                </c:pt>
                <c:pt idx="228">
                  <c:v>10.770115115200538</c:v>
                </c:pt>
                <c:pt idx="229">
                  <c:v>12.275837216732805</c:v>
                </c:pt>
                <c:pt idx="230">
                  <c:v>10.30598544170101</c:v>
                </c:pt>
                <c:pt idx="231">
                  <c:v>10.198907925134305</c:v>
                </c:pt>
                <c:pt idx="232">
                  <c:v>9.732554603645001</c:v>
                </c:pt>
                <c:pt idx="233">
                  <c:v>8.1906102744069553</c:v>
                </c:pt>
                <c:pt idx="234">
                  <c:v>8.2763648372854224</c:v>
                </c:pt>
                <c:pt idx="235">
                  <c:v>10.116631278412976</c:v>
                </c:pt>
                <c:pt idx="236">
                  <c:v>10.634514211604086</c:v>
                </c:pt>
                <c:pt idx="237">
                  <c:v>10.43281949410752</c:v>
                </c:pt>
                <c:pt idx="238">
                  <c:v>10.258901112878878</c:v>
                </c:pt>
                <c:pt idx="239">
                  <c:v>9.621705007623234</c:v>
                </c:pt>
                <c:pt idx="240">
                  <c:v>7.90341361582934</c:v>
                </c:pt>
                <c:pt idx="241">
                  <c:v>8.0524275904776808</c:v>
                </c:pt>
                <c:pt idx="242">
                  <c:v>10.083864108825882</c:v>
                </c:pt>
                <c:pt idx="243">
                  <c:v>9.7007445267766368</c:v>
                </c:pt>
                <c:pt idx="244">
                  <c:v>10.351424075733302</c:v>
                </c:pt>
                <c:pt idx="245">
                  <c:v>10.675088543805986</c:v>
                </c:pt>
                <c:pt idx="246">
                  <c:v>11.29469983214782</c:v>
                </c:pt>
                <c:pt idx="247">
                  <c:v>8.1970730704195525</c:v>
                </c:pt>
                <c:pt idx="248">
                  <c:v>9.2336958503371118</c:v>
                </c:pt>
                <c:pt idx="249">
                  <c:v>11.597554488210992</c:v>
                </c:pt>
                <c:pt idx="250">
                  <c:v>11.40204196931642</c:v>
                </c:pt>
                <c:pt idx="251">
                  <c:v>12.222584744863941</c:v>
                </c:pt>
                <c:pt idx="252">
                  <c:v>12.198425235856467</c:v>
                </c:pt>
                <c:pt idx="253">
                  <c:v>14.667928928492055</c:v>
                </c:pt>
                <c:pt idx="254">
                  <c:v>9.4355036584976215</c:v>
                </c:pt>
                <c:pt idx="255">
                  <c:v>9.3491360221922815</c:v>
                </c:pt>
                <c:pt idx="256">
                  <c:v>11.066872022129369</c:v>
                </c:pt>
                <c:pt idx="257">
                  <c:v>11.139047681373635</c:v>
                </c:pt>
                <c:pt idx="258">
                  <c:v>10.696748561847132</c:v>
                </c:pt>
                <c:pt idx="259">
                  <c:v>10.390631158546531</c:v>
                </c:pt>
                <c:pt idx="260">
                  <c:v>10.437855721536367</c:v>
                </c:pt>
                <c:pt idx="261">
                  <c:v>8.9750896284534942</c:v>
                </c:pt>
                <c:pt idx="262">
                  <c:v>10.140231654609236</c:v>
                </c:pt>
                <c:pt idx="263">
                  <c:v>14.685402776933721</c:v>
                </c:pt>
                <c:pt idx="264">
                  <c:v>12.553554758620496</c:v>
                </c:pt>
                <c:pt idx="265">
                  <c:v>14.359633688987152</c:v>
                </c:pt>
                <c:pt idx="266">
                  <c:v>13.187685903645663</c:v>
                </c:pt>
                <c:pt idx="267">
                  <c:v>12.952785702018016</c:v>
                </c:pt>
                <c:pt idx="268">
                  <c:v>11.714102901755435</c:v>
                </c:pt>
                <c:pt idx="269">
                  <c:v>12.05665177038618</c:v>
                </c:pt>
                <c:pt idx="270">
                  <c:v>13.31929253083147</c:v>
                </c:pt>
                <c:pt idx="271">
                  <c:v>16.378723737316371</c:v>
                </c:pt>
                <c:pt idx="272">
                  <c:v>18.580584968434316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19.110055566037733</c:v>
                </c:pt>
                <c:pt idx="274">
                  <c:v>18.078781320754715</c:v>
                </c:pt>
                <c:pt idx="275">
                  <c:v>14.332500283018868</c:v>
                </c:pt>
                <c:pt idx="276">
                  <c:v>14.053581132075472</c:v>
                </c:pt>
                <c:pt idx="277">
                  <c:v>15.88826245283019</c:v>
                </c:pt>
                <c:pt idx="278">
                  <c:v>16.068493396226415</c:v>
                </c:pt>
                <c:pt idx="279">
                  <c:v>16.268043773584907</c:v>
                </c:pt>
                <c:pt idx="280">
                  <c:v>17.424715377358488</c:v>
                </c:pt>
                <c:pt idx="281">
                  <c:v>18.078569339622639</c:v>
                </c:pt>
                <c:pt idx="282">
                  <c:v>18.031043207547164</c:v>
                </c:pt>
                <c:pt idx="283">
                  <c:v>20.885148584905657</c:v>
                </c:pt>
                <c:pt idx="284">
                  <c:v>26.836024245283014</c:v>
                </c:pt>
                <c:pt idx="285">
                  <c:v>28.549121037735844</c:v>
                </c:pt>
                <c:pt idx="286">
                  <c:v>26.962448018867921</c:v>
                </c:pt>
                <c:pt idx="287">
                  <c:v>25.205655188679245</c:v>
                </c:pt>
                <c:pt idx="288">
                  <c:v>22.996606792452827</c:v>
                </c:pt>
                <c:pt idx="289">
                  <c:v>21.323461698113203</c:v>
                </c:pt>
                <c:pt idx="290">
                  <c:v>22.305616415094338</c:v>
                </c:pt>
                <c:pt idx="291">
                  <c:v>25.150728679245283</c:v>
                </c:pt>
                <c:pt idx="292">
                  <c:v>25.913584811320753</c:v>
                </c:pt>
                <c:pt idx="293">
                  <c:v>24.970401698113207</c:v>
                </c:pt>
                <c:pt idx="294">
                  <c:v>24.287413490566035</c:v>
                </c:pt>
                <c:pt idx="295">
                  <c:v>23.190001698113207</c:v>
                </c:pt>
                <c:pt idx="296">
                  <c:v>21.232633113207545</c:v>
                </c:pt>
                <c:pt idx="297">
                  <c:v>21.750670660377356</c:v>
                </c:pt>
                <c:pt idx="298">
                  <c:v>23.480586037735847</c:v>
                </c:pt>
                <c:pt idx="299">
                  <c:v>23.970427264150938</c:v>
                </c:pt>
                <c:pt idx="300">
                  <c:v>22.510704811320753</c:v>
                </c:pt>
                <c:pt idx="301">
                  <c:v>23.473946981132073</c:v>
                </c:pt>
                <c:pt idx="302">
                  <c:v>22.892191603773583</c:v>
                </c:pt>
                <c:pt idx="303">
                  <c:v>20.147534245283016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2512"/>
        <c:axId val="119874304"/>
      </c:lineChart>
      <c:dateAx>
        <c:axId val="119872512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19874304"/>
        <c:crosses val="autoZero"/>
        <c:auto val="1"/>
        <c:lblOffset val="100"/>
        <c:baseTimeUnit val="days"/>
      </c:dateAx>
      <c:valAx>
        <c:axId val="119874304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9872512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314.40782647711256</c:v>
                </c:pt>
                <c:pt idx="6">
                  <c:v>298.38639432190473</c:v>
                </c:pt>
                <c:pt idx="7">
                  <c:v>277.51120821690495</c:v>
                </c:pt>
                <c:pt idx="8">
                  <c:v>352.96079611407475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318.95062063632389</c:v>
                </c:pt>
                <c:pt idx="6">
                  <c:v>302.4372465189378</c:v>
                </c:pt>
                <c:pt idx="7">
                  <c:v>299.01838851541652</c:v>
                </c:pt>
                <c:pt idx="8">
                  <c:v>359.74623069021459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389568"/>
        <c:axId val="119399552"/>
      </c:barChart>
      <c:catAx>
        <c:axId val="11938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399552"/>
        <c:crosses val="autoZero"/>
        <c:auto val="1"/>
        <c:lblAlgn val="ctr"/>
        <c:lblOffset val="100"/>
        <c:noMultiLvlLbl val="0"/>
      </c:catAx>
      <c:valAx>
        <c:axId val="119399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9389568"/>
        <c:crosses val="autoZero"/>
        <c:crossBetween val="between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29259.27097521312</c:v>
                </c:pt>
                <c:pt idx="1">
                  <c:v>298023.32337541255</c:v>
                </c:pt>
                <c:pt idx="2">
                  <c:v>14599.217000000001</c:v>
                </c:pt>
                <c:pt idx="3">
                  <c:v>11079.029999999997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28773.462988917938</c:v>
                </c:pt>
                <c:pt idx="1">
                  <c:v>313042.96398083237</c:v>
                </c:pt>
                <c:pt idx="2">
                  <c:v>14615.786</c:v>
                </c:pt>
                <c:pt idx="3">
                  <c:v>8329.6310000000012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3259648"/>
        <c:axId val="113261184"/>
        <c:axId val="0"/>
      </c:bar3DChart>
      <c:catAx>
        <c:axId val="113259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3261184"/>
        <c:crosses val="autoZero"/>
        <c:auto val="1"/>
        <c:lblAlgn val="ctr"/>
        <c:lblOffset val="100"/>
        <c:noMultiLvlLbl val="0"/>
      </c:catAx>
      <c:valAx>
        <c:axId val="113261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325964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29259.27097521312</c:v>
                </c:pt>
                <c:pt idx="1">
                  <c:v>298023.32337541255</c:v>
                </c:pt>
                <c:pt idx="2">
                  <c:v>14599.217000000001</c:v>
                </c:pt>
                <c:pt idx="3">
                  <c:v>11079.029999999997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12326.191000000003</c:v>
                </c:pt>
                <c:pt idx="1">
                  <c:v>38117.300000000003</c:v>
                </c:pt>
                <c:pt idx="2">
                  <c:v>10703.9</c:v>
                </c:pt>
                <c:pt idx="3">
                  <c:v>13358.6</c:v>
                </c:pt>
                <c:pt idx="4">
                  <c:v>14469.7</c:v>
                </c:pt>
                <c:pt idx="5">
                  <c:v>49322.197999999997</c:v>
                </c:pt>
                <c:pt idx="6">
                  <c:v>18400.3</c:v>
                </c:pt>
                <c:pt idx="7">
                  <c:v>16780.900000000001</c:v>
                </c:pt>
                <c:pt idx="8">
                  <c:v>17547.900000000001</c:v>
                </c:pt>
                <c:pt idx="9">
                  <c:v>27587.983181064617</c:v>
                </c:pt>
                <c:pt idx="10">
                  <c:v>44303.124000000003</c:v>
                </c:pt>
                <c:pt idx="11">
                  <c:v>50837.856</c:v>
                </c:pt>
                <c:pt idx="12">
                  <c:v>14905.987000000001</c:v>
                </c:pt>
                <c:pt idx="13">
                  <c:v>17012.099999999999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12284.715</c:v>
                </c:pt>
                <c:pt idx="1">
                  <c:v>38726</c:v>
                </c:pt>
                <c:pt idx="2">
                  <c:v>10420.800000000001</c:v>
                </c:pt>
                <c:pt idx="3">
                  <c:v>13825.199999999999</c:v>
                </c:pt>
                <c:pt idx="4">
                  <c:v>13878.800000000001</c:v>
                </c:pt>
                <c:pt idx="5">
                  <c:v>47945.387999999999</c:v>
                </c:pt>
                <c:pt idx="6">
                  <c:v>19296</c:v>
                </c:pt>
                <c:pt idx="7">
                  <c:v>15387.5</c:v>
                </c:pt>
                <c:pt idx="8">
                  <c:v>17381.7</c:v>
                </c:pt>
                <c:pt idx="9">
                  <c:v>27249.305480249066</c:v>
                </c:pt>
                <c:pt idx="10">
                  <c:v>55544.604999999996</c:v>
                </c:pt>
                <c:pt idx="11">
                  <c:v>50033.676999999996</c:v>
                </c:pt>
                <c:pt idx="12">
                  <c:v>16133.187000000002</c:v>
                </c:pt>
                <c:pt idx="13">
                  <c:v>18439.7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15964928"/>
        <c:axId val="119149312"/>
        <c:axId val="0"/>
      </c:bar3DChart>
      <c:catAx>
        <c:axId val="115964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9149312"/>
        <c:crosses val="autoZero"/>
        <c:auto val="1"/>
        <c:lblAlgn val="ctr"/>
        <c:lblOffset val="100"/>
        <c:noMultiLvlLbl val="0"/>
      </c:catAx>
      <c:valAx>
        <c:axId val="1191493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9649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42248</c:v>
                </c:pt>
                <c:pt idx="1">
                  <c:v>42249</c:v>
                </c:pt>
                <c:pt idx="2">
                  <c:v>42250</c:v>
                </c:pt>
                <c:pt idx="3">
                  <c:v>42251</c:v>
                </c:pt>
                <c:pt idx="4">
                  <c:v>42252</c:v>
                </c:pt>
                <c:pt idx="5">
                  <c:v>42253</c:v>
                </c:pt>
                <c:pt idx="6">
                  <c:v>42254</c:v>
                </c:pt>
                <c:pt idx="7">
                  <c:v>42255</c:v>
                </c:pt>
                <c:pt idx="8">
                  <c:v>42256</c:v>
                </c:pt>
                <c:pt idx="9">
                  <c:v>42257</c:v>
                </c:pt>
                <c:pt idx="10">
                  <c:v>42258</c:v>
                </c:pt>
                <c:pt idx="11">
                  <c:v>42259</c:v>
                </c:pt>
                <c:pt idx="12">
                  <c:v>42260</c:v>
                </c:pt>
                <c:pt idx="13">
                  <c:v>42261</c:v>
                </c:pt>
                <c:pt idx="14">
                  <c:v>42262</c:v>
                </c:pt>
                <c:pt idx="15">
                  <c:v>42263</c:v>
                </c:pt>
                <c:pt idx="16">
                  <c:v>42264</c:v>
                </c:pt>
                <c:pt idx="17">
                  <c:v>42265</c:v>
                </c:pt>
                <c:pt idx="18">
                  <c:v>42266</c:v>
                </c:pt>
                <c:pt idx="19">
                  <c:v>42267</c:v>
                </c:pt>
                <c:pt idx="20">
                  <c:v>42268</c:v>
                </c:pt>
                <c:pt idx="21">
                  <c:v>42269</c:v>
                </c:pt>
                <c:pt idx="22">
                  <c:v>42270</c:v>
                </c:pt>
                <c:pt idx="23">
                  <c:v>42271</c:v>
                </c:pt>
                <c:pt idx="24">
                  <c:v>42272</c:v>
                </c:pt>
                <c:pt idx="25">
                  <c:v>42273</c:v>
                </c:pt>
                <c:pt idx="26">
                  <c:v>42274</c:v>
                </c:pt>
                <c:pt idx="27">
                  <c:v>42275</c:v>
                </c:pt>
                <c:pt idx="28">
                  <c:v>42276</c:v>
                </c:pt>
                <c:pt idx="29">
                  <c:v>42277</c:v>
                </c:pt>
                <c:pt idx="30">
                  <c:v>#N/A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9.7007445267766368</c:v>
                </c:pt>
                <c:pt idx="1">
                  <c:v>10.351424075733302</c:v>
                </c:pt>
                <c:pt idx="2">
                  <c:v>10.675088543805986</c:v>
                </c:pt>
                <c:pt idx="3">
                  <c:v>11.29469983214782</c:v>
                </c:pt>
                <c:pt idx="4">
                  <c:v>8.1970730704195525</c:v>
                </c:pt>
                <c:pt idx="5">
                  <c:v>9.2336958503371118</c:v>
                </c:pt>
                <c:pt idx="6">
                  <c:v>11.597554488210992</c:v>
                </c:pt>
                <c:pt idx="7">
                  <c:v>11.40204196931642</c:v>
                </c:pt>
                <c:pt idx="8">
                  <c:v>12.222584744863941</c:v>
                </c:pt>
                <c:pt idx="9">
                  <c:v>12.198425235856467</c:v>
                </c:pt>
                <c:pt idx="10">
                  <c:v>14.667928928492055</c:v>
                </c:pt>
                <c:pt idx="11">
                  <c:v>9.4355036584976215</c:v>
                </c:pt>
                <c:pt idx="12">
                  <c:v>9.3491360221922815</c:v>
                </c:pt>
                <c:pt idx="13">
                  <c:v>11.066872022129369</c:v>
                </c:pt>
                <c:pt idx="14">
                  <c:v>11.139047681373635</c:v>
                </c:pt>
                <c:pt idx="15">
                  <c:v>10.696748561847132</c:v>
                </c:pt>
                <c:pt idx="16">
                  <c:v>10.390631158546531</c:v>
                </c:pt>
                <c:pt idx="17">
                  <c:v>10.437855721536367</c:v>
                </c:pt>
                <c:pt idx="18">
                  <c:v>8.9750896284534942</c:v>
                </c:pt>
                <c:pt idx="19">
                  <c:v>10.140231654609236</c:v>
                </c:pt>
                <c:pt idx="20">
                  <c:v>14.685402776933721</c:v>
                </c:pt>
                <c:pt idx="21">
                  <c:v>12.553554758620496</c:v>
                </c:pt>
                <c:pt idx="22">
                  <c:v>14.359633688987152</c:v>
                </c:pt>
                <c:pt idx="23">
                  <c:v>13.187685903645663</c:v>
                </c:pt>
                <c:pt idx="24">
                  <c:v>12.952785702018016</c:v>
                </c:pt>
                <c:pt idx="25">
                  <c:v>11.714102901755435</c:v>
                </c:pt>
                <c:pt idx="26">
                  <c:v>12.05665177038618</c:v>
                </c:pt>
                <c:pt idx="27">
                  <c:v>13.31929253083147</c:v>
                </c:pt>
                <c:pt idx="28">
                  <c:v>16.378723737316371</c:v>
                </c:pt>
                <c:pt idx="29">
                  <c:v>18.580584968434316</c:v>
                </c:pt>
                <c:pt idx="30">
                  <c:v>#N/A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75520"/>
        <c:axId val="115677440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42248</c:v>
                </c:pt>
                <c:pt idx="1">
                  <c:v>42249</c:v>
                </c:pt>
                <c:pt idx="2">
                  <c:v>42250</c:v>
                </c:pt>
                <c:pt idx="3">
                  <c:v>42251</c:v>
                </c:pt>
                <c:pt idx="4">
                  <c:v>42252</c:v>
                </c:pt>
                <c:pt idx="5">
                  <c:v>42253</c:v>
                </c:pt>
                <c:pt idx="6">
                  <c:v>42254</c:v>
                </c:pt>
                <c:pt idx="7">
                  <c:v>42255</c:v>
                </c:pt>
                <c:pt idx="8">
                  <c:v>42256</c:v>
                </c:pt>
                <c:pt idx="9">
                  <c:v>42257</c:v>
                </c:pt>
                <c:pt idx="10">
                  <c:v>42258</c:v>
                </c:pt>
                <c:pt idx="11">
                  <c:v>42259</c:v>
                </c:pt>
                <c:pt idx="12">
                  <c:v>42260</c:v>
                </c:pt>
                <c:pt idx="13">
                  <c:v>42261</c:v>
                </c:pt>
                <c:pt idx="14">
                  <c:v>42262</c:v>
                </c:pt>
                <c:pt idx="15">
                  <c:v>42263</c:v>
                </c:pt>
                <c:pt idx="16">
                  <c:v>42264</c:v>
                </c:pt>
                <c:pt idx="17">
                  <c:v>42265</c:v>
                </c:pt>
                <c:pt idx="18">
                  <c:v>42266</c:v>
                </c:pt>
                <c:pt idx="19">
                  <c:v>42267</c:v>
                </c:pt>
                <c:pt idx="20">
                  <c:v>42268</c:v>
                </c:pt>
                <c:pt idx="21">
                  <c:v>42269</c:v>
                </c:pt>
                <c:pt idx="22">
                  <c:v>42270</c:v>
                </c:pt>
                <c:pt idx="23">
                  <c:v>42271</c:v>
                </c:pt>
                <c:pt idx="24">
                  <c:v>42272</c:v>
                </c:pt>
                <c:pt idx="25">
                  <c:v>42273</c:v>
                </c:pt>
                <c:pt idx="26">
                  <c:v>42274</c:v>
                </c:pt>
                <c:pt idx="27">
                  <c:v>42275</c:v>
                </c:pt>
                <c:pt idx="28">
                  <c:v>42276</c:v>
                </c:pt>
                <c:pt idx="29">
                  <c:v>42277</c:v>
                </c:pt>
                <c:pt idx="30">
                  <c:v>#N/A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23.5</c:v>
                </c:pt>
                <c:pt idx="1">
                  <c:v>15.6</c:v>
                </c:pt>
                <c:pt idx="2">
                  <c:v>16</c:v>
                </c:pt>
                <c:pt idx="3">
                  <c:v>15</c:v>
                </c:pt>
                <c:pt idx="4">
                  <c:v>13.8</c:v>
                </c:pt>
                <c:pt idx="5">
                  <c:v>11.8</c:v>
                </c:pt>
                <c:pt idx="6">
                  <c:v>10.6</c:v>
                </c:pt>
                <c:pt idx="7">
                  <c:v>11.1</c:v>
                </c:pt>
                <c:pt idx="8">
                  <c:v>9.9</c:v>
                </c:pt>
                <c:pt idx="9">
                  <c:v>11.5</c:v>
                </c:pt>
                <c:pt idx="10">
                  <c:v>13</c:v>
                </c:pt>
                <c:pt idx="11">
                  <c:v>14.9</c:v>
                </c:pt>
                <c:pt idx="12">
                  <c:v>17.399999999999999</c:v>
                </c:pt>
                <c:pt idx="13">
                  <c:v>15.5</c:v>
                </c:pt>
                <c:pt idx="14">
                  <c:v>15.6</c:v>
                </c:pt>
                <c:pt idx="15">
                  <c:v>18.7</c:v>
                </c:pt>
                <c:pt idx="16">
                  <c:v>20.6</c:v>
                </c:pt>
                <c:pt idx="17">
                  <c:v>14.1</c:v>
                </c:pt>
                <c:pt idx="18">
                  <c:v>14.7</c:v>
                </c:pt>
                <c:pt idx="19">
                  <c:v>11.4</c:v>
                </c:pt>
                <c:pt idx="20">
                  <c:v>10.3</c:v>
                </c:pt>
                <c:pt idx="21">
                  <c:v>13.1</c:v>
                </c:pt>
                <c:pt idx="22">
                  <c:v>11.5</c:v>
                </c:pt>
                <c:pt idx="23">
                  <c:v>12.6</c:v>
                </c:pt>
                <c:pt idx="24">
                  <c:v>13.7</c:v>
                </c:pt>
                <c:pt idx="25">
                  <c:v>12.1</c:v>
                </c:pt>
                <c:pt idx="26">
                  <c:v>11</c:v>
                </c:pt>
                <c:pt idx="27">
                  <c:v>10</c:v>
                </c:pt>
                <c:pt idx="28">
                  <c:v>9.1999999999999993</c:v>
                </c:pt>
                <c:pt idx="29">
                  <c:v>7.6</c:v>
                </c:pt>
                <c:pt idx="30">
                  <c:v>#N/A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89728"/>
        <c:axId val="115687808"/>
      </c:lineChart>
      <c:dateAx>
        <c:axId val="115675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15677440"/>
        <c:crossesAt val="0"/>
        <c:auto val="1"/>
        <c:lblOffset val="100"/>
        <c:baseTimeUnit val="days"/>
        <c:majorUnit val="1"/>
      </c:dateAx>
      <c:valAx>
        <c:axId val="115677440"/>
        <c:scaling>
          <c:orientation val="minMax"/>
          <c:max val="19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5675520"/>
        <c:crosses val="autoZero"/>
        <c:crossBetween val="between"/>
        <c:majorUnit val="1"/>
      </c:valAx>
      <c:valAx>
        <c:axId val="115687808"/>
        <c:scaling>
          <c:orientation val="maxMin"/>
          <c:max val="25"/>
          <c:min val="7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15689728"/>
        <c:crosses val="max"/>
        <c:crossBetween val="between"/>
        <c:majorUnit val="1.5"/>
      </c:valAx>
      <c:dateAx>
        <c:axId val="115689728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15687808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34400"/>
        <c:axId val="115740672"/>
      </c:barChart>
      <c:dateAx>
        <c:axId val="115734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1574067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574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5734400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41984"/>
        <c:axId val="119643520"/>
      </c:barChart>
      <c:catAx>
        <c:axId val="11964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43520"/>
        <c:crosses val="autoZero"/>
        <c:auto val="1"/>
        <c:lblAlgn val="ctr"/>
        <c:lblOffset val="100"/>
        <c:noMultiLvlLbl val="0"/>
      </c:catAx>
      <c:valAx>
        <c:axId val="119643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964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59</c:v>
                </c:pt>
                <c:pt idx="7">
                  <c:v>19</c:v>
                </c:pt>
                <c:pt idx="8">
                  <c:v>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57984"/>
        <c:axId val="119659520"/>
      </c:barChart>
      <c:catAx>
        <c:axId val="11965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59520"/>
        <c:crosses val="autoZero"/>
        <c:auto val="1"/>
        <c:lblAlgn val="ctr"/>
        <c:lblOffset val="100"/>
        <c:noMultiLvlLbl val="0"/>
      </c:catAx>
      <c:valAx>
        <c:axId val="119659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9657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725</c:v>
                </c:pt>
                <c:pt idx="6">
                  <c:v>1062</c:v>
                </c:pt>
                <c:pt idx="7">
                  <c:v>982</c:v>
                </c:pt>
                <c:pt idx="8">
                  <c:v>857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05600"/>
        <c:axId val="120107392"/>
      </c:barChart>
      <c:catAx>
        <c:axId val="12010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07392"/>
        <c:crosses val="autoZero"/>
        <c:auto val="1"/>
        <c:lblAlgn val="ctr"/>
        <c:lblOffset val="100"/>
        <c:noMultiLvlLbl val="0"/>
      </c:catAx>
      <c:valAx>
        <c:axId val="1201073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01056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95250</xdr:rowOff>
    </xdr:from>
    <xdr:to>
      <xdr:col>3</xdr:col>
      <xdr:colOff>714375</xdr:colOff>
      <xdr:row>26</xdr:row>
      <xdr:rowOff>228600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3875"/>
          <a:ext cx="5924550" cy="780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</row>
        <row r="13">
          <cell r="C13">
            <v>3284597.7726739408</v>
          </cell>
          <cell r="D13">
            <v>34908877.997999996</v>
          </cell>
          <cell r="F13">
            <v>2481674.016246439</v>
          </cell>
          <cell r="G13">
            <v>26389225.865000002</v>
          </cell>
          <cell r="I13">
            <v>3307686.053381158</v>
          </cell>
          <cell r="J13">
            <v>35181867.898999996</v>
          </cell>
          <cell r="L13">
            <v>3359554.1312374724</v>
          </cell>
          <cell r="M13">
            <v>35761425.901000001</v>
          </cell>
          <cell r="O13">
            <v>3473460.5549108558</v>
          </cell>
          <cell r="P13">
            <v>37110331.166999996</v>
          </cell>
          <cell r="R13">
            <v>3085550.7289798502</v>
          </cell>
          <cell r="S13">
            <v>33002302.838</v>
          </cell>
          <cell r="U13">
            <v>2758955.7094630236</v>
          </cell>
          <cell r="V13">
            <v>29461295.302999999</v>
          </cell>
          <cell r="X13">
            <v>2526834.5236839321</v>
          </cell>
          <cell r="Y13">
            <v>27011986.829</v>
          </cell>
          <cell r="AA13">
            <v>2822572.1879945146</v>
          </cell>
          <cell r="AB13">
            <v>30149228.651000001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</row>
        <row r="22">
          <cell r="C22">
            <v>2846183.9375417819</v>
          </cell>
          <cell r="D22">
            <v>30277699.544</v>
          </cell>
          <cell r="F22">
            <v>2213891.0476241913</v>
          </cell>
          <cell r="G22">
            <v>23561182.171999998</v>
          </cell>
          <cell r="I22">
            <v>2973257.2703896565</v>
          </cell>
          <cell r="J22">
            <v>31637112.546</v>
          </cell>
          <cell r="L22">
            <v>2717204.5553303575</v>
          </cell>
          <cell r="M22">
            <v>28932320.229000002</v>
          </cell>
          <cell r="O22">
            <v>2660489.4069797872</v>
          </cell>
          <cell r="P22">
            <v>28414675.905000001</v>
          </cell>
          <cell r="R22">
            <v>2207667.6083260933</v>
          </cell>
          <cell r="S22">
            <v>23609373.644262001</v>
          </cell>
          <cell r="U22">
            <v>1962711.9911944673</v>
          </cell>
          <cell r="V22">
            <v>20952293.360000003</v>
          </cell>
          <cell r="X22">
            <v>1586688.1661832945</v>
          </cell>
          <cell r="Y22">
            <v>16959897.035999998</v>
          </cell>
          <cell r="AA22">
            <v>2117974.5414362946</v>
          </cell>
          <cell r="AB22">
            <v>22617914.491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J22">
            <v>0</v>
          </cell>
          <cell r="AK22">
            <v>0</v>
          </cell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275.24</v>
          </cell>
          <cell r="V39">
            <v>2939.5630000000001</v>
          </cell>
          <cell r="W39">
            <v>10.68</v>
          </cell>
          <cell r="X39">
            <v>0</v>
          </cell>
          <cell r="Y39">
            <v>0</v>
          </cell>
          <cell r="Z39">
            <v>0</v>
          </cell>
          <cell r="AA39">
            <v>2.1379999999999999</v>
          </cell>
          <cell r="AB39">
            <v>22.827000000000002</v>
          </cell>
          <cell r="AC39">
            <v>10.68</v>
          </cell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>
            <v>136.119</v>
          </cell>
          <cell r="S40">
            <v>1461.345</v>
          </cell>
          <cell r="T40">
            <v>10.74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262.27</v>
          </cell>
          <cell r="AB40">
            <v>2805.69</v>
          </cell>
          <cell r="AC40">
            <v>10.7</v>
          </cell>
        </row>
        <row r="41">
          <cell r="C41">
            <v>663076.31099999999</v>
          </cell>
          <cell r="D41">
            <v>7059919.2450000001</v>
          </cell>
          <cell r="F41">
            <v>730844.38199999998</v>
          </cell>
          <cell r="G41">
            <v>7781463.9450000003</v>
          </cell>
          <cell r="I41">
            <v>531262.70799999998</v>
          </cell>
          <cell r="J41">
            <v>5653080.3719999995</v>
          </cell>
          <cell r="L41">
            <v>40534.315000000002</v>
          </cell>
          <cell r="M41">
            <v>432632.30599999998</v>
          </cell>
          <cell r="O41">
            <v>361.29300000000001</v>
          </cell>
          <cell r="P41">
            <v>3872.93</v>
          </cell>
          <cell r="R41">
            <v>136.119</v>
          </cell>
          <cell r="S41">
            <v>1461.345</v>
          </cell>
          <cell r="U41">
            <v>275.24</v>
          </cell>
          <cell r="V41">
            <v>2939.5630000000001</v>
          </cell>
          <cell r="X41">
            <v>0</v>
          </cell>
          <cell r="Y41">
            <v>0</v>
          </cell>
          <cell r="AA41">
            <v>264.40799999999996</v>
          </cell>
          <cell r="AB41">
            <v>2828.5170000000003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>
            <v>541454.53899999999</v>
          </cell>
          <cell r="S43">
            <v>5801225.2419999996</v>
          </cell>
          <cell r="T43">
            <v>10.71</v>
          </cell>
          <cell r="U43">
            <v>465882.08799999999</v>
          </cell>
          <cell r="V43">
            <v>4978245.7010000004</v>
          </cell>
          <cell r="W43">
            <v>10.69</v>
          </cell>
          <cell r="X43">
            <v>607357.61300000001</v>
          </cell>
          <cell r="Y43">
            <v>6498198.2769999998</v>
          </cell>
          <cell r="Z43">
            <v>10.7</v>
          </cell>
          <cell r="AA43">
            <v>322129.36800000002</v>
          </cell>
          <cell r="AB43">
            <v>3442837.571</v>
          </cell>
          <cell r="AC43">
            <v>10.69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10.688324913881921</v>
          </cell>
          <cell r="R44">
            <v>19242.198</v>
          </cell>
          <cell r="S44">
            <v>206305.886</v>
          </cell>
          <cell r="T44">
            <v>10.721534307047458</v>
          </cell>
          <cell r="U44">
            <v>37241.173999999999</v>
          </cell>
          <cell r="V44">
            <v>398086.70600000001</v>
          </cell>
          <cell r="W44">
            <v>10.689424184103327</v>
          </cell>
          <cell r="X44">
            <v>55822.642</v>
          </cell>
          <cell r="Y44">
            <v>597452.34199999995</v>
          </cell>
          <cell r="Z44">
            <v>10.702688382251774</v>
          </cell>
          <cell r="AA44">
            <v>28534.289000000001</v>
          </cell>
          <cell r="AB44">
            <v>305286.83199999999</v>
          </cell>
          <cell r="AC44">
            <v>10.698946520097277</v>
          </cell>
        </row>
        <row r="45">
          <cell r="C45">
            <v>16494.134999999998</v>
          </cell>
          <cell r="D45">
            <v>175246.745</v>
          </cell>
          <cell r="F45">
            <v>9555.2060000000001</v>
          </cell>
          <cell r="G45">
            <v>101322.443</v>
          </cell>
          <cell r="I45">
            <v>9037.5149999999994</v>
          </cell>
          <cell r="J45">
            <v>95956.741000000009</v>
          </cell>
          <cell r="L45">
            <v>52046.067999999999</v>
          </cell>
          <cell r="M45">
            <v>553969.45600000001</v>
          </cell>
          <cell r="O45">
            <v>406773.18200000003</v>
          </cell>
          <cell r="P45">
            <v>4350350.6279999996</v>
          </cell>
          <cell r="R45">
            <v>560696.73699999996</v>
          </cell>
          <cell r="S45">
            <v>6007531.1279999996</v>
          </cell>
          <cell r="U45">
            <v>503123.26199999999</v>
          </cell>
          <cell r="V45">
            <v>5376332.4070000006</v>
          </cell>
          <cell r="X45">
            <v>663180.255</v>
          </cell>
          <cell r="Y45">
            <v>7095650.6189999999</v>
          </cell>
          <cell r="AA45">
            <v>350663.65700000001</v>
          </cell>
          <cell r="AB45">
            <v>3748124.4029999999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</row>
        <row r="49">
          <cell r="C49">
            <v>18117.960132158838</v>
          </cell>
          <cell r="D49">
            <v>179509.49799999513</v>
          </cell>
          <cell r="F49">
            <v>12684.402622247586</v>
          </cell>
          <cell r="G49">
            <v>129101.78000000303</v>
          </cell>
          <cell r="I49">
            <v>6013.9529915014427</v>
          </cell>
          <cell r="J49">
            <v>61052.843999995297</v>
          </cell>
          <cell r="L49">
            <v>22137.01290711484</v>
          </cell>
          <cell r="M49">
            <v>234875.3429999979</v>
          </cell>
          <cell r="O49">
            <v>16169.176930368703</v>
          </cell>
          <cell r="P49">
            <v>173853.55899999477</v>
          </cell>
          <cell r="R49">
            <v>15995.512653756887</v>
          </cell>
          <cell r="S49">
            <v>162297.60973799974</v>
          </cell>
          <cell r="U49">
            <v>8145.1462685563019</v>
          </cell>
          <cell r="V49">
            <v>92700.816999996081</v>
          </cell>
          <cell r="X49">
            <v>12446.211500637699</v>
          </cell>
          <cell r="Y49">
            <v>125442.86900000181</v>
          </cell>
          <cell r="AA49">
            <v>13798.279558220063</v>
          </cell>
          <cell r="AB49">
            <v>146856.14100000029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  <sheetName val="Lis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1240.9766308421695</v>
          </cell>
          <cell r="I3">
            <v>1743.8246528421696</v>
          </cell>
          <cell r="J3">
            <v>2407.0049078421694</v>
          </cell>
          <cell r="K3">
            <v>2757.4041568421703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13395.384393715993</v>
          </cell>
          <cell r="I4">
            <v>18768.777237715993</v>
          </cell>
          <cell r="J4">
            <v>25864.427856715996</v>
          </cell>
          <cell r="K4">
            <v>29609.723742405993</v>
          </cell>
          <cell r="L4">
            <v>0</v>
          </cell>
          <cell r="M4">
            <v>0</v>
          </cell>
          <cell r="N4">
            <v>0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3</v>
          </cell>
          <cell r="H3">
            <v>6</v>
          </cell>
          <cell r="I3">
            <v>2</v>
          </cell>
          <cell r="J3">
            <v>2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18</v>
          </cell>
          <cell r="H4">
            <v>59</v>
          </cell>
          <cell r="I4">
            <v>19</v>
          </cell>
          <cell r="J4">
            <v>28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725</v>
          </cell>
          <cell r="H5">
            <v>1062</v>
          </cell>
          <cell r="I5">
            <v>982</v>
          </cell>
          <cell r="J5">
            <v>857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11609</v>
          </cell>
          <cell r="H6">
            <v>11190</v>
          </cell>
          <cell r="I6">
            <v>11846</v>
          </cell>
          <cell r="J6">
            <v>12336</v>
          </cell>
          <cell r="K6">
            <v>0</v>
          </cell>
          <cell r="L6">
            <v>0</v>
          </cell>
          <cell r="M6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ZDS"/>
      <sheetName val="Z 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62.191571129778751</v>
          </cell>
          <cell r="X31">
            <v>653.10242599999992</v>
          </cell>
          <cell r="AA31">
            <v>32.875461042247622</v>
          </cell>
          <cell r="AB31">
            <v>345.15133299999991</v>
          </cell>
          <cell r="AE31">
            <v>32.183876415279308</v>
          </cell>
          <cell r="AF31">
            <v>337.945561</v>
          </cell>
          <cell r="AI31">
            <v>85.353673481835486</v>
          </cell>
          <cell r="AJ31">
            <v>896.20718300000021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1140.5100408788708</v>
          </cell>
          <cell r="AZ31">
            <v>11975.050697000001</v>
          </cell>
        </row>
      </sheetData>
      <sheetData sheetId="2"/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11.360975674892451</v>
          </cell>
          <cell r="S32">
            <v>121.73699999999999</v>
          </cell>
          <cell r="U32">
            <v>13.300783573644042</v>
          </cell>
          <cell r="V32">
            <v>142.1694311</v>
          </cell>
          <cell r="X32">
            <v>12.540706060250383</v>
          </cell>
          <cell r="Y32">
            <v>134.37035520000001</v>
          </cell>
          <cell r="AA32">
            <v>14.98652120086658</v>
          </cell>
          <cell r="AB32">
            <v>160.32547339999999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168.42390731229432</v>
          </cell>
          <cell r="AN32">
            <v>1795.9192426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117</v>
          </cell>
          <cell r="R3">
            <v>7681.5380000000005</v>
          </cell>
          <cell r="S3">
            <v>81935.179999999993</v>
          </cell>
          <cell r="T3">
            <v>117</v>
          </cell>
          <cell r="U3">
            <v>8052.9229999999998</v>
          </cell>
          <cell r="V3">
            <v>85298.39499999999</v>
          </cell>
          <cell r="W3">
            <v>117</v>
          </cell>
          <cell r="X3">
            <v>6889.8140000000003</v>
          </cell>
          <cell r="Y3">
            <v>73700.353000000003</v>
          </cell>
          <cell r="Z3">
            <v>117</v>
          </cell>
          <cell r="AA3">
            <v>8314.9360000000015</v>
          </cell>
          <cell r="AB3">
            <v>88878.425999999992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310</v>
          </cell>
          <cell r="R4">
            <v>383.66899999999998</v>
          </cell>
          <cell r="S4">
            <v>4094.1061100000002</v>
          </cell>
          <cell r="T4">
            <v>311</v>
          </cell>
          <cell r="U4">
            <v>371.48900000000003</v>
          </cell>
          <cell r="V4">
            <v>3937.32836</v>
          </cell>
          <cell r="W4">
            <v>312</v>
          </cell>
          <cell r="X4">
            <v>339.685</v>
          </cell>
          <cell r="Y4">
            <v>3633.8657600000001</v>
          </cell>
          <cell r="Z4">
            <v>312</v>
          </cell>
          <cell r="AA4">
            <v>532.21799999999996</v>
          </cell>
          <cell r="AB4">
            <v>5689.4993400000003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7266</v>
          </cell>
          <cell r="R5">
            <v>548.90505200000007</v>
          </cell>
          <cell r="S5">
            <v>5857.5728280000003</v>
          </cell>
          <cell r="T5">
            <v>7268</v>
          </cell>
          <cell r="U5">
            <v>346.92419599999999</v>
          </cell>
          <cell r="V5">
            <v>3682.709476</v>
          </cell>
          <cell r="W5">
            <v>8375</v>
          </cell>
          <cell r="X5">
            <v>427.629774</v>
          </cell>
          <cell r="Y5">
            <v>4576.7187520000007</v>
          </cell>
          <cell r="Z5">
            <v>8553</v>
          </cell>
          <cell r="AA5">
            <v>1122.461114</v>
          </cell>
          <cell r="AB5">
            <v>11995.979798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99713</v>
          </cell>
          <cell r="R6">
            <v>1150.860948</v>
          </cell>
          <cell r="S6">
            <v>12280.801171999999</v>
          </cell>
          <cell r="T6">
            <v>99716</v>
          </cell>
          <cell r="U6">
            <v>726.693804</v>
          </cell>
          <cell r="V6">
            <v>7714.4485240000004</v>
          </cell>
          <cell r="W6">
            <v>98124</v>
          </cell>
          <cell r="X6">
            <v>896.83722599999999</v>
          </cell>
          <cell r="Y6">
            <v>9597.1972480000004</v>
          </cell>
          <cell r="Z6">
            <v>97941</v>
          </cell>
          <cell r="AA6">
            <v>2356.5758860000001</v>
          </cell>
          <cell r="AB6">
            <v>25185.179201999999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190</v>
          </cell>
          <cell r="R9">
            <v>18522.3</v>
          </cell>
          <cell r="S9">
            <v>198473.52802000006</v>
          </cell>
          <cell r="T9">
            <v>190</v>
          </cell>
          <cell r="U9">
            <v>17077</v>
          </cell>
          <cell r="V9">
            <v>182532.65106999996</v>
          </cell>
          <cell r="W9">
            <v>190</v>
          </cell>
          <cell r="X9">
            <v>16495.7</v>
          </cell>
          <cell r="Y9">
            <v>176747.29083000001</v>
          </cell>
          <cell r="Z9">
            <v>189</v>
          </cell>
          <cell r="AA9">
            <v>21034.2</v>
          </cell>
          <cell r="AB9">
            <v>225023.89578999983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929</v>
          </cell>
          <cell r="R10">
            <v>4084.4</v>
          </cell>
          <cell r="S10">
            <v>43765.689899999932</v>
          </cell>
          <cell r="T10">
            <v>932</v>
          </cell>
          <cell r="U10">
            <v>3752.4</v>
          </cell>
          <cell r="V10">
            <v>40108.455880000023</v>
          </cell>
          <cell r="W10">
            <v>934</v>
          </cell>
          <cell r="X10">
            <v>3551.9</v>
          </cell>
          <cell r="Y10">
            <v>38057.146369999995</v>
          </cell>
          <cell r="Z10">
            <v>941</v>
          </cell>
          <cell r="AA10">
            <v>4862.3999999999996</v>
          </cell>
          <cell r="AB10">
            <v>52017.348690000057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23822</v>
          </cell>
          <cell r="R11">
            <v>2354</v>
          </cell>
          <cell r="S11">
            <v>25224</v>
          </cell>
          <cell r="T11">
            <v>23788</v>
          </cell>
          <cell r="U11">
            <v>1773.4</v>
          </cell>
          <cell r="V11">
            <v>18955.3</v>
          </cell>
          <cell r="W11">
            <v>23764</v>
          </cell>
          <cell r="X11">
            <v>1763.1</v>
          </cell>
          <cell r="Y11">
            <v>18891.599999999999</v>
          </cell>
          <cell r="Z11">
            <v>23769</v>
          </cell>
          <cell r="AA11">
            <v>3273.7</v>
          </cell>
          <cell r="AB11">
            <v>35021.599999999999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361549</v>
          </cell>
          <cell r="R12">
            <v>6433.6</v>
          </cell>
          <cell r="S12">
            <v>68938</v>
          </cell>
          <cell r="T12">
            <v>361326</v>
          </cell>
          <cell r="U12">
            <v>4846.7</v>
          </cell>
          <cell r="V12">
            <v>51805.4</v>
          </cell>
          <cell r="W12">
            <v>361060</v>
          </cell>
          <cell r="X12">
            <v>4818.7</v>
          </cell>
          <cell r="Y12">
            <v>51631.4</v>
          </cell>
          <cell r="Z12">
            <v>361100</v>
          </cell>
          <cell r="AA12">
            <v>8947</v>
          </cell>
          <cell r="AB12">
            <v>95715.199999999997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50</v>
          </cell>
          <cell r="R15">
            <v>7098.6</v>
          </cell>
          <cell r="S15">
            <v>76064.390179999973</v>
          </cell>
          <cell r="T15">
            <v>51</v>
          </cell>
          <cell r="U15">
            <v>7632.1</v>
          </cell>
          <cell r="V15">
            <v>81578.49781999999</v>
          </cell>
          <cell r="W15">
            <v>51</v>
          </cell>
          <cell r="X15">
            <v>7275.8</v>
          </cell>
          <cell r="Y15">
            <v>77958.799729999999</v>
          </cell>
          <cell r="Z15">
            <v>51</v>
          </cell>
          <cell r="AA15">
            <v>7623.3</v>
          </cell>
          <cell r="AB15">
            <v>81554.39694999998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192</v>
          </cell>
          <cell r="R16">
            <v>919.3</v>
          </cell>
          <cell r="S16">
            <v>9851.0683600000011</v>
          </cell>
          <cell r="T16">
            <v>192</v>
          </cell>
          <cell r="U16">
            <v>1099.5</v>
          </cell>
          <cell r="V16">
            <v>11752.485640000012</v>
          </cell>
          <cell r="W16">
            <v>192</v>
          </cell>
          <cell r="X16">
            <v>675.1</v>
          </cell>
          <cell r="Y16">
            <v>7233.2567300000001</v>
          </cell>
          <cell r="Z16">
            <v>193</v>
          </cell>
          <cell r="AA16">
            <v>1193.5</v>
          </cell>
          <cell r="AB16">
            <v>12768.458299999989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5976</v>
          </cell>
          <cell r="R17">
            <v>565.20000000000005</v>
          </cell>
          <cell r="S17">
            <v>6055.9</v>
          </cell>
          <cell r="T17">
            <v>5968</v>
          </cell>
          <cell r="U17">
            <v>425.8</v>
          </cell>
          <cell r="V17">
            <v>4550.8999999999996</v>
          </cell>
          <cell r="W17">
            <v>5961</v>
          </cell>
          <cell r="X17">
            <v>423.3</v>
          </cell>
          <cell r="Y17">
            <v>4535.6000000000004</v>
          </cell>
          <cell r="Z17">
            <v>5963</v>
          </cell>
          <cell r="AA17">
            <v>786</v>
          </cell>
          <cell r="AB17">
            <v>8408.2000000000007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79911</v>
          </cell>
          <cell r="R18">
            <v>791.7</v>
          </cell>
          <cell r="S18">
            <v>8483.7999999999993</v>
          </cell>
          <cell r="T18">
            <v>79862</v>
          </cell>
          <cell r="U18">
            <v>596.5</v>
          </cell>
          <cell r="V18">
            <v>6375.4</v>
          </cell>
          <cell r="W18">
            <v>79803</v>
          </cell>
          <cell r="X18">
            <v>593</v>
          </cell>
          <cell r="Y18">
            <v>6354</v>
          </cell>
          <cell r="Z18">
            <v>79812</v>
          </cell>
          <cell r="AA18">
            <v>1101.0999999999999</v>
          </cell>
          <cell r="AB18">
            <v>11779.1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81</v>
          </cell>
          <cell r="R21">
            <v>8427.2000000000007</v>
          </cell>
          <cell r="S21">
            <v>90300.002800000002</v>
          </cell>
          <cell r="T21">
            <v>81</v>
          </cell>
          <cell r="U21">
            <v>7283.7</v>
          </cell>
          <cell r="V21">
            <v>77854.410309999977</v>
          </cell>
          <cell r="W21">
            <v>81</v>
          </cell>
          <cell r="X21">
            <v>6941.6</v>
          </cell>
          <cell r="Y21">
            <v>74377.091700000004</v>
          </cell>
          <cell r="Z21">
            <v>81</v>
          </cell>
          <cell r="AA21">
            <v>8541.1</v>
          </cell>
          <cell r="AB21">
            <v>91372.807049999989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256</v>
          </cell>
          <cell r="R22">
            <v>1160.2</v>
          </cell>
          <cell r="S22">
            <v>12432.405669999998</v>
          </cell>
          <cell r="T22">
            <v>257</v>
          </cell>
          <cell r="U22">
            <v>1024</v>
          </cell>
          <cell r="V22">
            <v>10944.907950000004</v>
          </cell>
          <cell r="W22">
            <v>257</v>
          </cell>
          <cell r="X22">
            <v>934.8</v>
          </cell>
          <cell r="Y22">
            <v>10015.611549999998</v>
          </cell>
          <cell r="Z22">
            <v>259</v>
          </cell>
          <cell r="AA22">
            <v>1216.2</v>
          </cell>
          <cell r="AB22">
            <v>13011.152239999999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9410</v>
          </cell>
          <cell r="R23">
            <v>886.8</v>
          </cell>
          <cell r="S23">
            <v>9502.6</v>
          </cell>
          <cell r="T23">
            <v>9397</v>
          </cell>
          <cell r="U23">
            <v>668.1</v>
          </cell>
          <cell r="V23">
            <v>7141</v>
          </cell>
          <cell r="W23">
            <v>9387</v>
          </cell>
          <cell r="X23">
            <v>664.2</v>
          </cell>
          <cell r="Y23">
            <v>7117</v>
          </cell>
          <cell r="Z23">
            <v>9389</v>
          </cell>
          <cell r="AA23">
            <v>1233.3</v>
          </cell>
          <cell r="AB23">
            <v>13193.7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108757</v>
          </cell>
          <cell r="R24">
            <v>1702.8</v>
          </cell>
          <cell r="S24">
            <v>18245.7</v>
          </cell>
          <cell r="T24">
            <v>108690</v>
          </cell>
          <cell r="U24">
            <v>1282.8</v>
          </cell>
          <cell r="V24">
            <v>13711.3</v>
          </cell>
          <cell r="W24">
            <v>108610</v>
          </cell>
          <cell r="X24">
            <v>1275.4000000000001</v>
          </cell>
          <cell r="Y24">
            <v>13665.2</v>
          </cell>
          <cell r="Z24">
            <v>108622</v>
          </cell>
          <cell r="AA24">
            <v>2368</v>
          </cell>
          <cell r="AB24">
            <v>25332.799999999999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93</v>
          </cell>
          <cell r="R27">
            <v>8580.2999999999993</v>
          </cell>
          <cell r="S27">
            <v>91941.500140000004</v>
          </cell>
          <cell r="T27">
            <v>93</v>
          </cell>
          <cell r="U27">
            <v>7953.9</v>
          </cell>
          <cell r="V27">
            <v>85017.926690000008</v>
          </cell>
          <cell r="W27">
            <v>93</v>
          </cell>
          <cell r="X27">
            <v>7759.7</v>
          </cell>
          <cell r="Y27">
            <v>83143.412399999987</v>
          </cell>
          <cell r="Z27">
            <v>93</v>
          </cell>
          <cell r="AA27">
            <v>9571.7999999999993</v>
          </cell>
          <cell r="AB27">
            <v>102399.38298000001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303</v>
          </cell>
          <cell r="R28">
            <v>1597.9</v>
          </cell>
          <cell r="S28">
            <v>17122.144990000004</v>
          </cell>
          <cell r="T28">
            <v>303</v>
          </cell>
          <cell r="U28">
            <v>1237.5999999999999</v>
          </cell>
          <cell r="V28">
            <v>13227.989009999998</v>
          </cell>
          <cell r="W28">
            <v>303</v>
          </cell>
          <cell r="X28">
            <v>1181.7</v>
          </cell>
          <cell r="Y28">
            <v>12661.932339999999</v>
          </cell>
          <cell r="Z28">
            <v>302</v>
          </cell>
          <cell r="AA28">
            <v>1876.7</v>
          </cell>
          <cell r="AB28">
            <v>20076.424780000012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8532</v>
          </cell>
          <cell r="R29">
            <v>880.9</v>
          </cell>
          <cell r="S29">
            <v>9438.9</v>
          </cell>
          <cell r="T29">
            <v>8520</v>
          </cell>
          <cell r="U29">
            <v>663.6</v>
          </cell>
          <cell r="V29">
            <v>7093.1</v>
          </cell>
          <cell r="W29">
            <v>8511</v>
          </cell>
          <cell r="X29">
            <v>659.8</v>
          </cell>
          <cell r="Y29">
            <v>7069.3</v>
          </cell>
          <cell r="Z29">
            <v>8513</v>
          </cell>
          <cell r="AA29">
            <v>1225</v>
          </cell>
          <cell r="AB29">
            <v>13105.2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83691</v>
          </cell>
          <cell r="R30">
            <v>1291.5999999999999</v>
          </cell>
          <cell r="S30">
            <v>13839.5</v>
          </cell>
          <cell r="T30">
            <v>83640</v>
          </cell>
          <cell r="U30">
            <v>973</v>
          </cell>
          <cell r="V30">
            <v>10400.1</v>
          </cell>
          <cell r="W30">
            <v>83578</v>
          </cell>
          <cell r="X30">
            <v>967.4</v>
          </cell>
          <cell r="Y30">
            <v>10365.200000000001</v>
          </cell>
          <cell r="Z30">
            <v>83587</v>
          </cell>
          <cell r="AA30">
            <v>1796.2</v>
          </cell>
          <cell r="AB30">
            <v>19215.2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132</v>
          </cell>
          <cell r="R33">
            <v>38374</v>
          </cell>
          <cell r="S33">
            <v>411012.29661999986</v>
          </cell>
          <cell r="T33">
            <v>132</v>
          </cell>
          <cell r="U33">
            <v>33420.400000000001</v>
          </cell>
          <cell r="V33">
            <v>357052.33156999998</v>
          </cell>
          <cell r="W33">
            <v>133</v>
          </cell>
          <cell r="X33">
            <v>30304.5</v>
          </cell>
          <cell r="Y33">
            <v>324570.14308999991</v>
          </cell>
          <cell r="Z33">
            <v>134</v>
          </cell>
          <cell r="AA33">
            <v>39097</v>
          </cell>
          <cell r="AB33">
            <v>418074.47353999992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481</v>
          </cell>
          <cell r="R34">
            <v>2385.4</v>
          </cell>
          <cell r="S34">
            <v>25542.542700000009</v>
          </cell>
          <cell r="T34">
            <v>478</v>
          </cell>
          <cell r="U34">
            <v>2257.5</v>
          </cell>
          <cell r="V34">
            <v>24125.136770000012</v>
          </cell>
          <cell r="W34">
            <v>478</v>
          </cell>
          <cell r="X34">
            <v>2064.3000000000002</v>
          </cell>
          <cell r="Y34">
            <v>22100.030419999996</v>
          </cell>
          <cell r="Z34">
            <v>481</v>
          </cell>
          <cell r="AA34">
            <v>2693.4</v>
          </cell>
          <cell r="AB34">
            <v>28796.464299999989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18001</v>
          </cell>
          <cell r="R35">
            <v>1644.921</v>
          </cell>
          <cell r="S35">
            <v>17609.057000000001</v>
          </cell>
          <cell r="T35">
            <v>17972</v>
          </cell>
          <cell r="U35">
            <v>1227.7570000000001</v>
          </cell>
          <cell r="V35">
            <v>13124.787</v>
          </cell>
          <cell r="W35">
            <v>17955</v>
          </cell>
          <cell r="X35">
            <v>1220.7730000000001</v>
          </cell>
          <cell r="Y35">
            <v>13080.065000000001</v>
          </cell>
          <cell r="Z35">
            <v>17960</v>
          </cell>
          <cell r="AA35">
            <v>2265.6979999999999</v>
          </cell>
          <cell r="AB35">
            <v>24244.719999999998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366799</v>
          </cell>
          <cell r="R36">
            <v>3786.7</v>
          </cell>
          <cell r="S36">
            <v>40576.300000000003</v>
          </cell>
          <cell r="T36">
            <v>366573</v>
          </cell>
          <cell r="U36">
            <v>2852.7</v>
          </cell>
          <cell r="V36">
            <v>30492.2</v>
          </cell>
          <cell r="W36">
            <v>366303</v>
          </cell>
          <cell r="X36">
            <v>2836.3</v>
          </cell>
          <cell r="Y36">
            <v>30389.8</v>
          </cell>
          <cell r="Z36">
            <v>366345</v>
          </cell>
          <cell r="AA36">
            <v>5266.1</v>
          </cell>
          <cell r="AB36">
            <v>56337.1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110</v>
          </cell>
          <cell r="R39">
            <v>11157.1</v>
          </cell>
          <cell r="S39">
            <v>119552.77320999998</v>
          </cell>
          <cell r="T39">
            <v>109</v>
          </cell>
          <cell r="U39">
            <v>11388.2</v>
          </cell>
          <cell r="V39">
            <v>121726.07304999998</v>
          </cell>
          <cell r="W39">
            <v>109</v>
          </cell>
          <cell r="X39">
            <v>10469.200000000001</v>
          </cell>
          <cell r="Y39">
            <v>112174.32515999995</v>
          </cell>
          <cell r="Z39">
            <v>109</v>
          </cell>
          <cell r="AA39">
            <v>11445.6</v>
          </cell>
          <cell r="AB39">
            <v>122445.10243000003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374</v>
          </cell>
          <cell r="R40">
            <v>1627.7</v>
          </cell>
          <cell r="S40">
            <v>17441.859720000011</v>
          </cell>
          <cell r="T40">
            <v>377</v>
          </cell>
          <cell r="U40">
            <v>1461</v>
          </cell>
          <cell r="V40">
            <v>15616.731679999997</v>
          </cell>
          <cell r="W40">
            <v>379</v>
          </cell>
          <cell r="X40">
            <v>1527.6</v>
          </cell>
          <cell r="Y40">
            <v>16368.207069999997</v>
          </cell>
          <cell r="Z40">
            <v>379</v>
          </cell>
          <cell r="AA40">
            <v>1941.8</v>
          </cell>
          <cell r="AB40">
            <v>20773.054120000004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12768</v>
          </cell>
          <cell r="R41">
            <v>1157.3</v>
          </cell>
          <cell r="S41">
            <v>12401.1</v>
          </cell>
          <cell r="T41">
            <v>12750</v>
          </cell>
          <cell r="U41">
            <v>871.9</v>
          </cell>
          <cell r="V41">
            <v>9319.1</v>
          </cell>
          <cell r="W41">
            <v>12737</v>
          </cell>
          <cell r="X41">
            <v>866.8</v>
          </cell>
          <cell r="Y41">
            <v>9287.7999999999993</v>
          </cell>
          <cell r="Z41">
            <v>12740</v>
          </cell>
          <cell r="AA41">
            <v>1609.5</v>
          </cell>
          <cell r="AB41">
            <v>17218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174413</v>
          </cell>
          <cell r="R42">
            <v>2447.3000000000002</v>
          </cell>
          <cell r="S42">
            <v>26223.7</v>
          </cell>
          <cell r="T42">
            <v>174306</v>
          </cell>
          <cell r="U42">
            <v>1843.7</v>
          </cell>
          <cell r="V42">
            <v>19706.599999999999</v>
          </cell>
          <cell r="W42">
            <v>174177</v>
          </cell>
          <cell r="X42">
            <v>1833</v>
          </cell>
          <cell r="Y42">
            <v>19640.400000000001</v>
          </cell>
          <cell r="Z42">
            <v>174197</v>
          </cell>
          <cell r="AA42">
            <v>3403.4</v>
          </cell>
          <cell r="AB42">
            <v>36409.699999999997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75</v>
          </cell>
          <cell r="R45">
            <v>10218.6</v>
          </cell>
          <cell r="S45">
            <v>109496.04415000003</v>
          </cell>
          <cell r="T45">
            <v>75</v>
          </cell>
          <cell r="U45">
            <v>10473.200000000001</v>
          </cell>
          <cell r="V45">
            <v>111945.73035999999</v>
          </cell>
          <cell r="W45">
            <v>75</v>
          </cell>
          <cell r="X45">
            <v>9807.1</v>
          </cell>
          <cell r="Y45">
            <v>105080.25125000003</v>
          </cell>
          <cell r="Z45">
            <v>76</v>
          </cell>
          <cell r="AA45">
            <v>11108.2</v>
          </cell>
          <cell r="AB45">
            <v>118834.99263000004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284</v>
          </cell>
          <cell r="R46">
            <v>1457.3</v>
          </cell>
          <cell r="S46">
            <v>15615.346559999998</v>
          </cell>
          <cell r="T46">
            <v>286</v>
          </cell>
          <cell r="U46">
            <v>1277.2</v>
          </cell>
          <cell r="V46">
            <v>13651.750459999997</v>
          </cell>
          <cell r="W46">
            <v>288</v>
          </cell>
          <cell r="X46">
            <v>1227.0999999999999</v>
          </cell>
          <cell r="Y46">
            <v>13147.554080000009</v>
          </cell>
          <cell r="Z46">
            <v>288</v>
          </cell>
          <cell r="AA46">
            <v>1605</v>
          </cell>
          <cell r="AB46">
            <v>17170.118899999983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10814</v>
          </cell>
          <cell r="R47">
            <v>966.8</v>
          </cell>
          <cell r="S47">
            <v>10360.1</v>
          </cell>
          <cell r="T47">
            <v>10799</v>
          </cell>
          <cell r="U47">
            <v>728.4</v>
          </cell>
          <cell r="V47">
            <v>7785.4</v>
          </cell>
          <cell r="W47">
            <v>10788</v>
          </cell>
          <cell r="X47">
            <v>724.2</v>
          </cell>
          <cell r="Y47">
            <v>7759.2</v>
          </cell>
          <cell r="Z47">
            <v>10790</v>
          </cell>
          <cell r="AA47">
            <v>1344.6</v>
          </cell>
          <cell r="AB47">
            <v>14384.2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125151</v>
          </cell>
          <cell r="R48">
            <v>1958.1</v>
          </cell>
          <cell r="S48">
            <v>20982</v>
          </cell>
          <cell r="T48">
            <v>125074</v>
          </cell>
          <cell r="U48">
            <v>1475.1</v>
          </cell>
          <cell r="V48">
            <v>15767.5</v>
          </cell>
          <cell r="W48">
            <v>124981</v>
          </cell>
          <cell r="X48">
            <v>1466.6</v>
          </cell>
          <cell r="Y48">
            <v>15714.5</v>
          </cell>
          <cell r="Z48">
            <v>124996</v>
          </cell>
          <cell r="AA48">
            <v>2723.1</v>
          </cell>
          <cell r="AB48">
            <v>29131.9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81</v>
          </cell>
          <cell r="R51">
            <v>10294.5</v>
          </cell>
          <cell r="S51">
            <v>110309.47094</v>
          </cell>
          <cell r="T51">
            <v>81</v>
          </cell>
          <cell r="U51">
            <v>10016.700000000001</v>
          </cell>
          <cell r="V51">
            <v>107066.41369000004</v>
          </cell>
          <cell r="W51">
            <v>82</v>
          </cell>
          <cell r="X51">
            <v>9901.1</v>
          </cell>
          <cell r="Y51">
            <v>106087.79679000005</v>
          </cell>
          <cell r="Z51">
            <v>82</v>
          </cell>
          <cell r="AA51">
            <v>11624.5</v>
          </cell>
          <cell r="AB51">
            <v>124358.18142999998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343</v>
          </cell>
          <cell r="R52">
            <v>1600.6</v>
          </cell>
          <cell r="S52">
            <v>17151.115439999994</v>
          </cell>
          <cell r="T52">
            <v>344</v>
          </cell>
          <cell r="U52">
            <v>1405.9</v>
          </cell>
          <cell r="V52">
            <v>15027.770009999987</v>
          </cell>
          <cell r="W52">
            <v>344</v>
          </cell>
          <cell r="X52">
            <v>1296.7</v>
          </cell>
          <cell r="Y52">
            <v>13894.027070000007</v>
          </cell>
          <cell r="Z52">
            <v>344</v>
          </cell>
          <cell r="AA52">
            <v>1901.7</v>
          </cell>
          <cell r="AB52">
            <v>20344.475090000004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11364</v>
          </cell>
          <cell r="R53">
            <v>1067.4000000000001</v>
          </cell>
          <cell r="S53">
            <v>11437.2</v>
          </cell>
          <cell r="T53">
            <v>11348</v>
          </cell>
          <cell r="U53">
            <v>804.1</v>
          </cell>
          <cell r="V53">
            <v>8594.7999999999993</v>
          </cell>
          <cell r="W53">
            <v>11336</v>
          </cell>
          <cell r="X53">
            <v>799.5</v>
          </cell>
          <cell r="Y53">
            <v>8566</v>
          </cell>
          <cell r="Z53">
            <v>11339</v>
          </cell>
          <cell r="AA53">
            <v>1484.4</v>
          </cell>
          <cell r="AB53">
            <v>15879.7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147419</v>
          </cell>
          <cell r="R54">
            <v>1824.5</v>
          </cell>
          <cell r="S54">
            <v>19549.900000000001</v>
          </cell>
          <cell r="T54">
            <v>147328</v>
          </cell>
          <cell r="U54">
            <v>1374.5</v>
          </cell>
          <cell r="V54">
            <v>14691.3</v>
          </cell>
          <cell r="W54">
            <v>147220</v>
          </cell>
          <cell r="X54">
            <v>1366.5</v>
          </cell>
          <cell r="Y54">
            <v>14642</v>
          </cell>
          <cell r="Z54">
            <v>147236</v>
          </cell>
          <cell r="AA54">
            <v>2537.3000000000002</v>
          </cell>
          <cell r="AB54">
            <v>27143.599999999999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184</v>
          </cell>
          <cell r="R57">
            <v>8518.9257183214686</v>
          </cell>
          <cell r="S57">
            <v>90879.952000000005</v>
          </cell>
          <cell r="T57">
            <v>184</v>
          </cell>
          <cell r="U57">
            <v>8321.0154692804535</v>
          </cell>
          <cell r="V57">
            <v>88138.611999999994</v>
          </cell>
          <cell r="W57">
            <v>185</v>
          </cell>
          <cell r="X57">
            <v>7707.2446334299757</v>
          </cell>
          <cell r="Y57">
            <v>82492.856</v>
          </cell>
          <cell r="Z57">
            <v>185</v>
          </cell>
          <cell r="AA57">
            <v>10011.381801364159</v>
          </cell>
          <cell r="AB57">
            <v>107040.15700000001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1618</v>
          </cell>
          <cell r="R58">
            <v>4273.9841119322391</v>
          </cell>
          <cell r="S58">
            <v>45594.786999999997</v>
          </cell>
          <cell r="T58">
            <v>1617</v>
          </cell>
          <cell r="U58">
            <v>3498.1315612597155</v>
          </cell>
          <cell r="V58">
            <v>37053.036</v>
          </cell>
          <cell r="W58">
            <v>1618</v>
          </cell>
          <cell r="X58">
            <v>3291.0322590852484</v>
          </cell>
          <cell r="Y58">
            <v>35224.853000000003</v>
          </cell>
          <cell r="Z58">
            <v>1621</v>
          </cell>
          <cell r="AA58">
            <v>5270.5184245247365</v>
          </cell>
          <cell r="AB58">
            <v>56351.546999999999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38752</v>
          </cell>
          <cell r="R59">
            <v>3225.925359020102</v>
          </cell>
          <cell r="S59">
            <v>34414.114739402648</v>
          </cell>
          <cell r="T59">
            <v>38690</v>
          </cell>
          <cell r="U59">
            <v>2234.3771998096381</v>
          </cell>
          <cell r="V59">
            <v>23667.051216424792</v>
          </cell>
          <cell r="W59">
            <v>38637</v>
          </cell>
          <cell r="X59">
            <v>2141.2613426995154</v>
          </cell>
          <cell r="Y59">
            <v>22918.528319785542</v>
          </cell>
          <cell r="Z59">
            <v>38581</v>
          </cell>
          <cell r="AA59">
            <v>4799.1070721224905</v>
          </cell>
          <cell r="AB59">
            <v>51311.291594076793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388890</v>
          </cell>
          <cell r="R60">
            <v>6288.792684776462</v>
          </cell>
          <cell r="S60">
            <v>67088.729260603039</v>
          </cell>
          <cell r="T60">
            <v>388595</v>
          </cell>
          <cell r="U60">
            <v>4510.9233172954291</v>
          </cell>
          <cell r="V60">
            <v>47780.765572120668</v>
          </cell>
          <cell r="W60">
            <v>388292</v>
          </cell>
          <cell r="X60">
            <v>4314.2137625396481</v>
          </cell>
          <cell r="Y60">
            <v>46176.255239222686</v>
          </cell>
          <cell r="Z60">
            <v>388109</v>
          </cell>
          <cell r="AA60">
            <v>7506.9758830532292</v>
          </cell>
          <cell r="AB60">
            <v>80263.395405905772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180</v>
          </cell>
          <cell r="R63">
            <v>37766.623999999996</v>
          </cell>
          <cell r="S63">
            <v>404676.19501000008</v>
          </cell>
          <cell r="T63">
            <v>180</v>
          </cell>
          <cell r="U63">
            <v>35781.266000000003</v>
          </cell>
          <cell r="V63">
            <v>382422.67337999993</v>
          </cell>
          <cell r="W63">
            <v>180</v>
          </cell>
          <cell r="X63">
            <v>35746.233</v>
          </cell>
          <cell r="Y63">
            <v>382981.44475999998</v>
          </cell>
          <cell r="Z63">
            <v>180</v>
          </cell>
          <cell r="AA63">
            <v>32019.523999999998</v>
          </cell>
          <cell r="AB63">
            <v>342526.30622999987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645</v>
          </cell>
          <cell r="R64">
            <v>3431.3</v>
          </cell>
          <cell r="S64">
            <v>36767.560639999974</v>
          </cell>
          <cell r="T64">
            <v>647</v>
          </cell>
          <cell r="U64">
            <v>2513</v>
          </cell>
          <cell r="V64">
            <v>26860.611913999994</v>
          </cell>
          <cell r="W64">
            <v>648</v>
          </cell>
          <cell r="X64">
            <v>2683.2</v>
          </cell>
          <cell r="Y64">
            <v>28749.621359999983</v>
          </cell>
          <cell r="Z64">
            <v>648</v>
          </cell>
          <cell r="AA64">
            <v>3851</v>
          </cell>
          <cell r="AB64">
            <v>41197.529460000042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17943</v>
          </cell>
          <cell r="R65">
            <v>1742.1</v>
          </cell>
          <cell r="S65">
            <v>18667.599999999999</v>
          </cell>
          <cell r="T65">
            <v>17918</v>
          </cell>
          <cell r="U65">
            <v>1312.4</v>
          </cell>
          <cell r="V65">
            <v>14028.3</v>
          </cell>
          <cell r="W65">
            <v>17899</v>
          </cell>
          <cell r="X65">
            <v>1304.9000000000001</v>
          </cell>
          <cell r="Y65">
            <v>13981.2</v>
          </cell>
          <cell r="Z65">
            <v>17903</v>
          </cell>
          <cell r="AA65">
            <v>2422.8000000000002</v>
          </cell>
          <cell r="AB65">
            <v>25918.6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234462</v>
          </cell>
          <cell r="R66">
            <v>4321.5</v>
          </cell>
          <cell r="S66">
            <v>46306.400000000001</v>
          </cell>
          <cell r="T66">
            <v>234317</v>
          </cell>
          <cell r="U66">
            <v>3255.6</v>
          </cell>
          <cell r="V66">
            <v>34798.300000000003</v>
          </cell>
          <cell r="W66">
            <v>234145</v>
          </cell>
          <cell r="X66">
            <v>3236.8</v>
          </cell>
          <cell r="Y66">
            <v>34681.4</v>
          </cell>
          <cell r="Z66">
            <v>234171</v>
          </cell>
          <cell r="AA66">
            <v>6009.8</v>
          </cell>
          <cell r="AB66">
            <v>64293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132</v>
          </cell>
          <cell r="R69">
            <v>38550.394</v>
          </cell>
          <cell r="S69">
            <v>413081.24091999978</v>
          </cell>
          <cell r="T69">
            <v>131</v>
          </cell>
          <cell r="U69">
            <v>49613.350000000006</v>
          </cell>
          <cell r="V69">
            <v>530250.79356000002</v>
          </cell>
          <cell r="W69">
            <v>131</v>
          </cell>
          <cell r="X69">
            <v>40676.855000000003</v>
          </cell>
          <cell r="Y69">
            <v>435832.13344999996</v>
          </cell>
          <cell r="Z69">
            <v>131</v>
          </cell>
          <cell r="AA69">
            <v>44073.555999999997</v>
          </cell>
          <cell r="AB69">
            <v>471405.0689999999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342</v>
          </cell>
          <cell r="R70">
            <v>1696.4</v>
          </cell>
          <cell r="S70">
            <v>18177.247430000003</v>
          </cell>
          <cell r="T70">
            <v>342</v>
          </cell>
          <cell r="U70">
            <v>1641.4</v>
          </cell>
          <cell r="V70">
            <v>17544.220980000009</v>
          </cell>
          <cell r="W70">
            <v>343</v>
          </cell>
          <cell r="X70">
            <v>1645</v>
          </cell>
          <cell r="Y70">
            <v>17625.584329999991</v>
          </cell>
          <cell r="Z70">
            <v>343</v>
          </cell>
          <cell r="AA70">
            <v>2153.6999999999998</v>
          </cell>
          <cell r="AB70">
            <v>23040.588740000014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12344</v>
          </cell>
          <cell r="R71">
            <v>1022.4</v>
          </cell>
          <cell r="S71">
            <v>10955.2</v>
          </cell>
          <cell r="T71">
            <v>12327</v>
          </cell>
          <cell r="U71">
            <v>770.2</v>
          </cell>
          <cell r="V71">
            <v>8232.6</v>
          </cell>
          <cell r="W71">
            <v>12314</v>
          </cell>
          <cell r="X71">
            <v>765.8</v>
          </cell>
          <cell r="Y71">
            <v>8204.9</v>
          </cell>
          <cell r="Z71">
            <v>12317</v>
          </cell>
          <cell r="AA71">
            <v>1421.8</v>
          </cell>
          <cell r="AB71">
            <v>15210.4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213906</v>
          </cell>
          <cell r="R72">
            <v>2293</v>
          </cell>
          <cell r="S72">
            <v>24570.2</v>
          </cell>
          <cell r="T72">
            <v>213774</v>
          </cell>
          <cell r="U72">
            <v>1727.4</v>
          </cell>
          <cell r="V72">
            <v>18463.900000000001</v>
          </cell>
          <cell r="W72">
            <v>213616</v>
          </cell>
          <cell r="X72">
            <v>1717.4</v>
          </cell>
          <cell r="Y72">
            <v>18401.900000000001</v>
          </cell>
          <cell r="Z72">
            <v>213640</v>
          </cell>
          <cell r="AA72">
            <v>3188.8</v>
          </cell>
          <cell r="AB72">
            <v>34113.800000000003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97</v>
          </cell>
          <cell r="R75">
            <v>7921.79</v>
          </cell>
          <cell r="S75">
            <v>84837.370260000011</v>
          </cell>
          <cell r="T75">
            <v>97</v>
          </cell>
          <cell r="U75">
            <v>7335.1360000000004</v>
          </cell>
          <cell r="V75">
            <v>78315.190010000006</v>
          </cell>
          <cell r="W75">
            <v>98</v>
          </cell>
          <cell r="X75">
            <v>7626.2489999999998</v>
          </cell>
          <cell r="Y75">
            <v>81698.165430000008</v>
          </cell>
          <cell r="Z75">
            <v>98</v>
          </cell>
          <cell r="AA75">
            <v>8822.6229999999996</v>
          </cell>
          <cell r="AB75">
            <v>94375.606030000024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335</v>
          </cell>
          <cell r="R76">
            <v>1622.1860000000001</v>
          </cell>
          <cell r="S76">
            <v>17368.196120000001</v>
          </cell>
          <cell r="T76">
            <v>336</v>
          </cell>
          <cell r="U76">
            <v>1481.816</v>
          </cell>
          <cell r="V76">
            <v>15815.99956</v>
          </cell>
          <cell r="W76">
            <v>337</v>
          </cell>
          <cell r="X76">
            <v>1449.9449999999999</v>
          </cell>
          <cell r="Y76">
            <v>15532.276789999994</v>
          </cell>
          <cell r="Z76">
            <v>334</v>
          </cell>
          <cell r="AA76">
            <v>1828.087</v>
          </cell>
          <cell r="AB76">
            <v>19554.531610000002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10003</v>
          </cell>
          <cell r="R77">
            <v>1203.790236</v>
          </cell>
          <cell r="S77">
            <v>12882.853955999999</v>
          </cell>
          <cell r="T77">
            <v>9990</v>
          </cell>
          <cell r="U77">
            <v>946.71057599999995</v>
          </cell>
          <cell r="V77">
            <v>10091.200135999999</v>
          </cell>
          <cell r="W77">
            <v>10068</v>
          </cell>
          <cell r="X77">
            <v>916.96850400000005</v>
          </cell>
          <cell r="Y77">
            <v>9819.8681859999997</v>
          </cell>
          <cell r="Z77">
            <v>10094</v>
          </cell>
          <cell r="AA77">
            <v>1461.8637940000001</v>
          </cell>
          <cell r="AB77">
            <v>15636.430638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104903</v>
          </cell>
          <cell r="R78">
            <v>2330.0477639999999</v>
          </cell>
          <cell r="S78">
            <v>24932.544044000002</v>
          </cell>
          <cell r="T78">
            <v>104845</v>
          </cell>
          <cell r="U78">
            <v>1839.197424</v>
          </cell>
          <cell r="V78">
            <v>19599.687864</v>
          </cell>
          <cell r="W78">
            <v>104744</v>
          </cell>
          <cell r="X78">
            <v>1777.3634959999999</v>
          </cell>
          <cell r="Y78">
            <v>19033.844814</v>
          </cell>
          <cell r="Z78">
            <v>104736</v>
          </cell>
          <cell r="AA78">
            <v>2793.4132060000002</v>
          </cell>
          <cell r="AB78">
            <v>29878.548362000001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71</v>
          </cell>
          <cell r="R81">
            <v>9283</v>
          </cell>
          <cell r="S81">
            <v>99471.168440000009</v>
          </cell>
          <cell r="T81">
            <v>70</v>
          </cell>
          <cell r="U81">
            <v>10329</v>
          </cell>
          <cell r="V81">
            <v>110404.21107999998</v>
          </cell>
          <cell r="W81">
            <v>69</v>
          </cell>
          <cell r="X81">
            <v>8092.5</v>
          </cell>
          <cell r="Y81">
            <v>86708.950630000007</v>
          </cell>
          <cell r="Z81">
            <v>69</v>
          </cell>
          <cell r="AA81">
            <v>10684.1</v>
          </cell>
          <cell r="AB81">
            <v>114298.78032999999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346</v>
          </cell>
          <cell r="R82">
            <v>1247.0999999999999</v>
          </cell>
          <cell r="S82">
            <v>13362.816539999994</v>
          </cell>
          <cell r="T82">
            <v>346</v>
          </cell>
          <cell r="U82">
            <v>1067.7</v>
          </cell>
          <cell r="V82">
            <v>11412.191539999994</v>
          </cell>
          <cell r="W82">
            <v>345</v>
          </cell>
          <cell r="X82">
            <v>1073.9000000000001</v>
          </cell>
          <cell r="Y82">
            <v>11506.788140000001</v>
          </cell>
          <cell r="Z82">
            <v>347</v>
          </cell>
          <cell r="AA82">
            <v>1465.9</v>
          </cell>
          <cell r="AB82">
            <v>15681.819709999992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10392</v>
          </cell>
          <cell r="R83">
            <v>1073.5999999999999</v>
          </cell>
          <cell r="S83">
            <v>11504.2</v>
          </cell>
          <cell r="T83">
            <v>10377</v>
          </cell>
          <cell r="U83">
            <v>808.8</v>
          </cell>
          <cell r="V83">
            <v>8645.1</v>
          </cell>
          <cell r="W83">
            <v>10367</v>
          </cell>
          <cell r="X83">
            <v>804.1</v>
          </cell>
          <cell r="Y83">
            <v>8616.1</v>
          </cell>
          <cell r="Z83">
            <v>10369</v>
          </cell>
          <cell r="AA83">
            <v>1493.1</v>
          </cell>
          <cell r="AB83">
            <v>15972.7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148063</v>
          </cell>
          <cell r="R84">
            <v>2422.5</v>
          </cell>
          <cell r="S84">
            <v>25958.400000000001</v>
          </cell>
          <cell r="T84">
            <v>147972</v>
          </cell>
          <cell r="U84">
            <v>1825</v>
          </cell>
          <cell r="V84">
            <v>19507.2</v>
          </cell>
          <cell r="W84">
            <v>147863</v>
          </cell>
          <cell r="X84">
            <v>1814.5</v>
          </cell>
          <cell r="Y84">
            <v>19441.7</v>
          </cell>
          <cell r="Z84">
            <v>147879</v>
          </cell>
          <cell r="AA84">
            <v>3369</v>
          </cell>
          <cell r="AB84">
            <v>36041.300000000003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184</v>
          </cell>
          <cell r="R3">
            <v>8518.9257183214686</v>
          </cell>
          <cell r="S3">
            <v>90879.952000000005</v>
          </cell>
          <cell r="T3">
            <v>184</v>
          </cell>
          <cell r="U3">
            <v>8321.0154692804535</v>
          </cell>
          <cell r="V3">
            <v>88138.611999999994</v>
          </cell>
          <cell r="W3">
            <v>185</v>
          </cell>
          <cell r="X3">
            <v>7707.2446334299757</v>
          </cell>
          <cell r="Y3">
            <v>82492.856</v>
          </cell>
          <cell r="Z3">
            <v>185</v>
          </cell>
          <cell r="AA3">
            <v>10011.381801364159</v>
          </cell>
          <cell r="AB3">
            <v>107040.15700000001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1618</v>
          </cell>
          <cell r="R4">
            <v>4273.9841119322391</v>
          </cell>
          <cell r="S4">
            <v>45594.786999999997</v>
          </cell>
          <cell r="T4">
            <v>1617</v>
          </cell>
          <cell r="U4">
            <v>3498.1315612597155</v>
          </cell>
          <cell r="V4">
            <v>37053.036</v>
          </cell>
          <cell r="W4">
            <v>1618</v>
          </cell>
          <cell r="X4">
            <v>3291.0322590852484</v>
          </cell>
          <cell r="Y4">
            <v>35224.853000000003</v>
          </cell>
          <cell r="Z4">
            <v>1621</v>
          </cell>
          <cell r="AA4">
            <v>5270.5184245247365</v>
          </cell>
          <cell r="AB4">
            <v>56351.546999999999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38752</v>
          </cell>
          <cell r="R5">
            <v>3225.925359020102</v>
          </cell>
          <cell r="S5">
            <v>34414.114739402648</v>
          </cell>
          <cell r="T5">
            <v>38690</v>
          </cell>
          <cell r="U5">
            <v>2234.3771998096381</v>
          </cell>
          <cell r="V5">
            <v>23667.051216424792</v>
          </cell>
          <cell r="W5">
            <v>38637</v>
          </cell>
          <cell r="X5">
            <v>2141.2613426995154</v>
          </cell>
          <cell r="Y5">
            <v>22918.528319785542</v>
          </cell>
          <cell r="Z5">
            <v>38581</v>
          </cell>
          <cell r="AA5">
            <v>4799.1070721224905</v>
          </cell>
          <cell r="AB5">
            <v>51311.291594076793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388890</v>
          </cell>
          <cell r="R6">
            <v>6288.792684776462</v>
          </cell>
          <cell r="S6">
            <v>67088.729260603039</v>
          </cell>
          <cell r="T6">
            <v>388595</v>
          </cell>
          <cell r="U6">
            <v>4510.9233172954291</v>
          </cell>
          <cell r="V6">
            <v>47780.765572120668</v>
          </cell>
          <cell r="W6">
            <v>388292</v>
          </cell>
          <cell r="X6">
            <v>4314.2137625396481</v>
          </cell>
          <cell r="Y6">
            <v>46176.255239222686</v>
          </cell>
          <cell r="Z6">
            <v>388109</v>
          </cell>
          <cell r="AA6">
            <v>7506.9758830532292</v>
          </cell>
          <cell r="AB6">
            <v>80263.395405905772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1530.1121139517404</v>
          </cell>
          <cell r="S7">
            <v>16323.209000000001</v>
          </cell>
          <cell r="U7">
            <v>1477.5184957398856</v>
          </cell>
          <cell r="V7">
            <v>15650.224999999999</v>
          </cell>
          <cell r="X7">
            <v>1454.428002246382</v>
          </cell>
          <cell r="Y7">
            <v>15567.155999999999</v>
          </cell>
          <cell r="AA7">
            <v>1671.2877941485024</v>
          </cell>
          <cell r="AB7">
            <v>17869.144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1258</v>
          </cell>
          <cell r="R10">
            <v>203089.2</v>
          </cell>
          <cell r="S10">
            <v>2176176.7706899997</v>
          </cell>
          <cell r="T10">
            <v>1256</v>
          </cell>
          <cell r="U10">
            <v>195422.00000000003</v>
          </cell>
          <cell r="V10">
            <v>2088826.9225899999</v>
          </cell>
          <cell r="W10">
            <v>1258</v>
          </cell>
          <cell r="X10">
            <v>183113.70000000004</v>
          </cell>
          <cell r="Y10">
            <v>1962014.9512200002</v>
          </cell>
          <cell r="Z10">
            <v>1259</v>
          </cell>
          <cell r="AA10">
            <v>204193.60000000003</v>
          </cell>
          <cell r="AB10">
            <v>2184459.6263899994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4784</v>
          </cell>
          <cell r="R11">
            <v>22525.7</v>
          </cell>
          <cell r="S11">
            <v>241370.83517999994</v>
          </cell>
          <cell r="T11">
            <v>4794</v>
          </cell>
          <cell r="U11">
            <v>19960.900000000001</v>
          </cell>
          <cell r="V11">
            <v>213357.07875400005</v>
          </cell>
          <cell r="W11">
            <v>4802</v>
          </cell>
          <cell r="X11">
            <v>19092.799999999996</v>
          </cell>
          <cell r="Y11">
            <v>204573.04100999996</v>
          </cell>
          <cell r="Z11">
            <v>4813</v>
          </cell>
          <cell r="AA11">
            <v>26264.000000000004</v>
          </cell>
          <cell r="AB11">
            <v>280971.42028000008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150637</v>
          </cell>
          <cell r="R12">
            <v>14220.021000000001</v>
          </cell>
          <cell r="S12">
            <v>152371.057</v>
          </cell>
          <cell r="T12">
            <v>150422</v>
          </cell>
          <cell r="U12">
            <v>10712.357</v>
          </cell>
          <cell r="V12">
            <v>114503.387</v>
          </cell>
          <cell r="W12">
            <v>150268</v>
          </cell>
          <cell r="X12">
            <v>10650.573</v>
          </cell>
          <cell r="Y12">
            <v>114119.065</v>
          </cell>
          <cell r="Z12">
            <v>150304</v>
          </cell>
          <cell r="AA12">
            <v>19775.297999999999</v>
          </cell>
          <cell r="AB12">
            <v>211555.62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2142935</v>
          </cell>
          <cell r="R13">
            <v>30905.3</v>
          </cell>
          <cell r="S13">
            <v>331161.59999999998</v>
          </cell>
          <cell r="T13">
            <v>2141614</v>
          </cell>
          <cell r="U13">
            <v>23282.400000000001</v>
          </cell>
          <cell r="V13">
            <v>248860.80000000002</v>
          </cell>
          <cell r="W13">
            <v>2140036</v>
          </cell>
          <cell r="X13">
            <v>23147.999999999996</v>
          </cell>
          <cell r="Y13">
            <v>248025</v>
          </cell>
          <cell r="Z13">
            <v>2140276</v>
          </cell>
          <cell r="AA13">
            <v>42979.499999999993</v>
          </cell>
          <cell r="AB13">
            <v>459793.10000000003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4767.9374904102497</v>
          </cell>
          <cell r="S14">
            <v>51090.190040000009</v>
          </cell>
          <cell r="U14">
            <v>4620.9010045189034</v>
          </cell>
          <cell r="V14">
            <v>49391.892090000001</v>
          </cell>
          <cell r="X14">
            <v>4303.170593724396</v>
          </cell>
          <cell r="Y14">
            <v>46107.337049999995</v>
          </cell>
          <cell r="AA14">
            <v>4810.9253754124938</v>
          </cell>
          <cell r="AB14">
            <v>51467.173599999995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135</v>
          </cell>
          <cell r="R17">
            <v>8663.1280000000006</v>
          </cell>
          <cell r="S17">
            <v>92405.349999999991</v>
          </cell>
          <cell r="T17">
            <v>135</v>
          </cell>
          <cell r="U17">
            <v>8973.5589999999993</v>
          </cell>
          <cell r="V17">
            <v>95050.401999999987</v>
          </cell>
          <cell r="W17">
            <v>135</v>
          </cell>
          <cell r="X17">
            <v>7709.8630000000003</v>
          </cell>
          <cell r="Y17">
            <v>82472.417000000001</v>
          </cell>
          <cell r="Z17">
            <v>135</v>
          </cell>
          <cell r="AA17">
            <v>9277.3590000000022</v>
          </cell>
          <cell r="AB17">
            <v>99165.764999999985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350</v>
          </cell>
          <cell r="R18">
            <v>636.755</v>
          </cell>
          <cell r="S18">
            <v>6792.2650000000003</v>
          </cell>
          <cell r="T18">
            <v>351</v>
          </cell>
          <cell r="U18">
            <v>584.60500000000002</v>
          </cell>
          <cell r="V18">
            <v>6192.5010000000002</v>
          </cell>
          <cell r="W18">
            <v>352</v>
          </cell>
          <cell r="X18">
            <v>510.13</v>
          </cell>
          <cell r="Y18">
            <v>5456.8609999999999</v>
          </cell>
          <cell r="Z18">
            <v>352</v>
          </cell>
          <cell r="AA18">
            <v>802.60500000000002</v>
          </cell>
          <cell r="AB18">
            <v>8579.0450000000001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7990</v>
          </cell>
          <cell r="R19">
            <v>878.09528799999998</v>
          </cell>
          <cell r="S19">
            <v>9368.2267840000004</v>
          </cell>
          <cell r="T19">
            <v>7992</v>
          </cell>
          <cell r="U19">
            <v>634.73477200000002</v>
          </cell>
          <cell r="V19">
            <v>6730.9096119999995</v>
          </cell>
          <cell r="W19">
            <v>9186</v>
          </cell>
          <cell r="X19">
            <v>689.49827800000003</v>
          </cell>
          <cell r="Y19">
            <v>7377.2869380000002</v>
          </cell>
          <cell r="Z19">
            <v>9388</v>
          </cell>
          <cell r="AA19">
            <v>1367.924908</v>
          </cell>
          <cell r="AB19">
            <v>14619.810436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105662</v>
          </cell>
          <cell r="R20">
            <v>1848.9087119999999</v>
          </cell>
          <cell r="S20">
            <v>19725.645216000001</v>
          </cell>
          <cell r="T20">
            <v>105669</v>
          </cell>
          <cell r="U20">
            <v>1336.4912279999999</v>
          </cell>
          <cell r="V20">
            <v>14172.536388</v>
          </cell>
          <cell r="W20">
            <v>104048</v>
          </cell>
          <cell r="X20">
            <v>1451.800722</v>
          </cell>
          <cell r="Y20">
            <v>15533.542062</v>
          </cell>
          <cell r="Z20">
            <v>103846</v>
          </cell>
          <cell r="AA20">
            <v>2880.289092</v>
          </cell>
          <cell r="AB20">
            <v>30783.327563999999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229.93600000000001</v>
          </cell>
          <cell r="S21">
            <v>2452.7690000000002</v>
          </cell>
          <cell r="U21">
            <v>217.96600000000001</v>
          </cell>
          <cell r="V21">
            <v>2309.1600000000003</v>
          </cell>
          <cell r="X21">
            <v>194.804</v>
          </cell>
          <cell r="Y21">
            <v>2083.9189999999999</v>
          </cell>
          <cell r="AA21">
            <v>271.03899999999999</v>
          </cell>
          <cell r="AB21">
            <v>2897.0250000000001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1295.6179999999999</v>
          </cell>
          <cell r="S26">
            <v>13876.04</v>
          </cell>
          <cell r="T26">
            <v>11</v>
          </cell>
          <cell r="U26">
            <v>11138.316000000001</v>
          </cell>
          <cell r="V26">
            <v>118962.973</v>
          </cell>
          <cell r="W26">
            <v>11</v>
          </cell>
          <cell r="X26">
            <v>6515.7879999999996</v>
          </cell>
          <cell r="Y26">
            <v>69774.789999999994</v>
          </cell>
          <cell r="Z26">
            <v>11</v>
          </cell>
          <cell r="AA26">
            <v>9688.48</v>
          </cell>
          <cell r="AB26">
            <v>103537.02899999999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159</v>
          </cell>
          <cell r="R32">
            <v>895</v>
          </cell>
          <cell r="S32">
            <v>9379</v>
          </cell>
          <cell r="T32">
            <v>159</v>
          </cell>
          <cell r="U32">
            <v>869</v>
          </cell>
          <cell r="V32">
            <v>9111</v>
          </cell>
          <cell r="W32">
            <v>159</v>
          </cell>
          <cell r="X32">
            <v>696</v>
          </cell>
          <cell r="Y32">
            <v>7303</v>
          </cell>
          <cell r="Z32">
            <v>158</v>
          </cell>
          <cell r="AA32">
            <v>857</v>
          </cell>
          <cell r="AB32">
            <v>8970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614.59699999999975</v>
          </cell>
          <cell r="S34">
            <v>6843.0684999999939</v>
          </cell>
          <cell r="U34">
            <v>590.87099999999919</v>
          </cell>
          <cell r="V34">
            <v>6444.9556000000157</v>
          </cell>
          <cell r="X34">
            <v>526.67399999999907</v>
          </cell>
          <cell r="Y34">
            <v>5800.516799999983</v>
          </cell>
          <cell r="AA34">
            <v>533.54999999999745</v>
          </cell>
          <cell r="AB34">
            <v>5923.1469999999681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1593</v>
          </cell>
          <cell r="R36">
            <v>222394.87171832146</v>
          </cell>
          <cell r="S36">
            <v>2382031.1126899999</v>
          </cell>
          <cell r="T36">
            <v>1591</v>
          </cell>
          <cell r="U36">
            <v>224677.89046928048</v>
          </cell>
          <cell r="V36">
            <v>2399603.9095899994</v>
          </cell>
          <cell r="W36">
            <v>1594</v>
          </cell>
          <cell r="X36">
            <v>205693.59563343003</v>
          </cell>
          <cell r="Y36">
            <v>2203553.0142200002</v>
          </cell>
          <cell r="Z36">
            <v>1595</v>
          </cell>
          <cell r="AA36">
            <v>233971.8208013642</v>
          </cell>
          <cell r="AB36">
            <v>2502587.5773899998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6758</v>
          </cell>
          <cell r="R37">
            <v>27487.439111932243</v>
          </cell>
          <cell r="S37">
            <v>294286.88717999996</v>
          </cell>
          <cell r="T37">
            <v>6768</v>
          </cell>
          <cell r="U37">
            <v>24088.636561259718</v>
          </cell>
          <cell r="V37">
            <v>257078.61575400003</v>
          </cell>
          <cell r="W37">
            <v>6778</v>
          </cell>
          <cell r="X37">
            <v>22941.962259085245</v>
          </cell>
          <cell r="Y37">
            <v>245750.75500999996</v>
          </cell>
          <cell r="Z37">
            <v>6792</v>
          </cell>
          <cell r="AA37">
            <v>32392.12342452474</v>
          </cell>
          <cell r="AB37">
            <v>346473.01228000008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197387</v>
          </cell>
          <cell r="R38">
            <v>18340.041647020102</v>
          </cell>
          <cell r="S38">
            <v>196310.39852340263</v>
          </cell>
          <cell r="T38">
            <v>197112</v>
          </cell>
          <cell r="U38">
            <v>13582.468971809638</v>
          </cell>
          <cell r="V38">
            <v>144911.34782842477</v>
          </cell>
          <cell r="W38">
            <v>198099</v>
          </cell>
          <cell r="X38">
            <v>13482.332620699515</v>
          </cell>
          <cell r="Y38">
            <v>144423.88025778555</v>
          </cell>
          <cell r="Z38">
            <v>198280</v>
          </cell>
          <cell r="AA38">
            <v>25943.329980122489</v>
          </cell>
          <cell r="AB38">
            <v>277500.72203007678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2637627</v>
          </cell>
          <cell r="R39">
            <v>39043.001396776461</v>
          </cell>
          <cell r="S39">
            <v>417975.97447660298</v>
          </cell>
          <cell r="T39">
            <v>2636018</v>
          </cell>
          <cell r="U39">
            <v>29129.81454529543</v>
          </cell>
          <cell r="V39">
            <v>310814.10196012072</v>
          </cell>
          <cell r="W39">
            <v>2632516</v>
          </cell>
          <cell r="X39">
            <v>28914.014484539643</v>
          </cell>
          <cell r="Y39">
            <v>309734.79730122269</v>
          </cell>
          <cell r="Z39">
            <v>2632371</v>
          </cell>
          <cell r="AA39">
            <v>53366.764975053222</v>
          </cell>
          <cell r="AB39">
            <v>570839.8229699058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7142.5826043619891</v>
          </cell>
          <cell r="S40">
            <v>76709.236539999998</v>
          </cell>
          <cell r="U40">
            <v>6907.2565002587889</v>
          </cell>
          <cell r="V40">
            <v>73796.232690000019</v>
          </cell>
          <cell r="X40">
            <v>6479.0765959707769</v>
          </cell>
          <cell r="Y40">
            <v>69558.928849999967</v>
          </cell>
          <cell r="AA40">
            <v>7286.8021695609932</v>
          </cell>
          <cell r="AB40">
            <v>78156.489599999957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1295.6179999999999</v>
          </cell>
          <cell r="S56">
            <v>13876.04</v>
          </cell>
          <cell r="T56">
            <v>11</v>
          </cell>
          <cell r="U56">
            <v>11138.316000000001</v>
          </cell>
          <cell r="V56">
            <v>118962.973</v>
          </cell>
          <cell r="W56">
            <v>11</v>
          </cell>
          <cell r="X56">
            <v>6515.7879999999996</v>
          </cell>
          <cell r="Y56">
            <v>69774.789999999994</v>
          </cell>
          <cell r="Z56">
            <v>11</v>
          </cell>
          <cell r="AA56">
            <v>9688.48</v>
          </cell>
          <cell r="AB56">
            <v>103537.02899999999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2843195</v>
          </cell>
          <cell r="R57">
            <v>305074.7358740503</v>
          </cell>
          <cell r="S57">
            <v>3267349.3328700056</v>
          </cell>
          <cell r="T57">
            <v>2841319</v>
          </cell>
          <cell r="U57">
            <v>279471.49454764527</v>
          </cell>
          <cell r="V57">
            <v>2984334.0021325452</v>
          </cell>
          <cell r="W57">
            <v>2838817</v>
          </cell>
          <cell r="X57">
            <v>263820.11699775443</v>
          </cell>
          <cell r="Y57">
            <v>2826384.6567890081</v>
          </cell>
          <cell r="Z57">
            <v>2838869</v>
          </cell>
          <cell r="AA57">
            <v>335128.55918106466</v>
          </cell>
          <cell r="AB57">
            <v>3584894.1056699823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159</v>
          </cell>
          <cell r="R58">
            <v>895</v>
          </cell>
          <cell r="S58">
            <v>9379</v>
          </cell>
          <cell r="T58">
            <v>159</v>
          </cell>
          <cell r="U58">
            <v>869</v>
          </cell>
          <cell r="V58">
            <v>9111</v>
          </cell>
          <cell r="W58">
            <v>159</v>
          </cell>
          <cell r="X58">
            <v>696</v>
          </cell>
          <cell r="Y58">
            <v>7303</v>
          </cell>
          <cell r="Z58">
            <v>158</v>
          </cell>
          <cell r="AA58">
            <v>857</v>
          </cell>
          <cell r="AB58">
            <v>8970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6527.9856043619893</v>
          </cell>
          <cell r="S60">
            <v>69866.168040000004</v>
          </cell>
          <cell r="U60">
            <v>6316.3855002587898</v>
          </cell>
          <cell r="V60">
            <v>67351.277090000003</v>
          </cell>
          <cell r="X60">
            <v>5952.4025959707778</v>
          </cell>
          <cell r="Y60">
            <v>63758.412049999992</v>
          </cell>
          <cell r="AA60">
            <v>6753.2521695609958</v>
          </cell>
          <cell r="AB60">
            <v>72233.342599999989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/>
          <cell r="E1" t="str">
            <v>Únor</v>
          </cell>
          <cell r="F1"/>
          <cell r="G1" t="str">
            <v>Březen</v>
          </cell>
          <cell r="H1"/>
          <cell r="I1" t="str">
            <v>Duben</v>
          </cell>
          <cell r="J1"/>
          <cell r="K1" t="str">
            <v>Květen</v>
          </cell>
          <cell r="L1"/>
          <cell r="M1" t="str">
            <v>Červen</v>
          </cell>
          <cell r="N1"/>
          <cell r="O1" t="str">
            <v>Červenec</v>
          </cell>
          <cell r="P1"/>
          <cell r="Q1" t="str">
            <v>Srpen</v>
          </cell>
          <cell r="R1"/>
          <cell r="S1" t="str">
            <v>Září</v>
          </cell>
          <cell r="T1"/>
          <cell r="U1" t="str">
            <v>Říjen</v>
          </cell>
          <cell r="V1"/>
          <cell r="W1" t="str">
            <v>Listopad</v>
          </cell>
          <cell r="X1"/>
          <cell r="Y1" t="str">
            <v>Prosinec</v>
          </cell>
          <cell r="Z1"/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11504.555</v>
          </cell>
          <cell r="N9">
            <v>125819.90699999999</v>
          </cell>
          <cell r="O9">
            <v>11642.264999999999</v>
          </cell>
          <cell r="P9">
            <v>127381.30194400001</v>
          </cell>
          <cell r="Q9">
            <v>11732.060000000001</v>
          </cell>
          <cell r="R9">
            <v>128204.65484999999</v>
          </cell>
          <cell r="S9">
            <v>11080.218000000001</v>
          </cell>
          <cell r="T9">
            <v>120551.7721038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912</v>
          </cell>
          <cell r="N10">
            <v>9557</v>
          </cell>
          <cell r="O10">
            <v>884</v>
          </cell>
          <cell r="P10">
            <v>9267</v>
          </cell>
          <cell r="Q10">
            <v>713</v>
          </cell>
          <cell r="R10">
            <v>7487</v>
          </cell>
          <cell r="S10">
            <v>877</v>
          </cell>
          <cell r="T10">
            <v>9185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13031.152</v>
          </cell>
          <cell r="N17">
            <v>142219.9755</v>
          </cell>
          <cell r="O17">
            <v>13117.135999999999</v>
          </cell>
          <cell r="P17">
            <v>143093.25754400002</v>
          </cell>
          <cell r="Q17">
            <v>12971.734</v>
          </cell>
          <cell r="R17">
            <v>141492.17164999997</v>
          </cell>
          <cell r="S17">
            <v>12490.767999999998</v>
          </cell>
          <cell r="T17">
            <v>135659.91910379997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614.59699999999975</v>
          </cell>
          <cell r="N22">
            <v>6843.0684999999939</v>
          </cell>
          <cell r="O22">
            <v>590.87099999999919</v>
          </cell>
          <cell r="P22">
            <v>6444.9556000000157</v>
          </cell>
          <cell r="Q22">
            <v>526.67399999999907</v>
          </cell>
          <cell r="R22">
            <v>5800.516799999983</v>
          </cell>
          <cell r="S22">
            <v>533.54999999999745</v>
          </cell>
          <cell r="T22">
            <v>5923.1469999999681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>
            <v>18.2</v>
          </cell>
        </row>
        <row r="169">
          <cell r="AF169">
            <v>19.600000000000001</v>
          </cell>
        </row>
        <row r="170">
          <cell r="AF170">
            <v>22.1</v>
          </cell>
        </row>
        <row r="171">
          <cell r="AF171">
            <v>18.100000000000001</v>
          </cell>
        </row>
        <row r="172">
          <cell r="AF172">
            <v>19</v>
          </cell>
        </row>
        <row r="173">
          <cell r="AF173">
            <v>22</v>
          </cell>
        </row>
        <row r="174">
          <cell r="AF174">
            <v>21.1</v>
          </cell>
        </row>
        <row r="175">
          <cell r="AF175">
            <v>17.3</v>
          </cell>
        </row>
        <row r="176">
          <cell r="AF176">
            <v>13.5</v>
          </cell>
        </row>
        <row r="177">
          <cell r="AF177">
            <v>15.6</v>
          </cell>
        </row>
        <row r="178">
          <cell r="AF178">
            <v>18.399999999999999</v>
          </cell>
        </row>
        <row r="179">
          <cell r="AF179">
            <v>22.2</v>
          </cell>
        </row>
        <row r="180">
          <cell r="AF180">
            <v>21</v>
          </cell>
        </row>
        <row r="181">
          <cell r="AF181">
            <v>19.5</v>
          </cell>
        </row>
        <row r="182">
          <cell r="AF182">
            <v>16</v>
          </cell>
        </row>
        <row r="183">
          <cell r="AF183">
            <v>14.5</v>
          </cell>
        </row>
        <row r="184">
          <cell r="AF184">
            <v>12.3</v>
          </cell>
        </row>
        <row r="185">
          <cell r="AF185">
            <v>15</v>
          </cell>
        </row>
        <row r="186">
          <cell r="AF186">
            <v>11.9</v>
          </cell>
        </row>
        <row r="187">
          <cell r="AF187">
            <v>11</v>
          </cell>
        </row>
        <row r="188">
          <cell r="AF188">
            <v>12.5</v>
          </cell>
        </row>
        <row r="189">
          <cell r="AF189">
            <v>13.7</v>
          </cell>
        </row>
        <row r="190">
          <cell r="AF190">
            <v>12</v>
          </cell>
        </row>
        <row r="191">
          <cell r="AF191">
            <v>12.8</v>
          </cell>
        </row>
        <row r="192">
          <cell r="AF192">
            <v>15.3</v>
          </cell>
        </row>
        <row r="193">
          <cell r="AF193">
            <v>18.2</v>
          </cell>
        </row>
        <row r="194">
          <cell r="AF194">
            <v>17.2</v>
          </cell>
        </row>
        <row r="195">
          <cell r="AF195">
            <v>16.2</v>
          </cell>
        </row>
        <row r="196">
          <cell r="AF196">
            <v>16.8</v>
          </cell>
        </row>
        <row r="197">
          <cell r="AF197">
            <v>19.399999999999999</v>
          </cell>
        </row>
        <row r="198">
          <cell r="AF198">
            <v>21.2</v>
          </cell>
        </row>
        <row r="199">
          <cell r="AF199">
            <v>22</v>
          </cell>
        </row>
        <row r="200">
          <cell r="AF200">
            <v>23.3</v>
          </cell>
        </row>
        <row r="201">
          <cell r="AF201">
            <v>24.5</v>
          </cell>
        </row>
        <row r="202">
          <cell r="AF202">
            <v>25.8</v>
          </cell>
        </row>
        <row r="203">
          <cell r="AF203">
            <v>24</v>
          </cell>
        </row>
        <row r="204">
          <cell r="AF204">
            <v>26.5</v>
          </cell>
        </row>
        <row r="205">
          <cell r="AF205">
            <v>18.600000000000001</v>
          </cell>
        </row>
        <row r="206">
          <cell r="AF206">
            <v>14.5</v>
          </cell>
        </row>
        <row r="207">
          <cell r="AF207">
            <v>14.6</v>
          </cell>
        </row>
        <row r="208">
          <cell r="AF208">
            <v>17.7</v>
          </cell>
        </row>
        <row r="209">
          <cell r="AF209">
            <v>22</v>
          </cell>
        </row>
        <row r="210">
          <cell r="AF210">
            <v>17.399999999999999</v>
          </cell>
        </row>
        <row r="211">
          <cell r="AF211">
            <v>18.600000000000001</v>
          </cell>
        </row>
        <row r="212">
          <cell r="AF212">
            <v>19.2</v>
          </cell>
        </row>
        <row r="213">
          <cell r="AF213">
            <v>22.7</v>
          </cell>
        </row>
        <row r="214">
          <cell r="AF214">
            <v>24.1</v>
          </cell>
        </row>
        <row r="215">
          <cell r="AF215">
            <v>25.1</v>
          </cell>
        </row>
        <row r="216">
          <cell r="AF216">
            <v>25.4</v>
          </cell>
        </row>
        <row r="217">
          <cell r="AF217">
            <v>22.2</v>
          </cell>
        </row>
        <row r="218">
          <cell r="AF218">
            <v>25.3</v>
          </cell>
        </row>
        <row r="219">
          <cell r="AF219">
            <v>27.4</v>
          </cell>
        </row>
        <row r="220">
          <cell r="AF220">
            <v>22.3</v>
          </cell>
        </row>
        <row r="221">
          <cell r="AF221">
            <v>23.8</v>
          </cell>
        </row>
        <row r="222">
          <cell r="AF222">
            <v>22</v>
          </cell>
        </row>
        <row r="223">
          <cell r="AF223">
            <v>16.600000000000001</v>
          </cell>
        </row>
        <row r="224">
          <cell r="AF224">
            <v>15.6</v>
          </cell>
        </row>
        <row r="225">
          <cell r="AF225">
            <v>18.399999999999999</v>
          </cell>
        </row>
        <row r="226">
          <cell r="AF226">
            <v>15.7</v>
          </cell>
        </row>
        <row r="227">
          <cell r="AF227">
            <v>15.6</v>
          </cell>
        </row>
        <row r="228">
          <cell r="AF228">
            <v>16.3</v>
          </cell>
        </row>
        <row r="229">
          <cell r="AF229">
            <v>19.899999999999999</v>
          </cell>
        </row>
        <row r="230">
          <cell r="AF230">
            <v>18.7</v>
          </cell>
        </row>
        <row r="231">
          <cell r="AF231">
            <v>21.8</v>
          </cell>
        </row>
        <row r="232">
          <cell r="AF232">
            <v>24.3</v>
          </cell>
        </row>
        <row r="233">
          <cell r="AF233">
            <v>24</v>
          </cell>
        </row>
        <row r="234">
          <cell r="AF234">
            <v>25.8</v>
          </cell>
        </row>
        <row r="235">
          <cell r="AF235">
            <v>27.2</v>
          </cell>
        </row>
        <row r="236">
          <cell r="AF236">
            <v>27.4</v>
          </cell>
        </row>
        <row r="237">
          <cell r="AF237">
            <v>26</v>
          </cell>
        </row>
        <row r="238">
          <cell r="AF238">
            <v>25.8</v>
          </cell>
        </row>
        <row r="239">
          <cell r="AF239">
            <v>25.5</v>
          </cell>
        </row>
        <row r="240">
          <cell r="AF240">
            <v>25.1</v>
          </cell>
        </row>
        <row r="241">
          <cell r="AF241">
            <v>26.6</v>
          </cell>
        </row>
        <row r="242">
          <cell r="AF242">
            <v>27</v>
          </cell>
        </row>
        <row r="243">
          <cell r="AF243">
            <v>26.7</v>
          </cell>
        </row>
        <row r="244">
          <cell r="AF244">
            <v>20.6</v>
          </cell>
        </row>
        <row r="245">
          <cell r="AF245">
            <v>17.2</v>
          </cell>
        </row>
        <row r="246">
          <cell r="AF246">
            <v>14.8</v>
          </cell>
        </row>
        <row r="247">
          <cell r="AF247">
            <v>15.6</v>
          </cell>
        </row>
        <row r="248">
          <cell r="AF248">
            <v>16.100000000000001</v>
          </cell>
        </row>
        <row r="249">
          <cell r="AF249">
            <v>16.600000000000001</v>
          </cell>
        </row>
        <row r="250">
          <cell r="AF250">
            <v>16</v>
          </cell>
        </row>
        <row r="251">
          <cell r="AF251">
            <v>17.3</v>
          </cell>
        </row>
        <row r="252">
          <cell r="AF252">
            <v>20.399999999999999</v>
          </cell>
        </row>
        <row r="253">
          <cell r="AF253">
            <v>15.6</v>
          </cell>
        </row>
        <row r="254">
          <cell r="AF254">
            <v>17.3</v>
          </cell>
        </row>
        <row r="255">
          <cell r="AF255">
            <v>20.9</v>
          </cell>
        </row>
        <row r="256">
          <cell r="AF256">
            <v>22.9</v>
          </cell>
        </row>
        <row r="257">
          <cell r="AF257">
            <v>23.4</v>
          </cell>
        </row>
        <row r="258">
          <cell r="AF258">
            <v>24.3</v>
          </cell>
        </row>
        <row r="259">
          <cell r="AF259">
            <v>24.4</v>
          </cell>
        </row>
        <row r="260">
          <cell r="AF260">
            <v>23.5</v>
          </cell>
        </row>
        <row r="261">
          <cell r="AF261">
            <v>15.6</v>
          </cell>
        </row>
        <row r="262">
          <cell r="AF262">
            <v>16</v>
          </cell>
        </row>
        <row r="263">
          <cell r="AF263">
            <v>15</v>
          </cell>
        </row>
        <row r="264">
          <cell r="AF264">
            <v>13.8</v>
          </cell>
        </row>
        <row r="265">
          <cell r="AF265">
            <v>11.8</v>
          </cell>
        </row>
        <row r="266">
          <cell r="AF266">
            <v>10.6</v>
          </cell>
        </row>
        <row r="267">
          <cell r="AF267">
            <v>11.1</v>
          </cell>
        </row>
        <row r="268">
          <cell r="AF268">
            <v>9.9</v>
          </cell>
        </row>
        <row r="269">
          <cell r="AF269">
            <v>11.5</v>
          </cell>
        </row>
        <row r="270">
          <cell r="AF270">
            <v>13</v>
          </cell>
        </row>
        <row r="271">
          <cell r="AF271">
            <v>14.9</v>
          </cell>
        </row>
        <row r="272">
          <cell r="AF272">
            <v>17.399999999999999</v>
          </cell>
        </row>
        <row r="273">
          <cell r="AF273">
            <v>15.5</v>
          </cell>
        </row>
        <row r="274">
          <cell r="AF274">
            <v>15.6</v>
          </cell>
        </row>
        <row r="275">
          <cell r="AF275">
            <v>18.7</v>
          </cell>
        </row>
        <row r="276">
          <cell r="AF276">
            <v>20.6</v>
          </cell>
        </row>
        <row r="277">
          <cell r="AF277">
            <v>14.1</v>
          </cell>
        </row>
        <row r="278">
          <cell r="AF278">
            <v>14.7</v>
          </cell>
        </row>
        <row r="279">
          <cell r="AF279">
            <v>11.4</v>
          </cell>
        </row>
        <row r="280">
          <cell r="AF280">
            <v>10.3</v>
          </cell>
        </row>
        <row r="281">
          <cell r="AF281">
            <v>13.1</v>
          </cell>
        </row>
        <row r="282">
          <cell r="AF282">
            <v>11.5</v>
          </cell>
        </row>
        <row r="283">
          <cell r="AF283">
            <v>12.6</v>
          </cell>
        </row>
        <row r="284">
          <cell r="AF284">
            <v>13.7</v>
          </cell>
        </row>
        <row r="285">
          <cell r="AF285">
            <v>12.1</v>
          </cell>
        </row>
        <row r="286">
          <cell r="AF286">
            <v>11</v>
          </cell>
        </row>
        <row r="287">
          <cell r="AF287">
            <v>10</v>
          </cell>
        </row>
        <row r="288">
          <cell r="AF288">
            <v>9.1999999999999993</v>
          </cell>
        </row>
        <row r="289">
          <cell r="AF289">
            <v>7.6</v>
          </cell>
        </row>
      </sheetData>
      <sheetData sheetId="1" refreshError="1"/>
      <sheetData sheetId="2" refreshError="1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>
            <v>15.96</v>
          </cell>
          <cell r="AD3">
            <v>21.8</v>
          </cell>
          <cell r="AE3">
            <v>9.8000000000000007</v>
          </cell>
          <cell r="AF3">
            <v>15.399999999999993</v>
          </cell>
          <cell r="AG3">
            <v>0.5600000000000076</v>
          </cell>
          <cell r="AH3">
            <v>20.309677419354838</v>
          </cell>
          <cell r="AI3">
            <v>27</v>
          </cell>
          <cell r="AJ3">
            <v>13.4</v>
          </cell>
          <cell r="AK3">
            <v>17.199999999999996</v>
          </cell>
          <cell r="AL3">
            <v>3.109677419354842</v>
          </cell>
          <cell r="AM3">
            <v>20.890322580645162</v>
          </cell>
          <cell r="AN3">
            <v>26.5</v>
          </cell>
          <cell r="AO3">
            <v>14.1</v>
          </cell>
          <cell r="AP3">
            <v>16.899999999999991</v>
          </cell>
          <cell r="AQ3">
            <v>3.9903225806451701</v>
          </cell>
          <cell r="AR3">
            <v>12.48</v>
          </cell>
          <cell r="AS3">
            <v>23.9</v>
          </cell>
          <cell r="AT3">
            <v>7.1</v>
          </cell>
          <cell r="AU3">
            <v>12.600000000000003</v>
          </cell>
          <cell r="AV3">
            <v>-0.12000000000000277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10.565567765567771</v>
          </cell>
          <cell r="BM3">
            <v>27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>
            <v>18.576666666666664</v>
          </cell>
          <cell r="AD4">
            <v>25</v>
          </cell>
          <cell r="AE4">
            <v>13</v>
          </cell>
          <cell r="AF4">
            <v>17</v>
          </cell>
          <cell r="AG4">
            <v>1.5766666666666644</v>
          </cell>
          <cell r="AH4">
            <v>22.409677419354839</v>
          </cell>
          <cell r="AI4">
            <v>28.9</v>
          </cell>
          <cell r="AJ4">
            <v>15.9</v>
          </cell>
          <cell r="AK4">
            <v>18.899999999999988</v>
          </cell>
          <cell r="AL4">
            <v>3.5096774193548512</v>
          </cell>
          <cell r="AM4">
            <v>22.945161290322584</v>
          </cell>
          <cell r="AN4">
            <v>28.7</v>
          </cell>
          <cell r="AO4">
            <v>15.7</v>
          </cell>
          <cell r="AP4">
            <v>18.7</v>
          </cell>
          <cell r="AQ4">
            <v>4.245161290322585</v>
          </cell>
          <cell r="AR4">
            <v>15.356666666666666</v>
          </cell>
          <cell r="AS4">
            <v>24.1</v>
          </cell>
          <cell r="AT4">
            <v>9.4</v>
          </cell>
          <cell r="AU4">
            <v>14.199999999999992</v>
          </cell>
          <cell r="AV4">
            <v>1.1566666666666734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12.507326007326006</v>
          </cell>
          <cell r="BM4">
            <v>28.9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>
            <v>14.506666666666664</v>
          </cell>
          <cell r="AD5">
            <v>22.8</v>
          </cell>
          <cell r="AE5">
            <v>8.6999999999999993</v>
          </cell>
          <cell r="AF5">
            <v>14.600000000000007</v>
          </cell>
          <cell r="AG5">
            <v>-9.3333333333342594E-2</v>
          </cell>
          <cell r="AH5">
            <v>18.341935483870976</v>
          </cell>
          <cell r="AI5">
            <v>25.3</v>
          </cell>
          <cell r="AJ5">
            <v>11.2</v>
          </cell>
          <cell r="AK5">
            <v>16.5</v>
          </cell>
          <cell r="AL5">
            <v>1.8419354838709765</v>
          </cell>
          <cell r="AM5">
            <v>19.422580645161286</v>
          </cell>
          <cell r="AN5">
            <v>25.5</v>
          </cell>
          <cell r="AO5">
            <v>12.2</v>
          </cell>
          <cell r="AP5">
            <v>16.100000000000009</v>
          </cell>
          <cell r="AQ5">
            <v>3.3225806451612776</v>
          </cell>
          <cell r="AR5">
            <v>10.866666666666667</v>
          </cell>
          <cell r="AS5">
            <v>18.8</v>
          </cell>
          <cell r="AT5">
            <v>7.2</v>
          </cell>
          <cell r="AU5">
            <v>11.800000000000006</v>
          </cell>
          <cell r="AV5">
            <v>-0.9333333333333389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9.2860805860805886</v>
          </cell>
          <cell r="BM5">
            <v>25.5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>
            <v>15.796666666666663</v>
          </cell>
          <cell r="AD6">
            <v>21.7</v>
          </cell>
          <cell r="AE6">
            <v>10.6</v>
          </cell>
          <cell r="AF6">
            <v>15.199999999999992</v>
          </cell>
          <cell r="AG6">
            <v>0.59666666666667112</v>
          </cell>
          <cell r="AH6">
            <v>19.783870967741937</v>
          </cell>
          <cell r="AI6">
            <v>26.8</v>
          </cell>
          <cell r="AJ6">
            <v>12.1</v>
          </cell>
          <cell r="AK6">
            <v>16.899999999999991</v>
          </cell>
          <cell r="AL6">
            <v>2.8838709677419452</v>
          </cell>
          <cell r="AM6">
            <v>21.56451612903226</v>
          </cell>
          <cell r="AN6">
            <v>27.7</v>
          </cell>
          <cell r="AO6">
            <v>14.8</v>
          </cell>
          <cell r="AP6">
            <v>16.899999999999991</v>
          </cell>
          <cell r="AQ6">
            <v>4.6645161290322683</v>
          </cell>
          <cell r="AR6">
            <v>13.473333333333334</v>
          </cell>
          <cell r="AS6">
            <v>24.1</v>
          </cell>
          <cell r="AT6">
            <v>7.5</v>
          </cell>
          <cell r="AU6">
            <v>12.600000000000003</v>
          </cell>
          <cell r="AV6">
            <v>0.8733333333333313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10.753113553113558</v>
          </cell>
          <cell r="BM6">
            <v>27.7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>
            <v>15.219999999999997</v>
          </cell>
          <cell r="AD7">
            <v>22.4</v>
          </cell>
          <cell r="AE7">
            <v>10</v>
          </cell>
          <cell r="AF7">
            <v>15.100000000000007</v>
          </cell>
          <cell r="AG7">
            <v>0.11999999999999034</v>
          </cell>
          <cell r="AH7">
            <v>19.216129032258067</v>
          </cell>
          <cell r="AI7">
            <v>26</v>
          </cell>
          <cell r="AJ7">
            <v>11.6</v>
          </cell>
          <cell r="AK7">
            <v>16.600000000000009</v>
          </cell>
          <cell r="AL7">
            <v>2.6161290322580584</v>
          </cell>
          <cell r="AM7">
            <v>21.07096774193549</v>
          </cell>
          <cell r="AN7">
            <v>28.1</v>
          </cell>
          <cell r="AO7">
            <v>14.3</v>
          </cell>
          <cell r="AP7">
            <v>16.300000000000008</v>
          </cell>
          <cell r="AQ7">
            <v>4.7709677419354826</v>
          </cell>
          <cell r="AR7">
            <v>12.686666666666666</v>
          </cell>
          <cell r="AS7">
            <v>22.7</v>
          </cell>
          <cell r="AT7">
            <v>5.7</v>
          </cell>
          <cell r="AU7">
            <v>12.300000000000006</v>
          </cell>
          <cell r="AV7">
            <v>0.38666666666665961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10.44688644688644</v>
          </cell>
          <cell r="BM7">
            <v>28.1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>
            <v>16.75333333333333</v>
          </cell>
          <cell r="AD8">
            <v>24.6</v>
          </cell>
          <cell r="AE8">
            <v>11.5</v>
          </cell>
          <cell r="AF8">
            <v>15.5</v>
          </cell>
          <cell r="AG8">
            <v>1.2533333333333303</v>
          </cell>
          <cell r="AH8">
            <v>20.677419354838712</v>
          </cell>
          <cell r="AI8">
            <v>26.6</v>
          </cell>
          <cell r="AJ8">
            <v>13.5</v>
          </cell>
          <cell r="AK8">
            <v>17.199999999999996</v>
          </cell>
          <cell r="AL8">
            <v>3.477419354838716</v>
          </cell>
          <cell r="AM8">
            <v>21.551612903225806</v>
          </cell>
          <cell r="AN8">
            <v>28</v>
          </cell>
          <cell r="AO8">
            <v>15.4</v>
          </cell>
          <cell r="AP8">
            <v>16.899999999999991</v>
          </cell>
          <cell r="AQ8">
            <v>4.6516129032258142</v>
          </cell>
          <cell r="AR8">
            <v>14.50333333333333</v>
          </cell>
          <cell r="AS8">
            <v>25.3</v>
          </cell>
          <cell r="AT8">
            <v>7.5</v>
          </cell>
          <cell r="AU8">
            <v>12.699999999999994</v>
          </cell>
          <cell r="AV8">
            <v>1.8033333333333363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11.286080586080587</v>
          </cell>
          <cell r="BM8">
            <v>28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>
            <v>16.343333333333337</v>
          </cell>
          <cell r="AD9">
            <v>22.5</v>
          </cell>
          <cell r="AE9">
            <v>11.3</v>
          </cell>
          <cell r="AF9">
            <v>14.899999999999993</v>
          </cell>
          <cell r="AG9">
            <v>1.443333333333344</v>
          </cell>
          <cell r="AH9">
            <v>20.264516129032259</v>
          </cell>
          <cell r="AI9">
            <v>26.6</v>
          </cell>
          <cell r="AJ9">
            <v>13.1</v>
          </cell>
          <cell r="AK9">
            <v>16.699999999999996</v>
          </cell>
          <cell r="AL9">
            <v>3.5645161290322633</v>
          </cell>
          <cell r="AM9">
            <v>21.680645161290318</v>
          </cell>
          <cell r="AN9">
            <v>27.4</v>
          </cell>
          <cell r="AO9">
            <v>15.9</v>
          </cell>
          <cell r="AP9">
            <v>16.600000000000009</v>
          </cell>
          <cell r="AQ9">
            <v>5.0806451612903096</v>
          </cell>
          <cell r="AR9">
            <v>14.01</v>
          </cell>
          <cell r="AS9">
            <v>23.8</v>
          </cell>
          <cell r="AT9">
            <v>7.6</v>
          </cell>
          <cell r="AU9">
            <v>12.5</v>
          </cell>
          <cell r="AV9">
            <v>1.5099999999999998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10.953846153846147</v>
          </cell>
          <cell r="BM9">
            <v>27.4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>
            <v>16.233333333333334</v>
          </cell>
          <cell r="AD10">
            <v>22.4</v>
          </cell>
          <cell r="AE10">
            <v>10.199999999999999</v>
          </cell>
          <cell r="AF10">
            <v>16.199999999999992</v>
          </cell>
          <cell r="AG10">
            <v>3.3333333333342097E-2</v>
          </cell>
          <cell r="AH10">
            <v>20.280645161290323</v>
          </cell>
          <cell r="AI10">
            <v>27</v>
          </cell>
          <cell r="AJ10">
            <v>12.8</v>
          </cell>
          <cell r="AK10">
            <v>17.7</v>
          </cell>
          <cell r="AL10">
            <v>2.5806451612903238</v>
          </cell>
          <cell r="AM10">
            <v>21.490322580645163</v>
          </cell>
          <cell r="AN10">
            <v>27.6</v>
          </cell>
          <cell r="AO10">
            <v>14.3</v>
          </cell>
          <cell r="AP10">
            <v>17.5</v>
          </cell>
          <cell r="AQ10">
            <v>3.990322580645163</v>
          </cell>
          <cell r="AR10">
            <v>13.446666666666667</v>
          </cell>
          <cell r="AS10">
            <v>23.8</v>
          </cell>
          <cell r="AT10">
            <v>6.6</v>
          </cell>
          <cell r="AU10">
            <v>13.300000000000008</v>
          </cell>
          <cell r="AV10">
            <v>0.1466666666666594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10.902197802197801</v>
          </cell>
          <cell r="BM10">
            <v>27.6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>
            <v>16.226666666666667</v>
          </cell>
          <cell r="AD11">
            <v>23.3</v>
          </cell>
          <cell r="AE11">
            <v>10.7</v>
          </cell>
          <cell r="AF11">
            <v>15.600000000000007</v>
          </cell>
          <cell r="AG11">
            <v>0.62666666666665982</v>
          </cell>
          <cell r="AH11">
            <v>20.835483870967746</v>
          </cell>
          <cell r="AI11">
            <v>27</v>
          </cell>
          <cell r="AJ11">
            <v>14.1</v>
          </cell>
          <cell r="AK11">
            <v>17.5</v>
          </cell>
          <cell r="AL11">
            <v>3.3354838709677459</v>
          </cell>
          <cell r="AM11">
            <v>21.590322580645168</v>
          </cell>
          <cell r="AN11">
            <v>27.8</v>
          </cell>
          <cell r="AO11">
            <v>14.9</v>
          </cell>
          <cell r="AP11">
            <v>17</v>
          </cell>
          <cell r="AQ11">
            <v>4.590322580645168</v>
          </cell>
          <cell r="AR11">
            <v>12.940000000000003</v>
          </cell>
          <cell r="AS11">
            <v>22.6</v>
          </cell>
          <cell r="AT11">
            <v>8.8000000000000007</v>
          </cell>
          <cell r="AU11">
            <v>12.800000000000006</v>
          </cell>
          <cell r="AV11">
            <v>0.13999999999999702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11.023809523809526</v>
          </cell>
          <cell r="BM11">
            <v>27.8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>
            <v>17.789999999999996</v>
          </cell>
          <cell r="AD12">
            <v>25.4</v>
          </cell>
          <cell r="AE12">
            <v>11.5</v>
          </cell>
          <cell r="AF12">
            <v>16.800000000000008</v>
          </cell>
          <cell r="AG12">
            <v>0.98999999999998778</v>
          </cell>
          <cell r="AH12">
            <v>22.396774193548382</v>
          </cell>
          <cell r="AI12">
            <v>30</v>
          </cell>
          <cell r="AJ12">
            <v>16</v>
          </cell>
          <cell r="AK12">
            <v>18.7</v>
          </cell>
          <cell r="AL12">
            <v>3.6967741935483822</v>
          </cell>
          <cell r="AM12">
            <v>23.674193548387098</v>
          </cell>
          <cell r="AN12">
            <v>30.8</v>
          </cell>
          <cell r="AO12">
            <v>15.6</v>
          </cell>
          <cell r="AP12">
            <v>18.5</v>
          </cell>
          <cell r="AQ12">
            <v>5.1741935483870982</v>
          </cell>
          <cell r="AR12">
            <v>15.140000000000004</v>
          </cell>
          <cell r="AS12">
            <v>25.1</v>
          </cell>
          <cell r="AT12">
            <v>10.199999999999999</v>
          </cell>
          <cell r="AU12">
            <v>14.100000000000005</v>
          </cell>
          <cell r="AV12">
            <v>1.0399999999999991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12.785714285714292</v>
          </cell>
          <cell r="BM12">
            <v>30.8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>
            <v>16.649999999999999</v>
          </cell>
          <cell r="AD13">
            <v>22.9</v>
          </cell>
          <cell r="AE13">
            <v>11.5</v>
          </cell>
          <cell r="AF13">
            <v>16.600000000000009</v>
          </cell>
          <cell r="AG13">
            <v>4.9999999999990052E-2</v>
          </cell>
          <cell r="AH13">
            <v>20.916129032258066</v>
          </cell>
          <cell r="AI13">
            <v>28.2</v>
          </cell>
          <cell r="AJ13">
            <v>14.4</v>
          </cell>
          <cell r="AK13">
            <v>18.3</v>
          </cell>
          <cell r="AL13">
            <v>2.6161290322580655</v>
          </cell>
          <cell r="AM13">
            <v>22.151612903225807</v>
          </cell>
          <cell r="AN13">
            <v>29.4</v>
          </cell>
          <cell r="AO13">
            <v>14.7</v>
          </cell>
          <cell r="AP13">
            <v>18.100000000000009</v>
          </cell>
          <cell r="AQ13">
            <v>4.0516129032257986</v>
          </cell>
          <cell r="AR13">
            <v>13.836666666666666</v>
          </cell>
          <cell r="AS13">
            <v>24.4</v>
          </cell>
          <cell r="AT13">
            <v>8</v>
          </cell>
          <cell r="AU13">
            <v>13.699999999999992</v>
          </cell>
          <cell r="AV13">
            <v>0.13666666666667382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11.576190476190483</v>
          </cell>
          <cell r="BM13">
            <v>29.4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>
            <v>16.096666666666671</v>
          </cell>
          <cell r="AD14">
            <v>23.5</v>
          </cell>
          <cell r="AE14">
            <v>11.3</v>
          </cell>
          <cell r="AF14">
            <v>16.699999999999992</v>
          </cell>
          <cell r="AG14">
            <v>-0.60333333333332106</v>
          </cell>
          <cell r="AH14">
            <v>20.225806451612907</v>
          </cell>
          <cell r="AI14">
            <v>26.2</v>
          </cell>
          <cell r="AJ14">
            <v>13.6</v>
          </cell>
          <cell r="AK14">
            <v>18.5</v>
          </cell>
          <cell r="AL14">
            <v>1.7258064516129075</v>
          </cell>
          <cell r="AM14">
            <v>21.635483870967743</v>
          </cell>
          <cell r="AN14">
            <v>28.2</v>
          </cell>
          <cell r="AO14">
            <v>14.9</v>
          </cell>
          <cell r="AP14">
            <v>18</v>
          </cell>
          <cell r="AQ14">
            <v>3.6354838709677431</v>
          </cell>
          <cell r="AR14">
            <v>13.263333333333334</v>
          </cell>
          <cell r="AS14">
            <v>22.6</v>
          </cell>
          <cell r="AT14">
            <v>8.1999999999999993</v>
          </cell>
          <cell r="AU14">
            <v>13.699999999999992</v>
          </cell>
          <cell r="AV14">
            <v>-0.43666666666665854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11.274725274725276</v>
          </cell>
          <cell r="BM14">
            <v>28.2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>
            <v>16.24666666666667</v>
          </cell>
          <cell r="AD15">
            <v>22.2</v>
          </cell>
          <cell r="AE15">
            <v>9.9</v>
          </cell>
          <cell r="AF15">
            <v>15.199999999999992</v>
          </cell>
          <cell r="AG15">
            <v>1.0466666666666775</v>
          </cell>
          <cell r="AH15">
            <v>20.380645161290328</v>
          </cell>
          <cell r="AI15">
            <v>27.6</v>
          </cell>
          <cell r="AJ15">
            <v>13.1</v>
          </cell>
          <cell r="AK15">
            <v>17</v>
          </cell>
          <cell r="AL15">
            <v>3.3806451612903281</v>
          </cell>
          <cell r="AM15">
            <v>21.112903225806448</v>
          </cell>
          <cell r="AN15">
            <v>27.7</v>
          </cell>
          <cell r="AO15">
            <v>13.7</v>
          </cell>
          <cell r="AP15">
            <v>16.699999999999996</v>
          </cell>
          <cell r="AQ15">
            <v>4.4129032258064527</v>
          </cell>
          <cell r="AR15">
            <v>12.82666666666667</v>
          </cell>
          <cell r="AS15">
            <v>24.2</v>
          </cell>
          <cell r="AT15">
            <v>6.7</v>
          </cell>
          <cell r="AU15">
            <v>12.399999999999997</v>
          </cell>
          <cell r="AV15">
            <v>0.42666666666667297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10.55897435897435</v>
          </cell>
          <cell r="BM15">
            <v>27.7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>
            <v>16.886666666666663</v>
          </cell>
          <cell r="AD16">
            <v>23.5</v>
          </cell>
          <cell r="AE16">
            <v>11.1</v>
          </cell>
          <cell r="AF16">
            <v>16.5</v>
          </cell>
          <cell r="AG16">
            <v>0.38666666666666316</v>
          </cell>
          <cell r="AH16">
            <v>20.63548387096774</v>
          </cell>
          <cell r="AI16">
            <v>26.8</v>
          </cell>
          <cell r="AJ16">
            <v>13.7</v>
          </cell>
          <cell r="AK16">
            <v>18.2</v>
          </cell>
          <cell r="AL16">
            <v>2.4354838709677402</v>
          </cell>
          <cell r="AM16">
            <v>21.422580645161286</v>
          </cell>
          <cell r="AN16">
            <v>26.8</v>
          </cell>
          <cell r="AO16">
            <v>15.4</v>
          </cell>
          <cell r="AP16">
            <v>17.899999999999991</v>
          </cell>
          <cell r="AQ16">
            <v>3.5225806451612947</v>
          </cell>
          <cell r="AR16">
            <v>14.053333333333333</v>
          </cell>
          <cell r="AS16">
            <v>24.6</v>
          </cell>
          <cell r="AT16">
            <v>6.6</v>
          </cell>
          <cell r="AU16">
            <v>13.699999999999992</v>
          </cell>
          <cell r="AV16">
            <v>0.3533333333333406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11.03150183150184</v>
          </cell>
          <cell r="BM16">
            <v>26.8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>
            <v>16.746666666666666</v>
          </cell>
          <cell r="AD17">
            <v>22.2</v>
          </cell>
          <cell r="AE17">
            <v>11</v>
          </cell>
          <cell r="AF17">
            <v>15.81</v>
          </cell>
          <cell r="AG17">
            <v>0.93666666666666565</v>
          </cell>
          <cell r="AH17">
            <v>20.916129032258063</v>
          </cell>
          <cell r="AI17">
            <v>27.4</v>
          </cell>
          <cell r="AJ17">
            <v>14.5</v>
          </cell>
          <cell r="AK17">
            <v>17.525806451612908</v>
          </cell>
          <cell r="AL17">
            <v>3.3903225806451545</v>
          </cell>
          <cell r="AM17">
            <v>21.78064516129032</v>
          </cell>
          <cell r="AN17">
            <v>27.4</v>
          </cell>
          <cell r="AO17">
            <v>14.8</v>
          </cell>
          <cell r="AP17">
            <v>17.219354838709684</v>
          </cell>
          <cell r="AQ17">
            <v>4.5612903225806356</v>
          </cell>
          <cell r="AR17">
            <v>13.526666666666667</v>
          </cell>
          <cell r="AS17">
            <v>23.5</v>
          </cell>
          <cell r="AT17">
            <v>7.6</v>
          </cell>
          <cell r="AU17">
            <v>13.010000000000002</v>
          </cell>
          <cell r="AV17">
            <v>0.51666666666666572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11.188278388278389</v>
          </cell>
          <cell r="BM17">
            <v>27.4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17.34</v>
          </cell>
          <cell r="AD21">
            <v>23.1</v>
          </cell>
          <cell r="AE21">
            <v>11.9</v>
          </cell>
          <cell r="AF21">
            <v>16.800000000000008</v>
          </cell>
          <cell r="AG21">
            <v>0.53999999999999204</v>
          </cell>
          <cell r="AH21">
            <v>21.9</v>
          </cell>
          <cell r="AI21">
            <v>28.5</v>
          </cell>
          <cell r="AJ21">
            <v>14.6</v>
          </cell>
          <cell r="AK21">
            <v>18.7</v>
          </cell>
          <cell r="AL21">
            <v>3.1999999999999993</v>
          </cell>
          <cell r="AM21">
            <v>23.054838709677423</v>
          </cell>
          <cell r="AN21">
            <v>30.5</v>
          </cell>
          <cell r="AO21">
            <v>14.9</v>
          </cell>
          <cell r="AP21">
            <v>18.5</v>
          </cell>
          <cell r="AQ21">
            <v>4.5548387096774228</v>
          </cell>
          <cell r="AR21">
            <v>14.2</v>
          </cell>
          <cell r="AS21">
            <v>24.5</v>
          </cell>
          <cell r="AT21">
            <v>8.4</v>
          </cell>
          <cell r="AU21">
            <v>14.100000000000005</v>
          </cell>
          <cell r="AV21">
            <v>9.9999999999994316E-2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9.081967213114746</v>
          </cell>
          <cell r="BM21">
            <v>30.5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>
            <v>16.729999999999997</v>
          </cell>
          <cell r="AD22">
            <v>22.216666666666669</v>
          </cell>
          <cell r="AE22">
            <v>11.200000000000001</v>
          </cell>
          <cell r="AF22">
            <v>15.800000000000008</v>
          </cell>
          <cell r="AG22">
            <v>0.92999999999998906</v>
          </cell>
          <cell r="AH22">
            <v>20.8994623655914</v>
          </cell>
          <cell r="AI22">
            <v>27.316666666666674</v>
          </cell>
          <cell r="AJ22">
            <v>14.566666666666665</v>
          </cell>
          <cell r="AK22">
            <v>17.583333333333329</v>
          </cell>
          <cell r="AL22">
            <v>3.3161290322580719</v>
          </cell>
          <cell r="AM22">
            <v>21.795698924731187</v>
          </cell>
          <cell r="AN22">
            <v>27.433333333333326</v>
          </cell>
          <cell r="AO22">
            <v>14.899999999999999</v>
          </cell>
          <cell r="AP22">
            <v>17.31666666666667</v>
          </cell>
          <cell r="AQ22">
            <v>4.4790322580645174</v>
          </cell>
          <cell r="AR22">
            <v>13.571111111111115</v>
          </cell>
          <cell r="AS22">
            <v>23.333333333333332</v>
          </cell>
          <cell r="AT22">
            <v>7.6166666666666663</v>
          </cell>
          <cell r="AU22">
            <v>13.033333333333342</v>
          </cell>
          <cell r="AV22">
            <v>0.53777777777777303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16.190000000000001</v>
          </cell>
          <cell r="AD23">
            <v>22</v>
          </cell>
          <cell r="AE23">
            <v>10</v>
          </cell>
          <cell r="AF23">
            <v>15.300000000000008</v>
          </cell>
          <cell r="AG23">
            <v>0.88999999999999346</v>
          </cell>
          <cell r="AH23">
            <v>20.499999999999993</v>
          </cell>
          <cell r="AI23">
            <v>27.5</v>
          </cell>
          <cell r="AJ23">
            <v>13.3</v>
          </cell>
          <cell r="AK23">
            <v>17.100000000000009</v>
          </cell>
          <cell r="AL23">
            <v>3.3999999999999844</v>
          </cell>
          <cell r="AM23">
            <v>21.183870967741935</v>
          </cell>
          <cell r="AN23">
            <v>27.4</v>
          </cell>
          <cell r="AO23">
            <v>14</v>
          </cell>
          <cell r="AP23">
            <v>16.800000000000004</v>
          </cell>
          <cell r="AQ23">
            <v>4.383870967741931</v>
          </cell>
          <cell r="AR23">
            <v>12.703333333333331</v>
          </cell>
          <cell r="AS23">
            <v>24.3</v>
          </cell>
          <cell r="AT23">
            <v>6.9</v>
          </cell>
          <cell r="AU23">
            <v>12.5</v>
          </cell>
          <cell r="AV23">
            <v>0.20333333333333137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7.9224043715846983</v>
          </cell>
          <cell r="BM23">
            <v>27.5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>
            <v>16.746666666666666</v>
          </cell>
          <cell r="AD24">
            <v>22.2</v>
          </cell>
          <cell r="AE24">
            <v>11</v>
          </cell>
          <cell r="AF24">
            <v>15.81</v>
          </cell>
          <cell r="AG24">
            <v>0.93666666666666565</v>
          </cell>
          <cell r="AH24">
            <v>20.916129032258063</v>
          </cell>
          <cell r="AI24">
            <v>27.4</v>
          </cell>
          <cell r="AJ24">
            <v>14.5</v>
          </cell>
          <cell r="AK24">
            <v>17.525806451612908</v>
          </cell>
          <cell r="AL24">
            <v>3.3903225806451545</v>
          </cell>
          <cell r="AM24">
            <v>21.78064516129032</v>
          </cell>
          <cell r="AN24">
            <v>27.4</v>
          </cell>
          <cell r="AO24">
            <v>14.8</v>
          </cell>
          <cell r="AP24">
            <v>17.219354838709684</v>
          </cell>
          <cell r="AQ24">
            <v>4.5612903225806356</v>
          </cell>
          <cell r="AR24">
            <v>13.526666666666667</v>
          </cell>
          <cell r="AS24">
            <v>23.5</v>
          </cell>
          <cell r="AT24">
            <v>7.6</v>
          </cell>
          <cell r="AU24">
            <v>13.010000000000002</v>
          </cell>
          <cell r="AV24">
            <v>0.51666666666666572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11.188278388278389</v>
          </cell>
          <cell r="BM24">
            <v>27.4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>
            <v>16.746666666666666</v>
          </cell>
          <cell r="AD25">
            <v>22.2</v>
          </cell>
          <cell r="AE25">
            <v>11</v>
          </cell>
          <cell r="AF25">
            <v>15.81</v>
          </cell>
          <cell r="AG25">
            <v>0.93666666666666565</v>
          </cell>
          <cell r="AH25">
            <v>20.916129032258063</v>
          </cell>
          <cell r="AI25">
            <v>27.4</v>
          </cell>
          <cell r="AJ25">
            <v>14.5</v>
          </cell>
          <cell r="AK25">
            <v>17.525806451612908</v>
          </cell>
          <cell r="AL25">
            <v>3.3903225806451545</v>
          </cell>
          <cell r="AM25">
            <v>21.78064516129032</v>
          </cell>
          <cell r="AN25">
            <v>27.4</v>
          </cell>
          <cell r="AO25">
            <v>14.8</v>
          </cell>
          <cell r="AP25">
            <v>17.219354838709684</v>
          </cell>
          <cell r="AQ25">
            <v>4.5612903225806356</v>
          </cell>
          <cell r="AR25">
            <v>13.526666666666667</v>
          </cell>
          <cell r="AS25">
            <v>23.5</v>
          </cell>
          <cell r="AT25">
            <v>7.6</v>
          </cell>
          <cell r="AU25">
            <v>13.010000000000002</v>
          </cell>
          <cell r="AV25">
            <v>0.51666666666666572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11.188278388278389</v>
          </cell>
          <cell r="BM25">
            <v>27.4</v>
          </cell>
        </row>
      </sheetData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11138553.848757228</v>
          </cell>
          <cell r="E170">
            <v>119293560.28333333</v>
          </cell>
        </row>
        <row r="171">
          <cell r="A171">
            <v>42157</v>
          </cell>
          <cell r="B171" t="str">
            <v>úterý</v>
          </cell>
          <cell r="D171">
            <v>11003023.012763271</v>
          </cell>
          <cell r="E171">
            <v>117842110.28333333</v>
          </cell>
        </row>
        <row r="172">
          <cell r="A172">
            <v>42158</v>
          </cell>
          <cell r="B172" t="str">
            <v>středa</v>
          </cell>
          <cell r="D172">
            <v>10573388.433417818</v>
          </cell>
          <cell r="E172">
            <v>113242292.28333333</v>
          </cell>
        </row>
        <row r="173">
          <cell r="A173">
            <v>42159</v>
          </cell>
          <cell r="B173" t="str">
            <v>čtvrtek</v>
          </cell>
          <cell r="D173">
            <v>10746849.39979727</v>
          </cell>
          <cell r="E173">
            <v>115100258.28333333</v>
          </cell>
        </row>
        <row r="174">
          <cell r="A174">
            <v>42160</v>
          </cell>
          <cell r="B174" t="str">
            <v>pátek</v>
          </cell>
          <cell r="D174">
            <v>10160940.166784341</v>
          </cell>
          <cell r="E174">
            <v>108835255.28333333</v>
          </cell>
        </row>
        <row r="175">
          <cell r="A175">
            <v>42161</v>
          </cell>
          <cell r="B175" t="str">
            <v>sobota</v>
          </cell>
          <cell r="D175">
            <v>8219274.3342292747</v>
          </cell>
          <cell r="E175">
            <v>88054718.283333331</v>
          </cell>
        </row>
        <row r="176">
          <cell r="A176">
            <v>42162</v>
          </cell>
          <cell r="B176" t="str">
            <v>neděle</v>
          </cell>
          <cell r="D176">
            <v>8781833.4472753126</v>
          </cell>
          <cell r="E176">
            <v>94073827.283333331</v>
          </cell>
        </row>
        <row r="177">
          <cell r="A177">
            <v>42163</v>
          </cell>
          <cell r="B177" t="str">
            <v>pondělí</v>
          </cell>
          <cell r="D177">
            <v>10694449.652365083</v>
          </cell>
          <cell r="E177">
            <v>114540000.28333333</v>
          </cell>
        </row>
        <row r="178">
          <cell r="A178">
            <v>42164</v>
          </cell>
          <cell r="B178" t="str">
            <v>úterý</v>
          </cell>
          <cell r="D178">
            <v>11318170.860413257</v>
          </cell>
          <cell r="E178">
            <v>121214341.28333333</v>
          </cell>
        </row>
        <row r="179">
          <cell r="A179">
            <v>42165</v>
          </cell>
          <cell r="B179" t="str">
            <v>středa</v>
          </cell>
          <cell r="D179">
            <v>10856343.232966216</v>
          </cell>
          <cell r="E179">
            <v>116270645.28333333</v>
          </cell>
        </row>
        <row r="180">
          <cell r="A180">
            <v>42166</v>
          </cell>
          <cell r="B180" t="str">
            <v>čtvrtek</v>
          </cell>
          <cell r="D180">
            <v>10592796.184617916</v>
          </cell>
          <cell r="E180">
            <v>113452075.28333333</v>
          </cell>
        </row>
        <row r="181">
          <cell r="A181">
            <v>42167</v>
          </cell>
          <cell r="B181" t="str">
            <v>pátek</v>
          </cell>
          <cell r="D181">
            <v>9757828.3784183618</v>
          </cell>
          <cell r="E181">
            <v>104518934.28333333</v>
          </cell>
        </row>
        <row r="182">
          <cell r="A182">
            <v>42168</v>
          </cell>
          <cell r="B182" t="str">
            <v>sobota</v>
          </cell>
          <cell r="D182">
            <v>8087451.9176162966</v>
          </cell>
          <cell r="E182">
            <v>86645689.283333331</v>
          </cell>
        </row>
        <row r="183">
          <cell r="A183">
            <v>42169</v>
          </cell>
          <cell r="B183" t="str">
            <v>neděle</v>
          </cell>
          <cell r="D183">
            <v>8352723.2431608122</v>
          </cell>
          <cell r="E183">
            <v>89477940.283333331</v>
          </cell>
        </row>
        <row r="184">
          <cell r="A184">
            <v>42170</v>
          </cell>
          <cell r="B184" t="str">
            <v>pondělí</v>
          </cell>
          <cell r="D184">
            <v>10533784.697160702</v>
          </cell>
          <cell r="E184">
            <v>112819467.28333333</v>
          </cell>
        </row>
        <row r="185">
          <cell r="A185">
            <v>42171</v>
          </cell>
          <cell r="B185" t="str">
            <v>úterý</v>
          </cell>
          <cell r="D185">
            <v>11051272.942360116</v>
          </cell>
          <cell r="E185">
            <v>118356498.28333333</v>
          </cell>
        </row>
        <row r="186">
          <cell r="A186">
            <v>42172</v>
          </cell>
          <cell r="B186" t="str">
            <v>středa</v>
          </cell>
          <cell r="D186">
            <v>11171552.968152532</v>
          </cell>
          <cell r="E186">
            <v>119643465.28333333</v>
          </cell>
        </row>
        <row r="187">
          <cell r="A187">
            <v>42173</v>
          </cell>
          <cell r="B187" t="str">
            <v>čtvrtek</v>
          </cell>
          <cell r="D187">
            <v>11287807.611347085</v>
          </cell>
          <cell r="E187">
            <v>120888853.28333333</v>
          </cell>
        </row>
        <row r="188">
          <cell r="A188">
            <v>42174</v>
          </cell>
          <cell r="B188" t="str">
            <v>pátek</v>
          </cell>
          <cell r="D188">
            <v>11221964.926447567</v>
          </cell>
          <cell r="E188">
            <v>120186494.28333333</v>
          </cell>
        </row>
        <row r="189">
          <cell r="A189">
            <v>42175</v>
          </cell>
          <cell r="B189" t="str">
            <v>sobota</v>
          </cell>
          <cell r="D189">
            <v>9632065.7383782621</v>
          </cell>
          <cell r="E189">
            <v>103173459.28333333</v>
          </cell>
        </row>
        <row r="190">
          <cell r="A190">
            <v>42176</v>
          </cell>
          <cell r="B190" t="str">
            <v>neděle</v>
          </cell>
          <cell r="D190">
            <v>10068684.557840833</v>
          </cell>
          <cell r="E190">
            <v>107844232.28333333</v>
          </cell>
        </row>
        <row r="191">
          <cell r="A191">
            <v>42177</v>
          </cell>
          <cell r="B191" t="str">
            <v>pondělí</v>
          </cell>
          <cell r="D191">
            <v>11900793.448201846</v>
          </cell>
          <cell r="E191">
            <v>127436307.28333333</v>
          </cell>
        </row>
        <row r="192">
          <cell r="A192">
            <v>42178</v>
          </cell>
          <cell r="B192" t="str">
            <v>úterý</v>
          </cell>
          <cell r="D192">
            <v>12514668.333493279</v>
          </cell>
          <cell r="E192">
            <v>134005900.28333333</v>
          </cell>
        </row>
        <row r="193">
          <cell r="A193">
            <v>42179</v>
          </cell>
          <cell r="B193" t="str">
            <v>středa</v>
          </cell>
          <cell r="D193">
            <v>12524604.969460772</v>
          </cell>
          <cell r="E193">
            <v>134115328.28333333</v>
          </cell>
        </row>
        <row r="194">
          <cell r="A194">
            <v>42180</v>
          </cell>
          <cell r="B194" t="str">
            <v>čtvrtek</v>
          </cell>
          <cell r="D194">
            <v>11591579.537906712</v>
          </cell>
          <cell r="E194">
            <v>124121030.28333333</v>
          </cell>
        </row>
        <row r="195">
          <cell r="A195">
            <v>42181</v>
          </cell>
          <cell r="B195" t="str">
            <v>pátek</v>
          </cell>
          <cell r="D195">
            <v>10491096.429598115</v>
          </cell>
          <cell r="E195">
            <v>112351368.28333333</v>
          </cell>
        </row>
        <row r="196">
          <cell r="A196">
            <v>42182</v>
          </cell>
          <cell r="B196" t="str">
            <v>sobota</v>
          </cell>
          <cell r="D196">
            <v>8986059.2689411715</v>
          </cell>
          <cell r="E196">
            <v>96240283.283333331</v>
          </cell>
        </row>
        <row r="197">
          <cell r="A197">
            <v>42183</v>
          </cell>
          <cell r="B197" t="str">
            <v>neděle</v>
          </cell>
          <cell r="D197">
            <v>9238850.4465816338</v>
          </cell>
          <cell r="E197">
            <v>98949341.283333331</v>
          </cell>
        </row>
        <row r="198">
          <cell r="A198">
            <v>42184</v>
          </cell>
          <cell r="B198" t="str">
            <v>pondělí</v>
          </cell>
          <cell r="D198">
            <v>11076462.548321208</v>
          </cell>
          <cell r="E198">
            <v>118615257.28333333</v>
          </cell>
        </row>
        <row r="199">
          <cell r="A199">
            <v>42185</v>
          </cell>
          <cell r="B199" t="str">
            <v>úterý</v>
          </cell>
          <cell r="D199">
            <v>10832951.940338289</v>
          </cell>
          <cell r="E199">
            <v>116004681.28333333</v>
          </cell>
        </row>
        <row r="200">
          <cell r="A200">
            <v>42186</v>
          </cell>
          <cell r="B200" t="str">
            <v>středa</v>
          </cell>
          <cell r="D200">
            <v>10568222.416653482</v>
          </cell>
          <cell r="E200">
            <v>112816873.79354839</v>
          </cell>
        </row>
        <row r="201">
          <cell r="A201">
            <v>42187</v>
          </cell>
          <cell r="B201" t="str">
            <v>čtvrtek</v>
          </cell>
          <cell r="D201">
            <v>10252008.199334703</v>
          </cell>
          <cell r="E201">
            <v>109444594.79354839</v>
          </cell>
        </row>
        <row r="202">
          <cell r="A202">
            <v>42188</v>
          </cell>
          <cell r="B202" t="str">
            <v>pátek</v>
          </cell>
          <cell r="D202">
            <v>9458165.9337544721</v>
          </cell>
          <cell r="E202">
            <v>100978112.79354839</v>
          </cell>
        </row>
        <row r="203">
          <cell r="A203">
            <v>42189</v>
          </cell>
          <cell r="B203" t="str">
            <v>sobota</v>
          </cell>
          <cell r="D203">
            <v>7768583.9626013003</v>
          </cell>
          <cell r="E203">
            <v>82964978.79354839</v>
          </cell>
        </row>
        <row r="204">
          <cell r="A204">
            <v>42190</v>
          </cell>
          <cell r="B204" t="str">
            <v>neděle</v>
          </cell>
          <cell r="D204">
            <v>7481519.8200827707</v>
          </cell>
          <cell r="E204">
            <v>79912194.79354839</v>
          </cell>
        </row>
        <row r="205">
          <cell r="A205">
            <v>42191</v>
          </cell>
          <cell r="B205" t="str">
            <v>pondělí</v>
          </cell>
          <cell r="D205">
            <v>8395667.4696080964</v>
          </cell>
          <cell r="E205">
            <v>89666092.79354839</v>
          </cell>
        </row>
        <row r="206">
          <cell r="A206">
            <v>42192</v>
          </cell>
          <cell r="B206" t="str">
            <v>úterý</v>
          </cell>
          <cell r="D206">
            <v>9741007.0359215289</v>
          </cell>
          <cell r="E206">
            <v>104012601.79354839</v>
          </cell>
        </row>
        <row r="207">
          <cell r="A207">
            <v>42193</v>
          </cell>
          <cell r="B207" t="str">
            <v>středa</v>
          </cell>
          <cell r="D207">
            <v>10124209.009856297</v>
          </cell>
          <cell r="E207">
            <v>108099062.79354839</v>
          </cell>
        </row>
        <row r="208">
          <cell r="A208">
            <v>42194</v>
          </cell>
          <cell r="B208" t="str">
            <v>čtvrtek</v>
          </cell>
          <cell r="D208">
            <v>10304019.398838162</v>
          </cell>
          <cell r="E208">
            <v>110009197.79354839</v>
          </cell>
        </row>
        <row r="209">
          <cell r="A209">
            <v>42195</v>
          </cell>
          <cell r="B209" t="str">
            <v>pátek</v>
          </cell>
          <cell r="D209">
            <v>10221858.257142756</v>
          </cell>
          <cell r="E209">
            <v>109139313.79354839</v>
          </cell>
        </row>
        <row r="210">
          <cell r="A210">
            <v>42196</v>
          </cell>
          <cell r="B210" t="str">
            <v>sobota</v>
          </cell>
          <cell r="D210">
            <v>8389403.313241886</v>
          </cell>
          <cell r="E210">
            <v>89597763.79354839</v>
          </cell>
        </row>
        <row r="211">
          <cell r="A211">
            <v>42197</v>
          </cell>
          <cell r="B211" t="str">
            <v>neděle</v>
          </cell>
          <cell r="D211">
            <v>8384355.3337064274</v>
          </cell>
          <cell r="E211">
            <v>89544905.79354839</v>
          </cell>
        </row>
        <row r="212">
          <cell r="A212">
            <v>42198</v>
          </cell>
          <cell r="B212" t="str">
            <v>pondělí</v>
          </cell>
          <cell r="D212">
            <v>10601010.610209597</v>
          </cell>
          <cell r="E212">
            <v>113196256.79354839</v>
          </cell>
        </row>
        <row r="213">
          <cell r="A213">
            <v>42199</v>
          </cell>
          <cell r="B213" t="str">
            <v>úterý</v>
          </cell>
          <cell r="D213">
            <v>10208741.115734896</v>
          </cell>
          <cell r="E213">
            <v>109005003.79354839</v>
          </cell>
        </row>
        <row r="214">
          <cell r="A214">
            <v>42200</v>
          </cell>
          <cell r="B214" t="str">
            <v>středa</v>
          </cell>
          <cell r="D214">
            <v>12924143.254571844</v>
          </cell>
          <cell r="E214">
            <v>138004395.79354838</v>
          </cell>
        </row>
        <row r="215">
          <cell r="A215">
            <v>42201</v>
          </cell>
          <cell r="B215" t="str">
            <v>čtvrtek</v>
          </cell>
          <cell r="D215">
            <v>12551668.019700054</v>
          </cell>
          <cell r="E215">
            <v>134026294.79354839</v>
          </cell>
        </row>
        <row r="216">
          <cell r="A216">
            <v>42202</v>
          </cell>
          <cell r="B216" t="str">
            <v>pátek</v>
          </cell>
          <cell r="D216">
            <v>9299033.943050839</v>
          </cell>
          <cell r="E216">
            <v>99301095.79354839</v>
          </cell>
        </row>
        <row r="217">
          <cell r="A217">
            <v>42203</v>
          </cell>
          <cell r="B217" t="str">
            <v>sobota</v>
          </cell>
          <cell r="D217">
            <v>7695941.6619133828</v>
          </cell>
          <cell r="E217">
            <v>82197463.79354839</v>
          </cell>
        </row>
        <row r="218">
          <cell r="A218">
            <v>42204</v>
          </cell>
          <cell r="B218" t="str">
            <v>neděle</v>
          </cell>
          <cell r="D218">
            <v>8149881.152671868</v>
          </cell>
          <cell r="E218">
            <v>87037400.79354839</v>
          </cell>
        </row>
        <row r="219">
          <cell r="A219">
            <v>42205</v>
          </cell>
          <cell r="B219" t="str">
            <v>pondělí</v>
          </cell>
          <cell r="D219">
            <v>9675335.1346492097</v>
          </cell>
          <cell r="E219">
            <v>103312289.79354839</v>
          </cell>
        </row>
        <row r="220">
          <cell r="A220">
            <v>42206</v>
          </cell>
          <cell r="B220" t="str">
            <v>úterý</v>
          </cell>
          <cell r="D220">
            <v>9662856.9192964919</v>
          </cell>
          <cell r="E220">
            <v>103172150.79354839</v>
          </cell>
        </row>
        <row r="221">
          <cell r="A221">
            <v>42207</v>
          </cell>
          <cell r="B221" t="str">
            <v>středa</v>
          </cell>
          <cell r="D221">
            <v>11966225.353661841</v>
          </cell>
          <cell r="E221">
            <v>127782141.79354839</v>
          </cell>
        </row>
        <row r="222">
          <cell r="A222">
            <v>42208</v>
          </cell>
          <cell r="B222" t="str">
            <v>čtvrtek</v>
          </cell>
          <cell r="D222">
            <v>11939966.236043932</v>
          </cell>
          <cell r="E222">
            <v>127500842.79354839</v>
          </cell>
        </row>
        <row r="223">
          <cell r="A223">
            <v>42209</v>
          </cell>
          <cell r="B223" t="str">
            <v>pátek</v>
          </cell>
          <cell r="D223">
            <v>9572017.1627676971</v>
          </cell>
          <cell r="E223">
            <v>102196500.79354839</v>
          </cell>
        </row>
        <row r="224">
          <cell r="A224">
            <v>42210</v>
          </cell>
          <cell r="B224" t="str">
            <v>sobota</v>
          </cell>
          <cell r="D224">
            <v>8019764.6721725333</v>
          </cell>
          <cell r="E224">
            <v>85640886.79354839</v>
          </cell>
        </row>
        <row r="225">
          <cell r="A225">
            <v>42211</v>
          </cell>
          <cell r="B225" t="str">
            <v>neděle</v>
          </cell>
          <cell r="D225">
            <v>8041607.3970113415</v>
          </cell>
          <cell r="E225">
            <v>85883471.79354839</v>
          </cell>
        </row>
        <row r="226">
          <cell r="A226">
            <v>42212</v>
          </cell>
          <cell r="B226" t="str">
            <v>pondělí</v>
          </cell>
          <cell r="D226">
            <v>9236834.5783925187</v>
          </cell>
          <cell r="E226">
            <v>98634251.79354839</v>
          </cell>
        </row>
        <row r="227">
          <cell r="A227">
            <v>42213</v>
          </cell>
          <cell r="B227" t="str">
            <v>úterý</v>
          </cell>
          <cell r="D227">
            <v>9260484.4650181327</v>
          </cell>
          <cell r="E227">
            <v>98881107.79354839</v>
          </cell>
        </row>
        <row r="228">
          <cell r="A228">
            <v>42214</v>
          </cell>
          <cell r="B228" t="str">
            <v>středa</v>
          </cell>
          <cell r="D228">
            <v>9510997.5120233838</v>
          </cell>
          <cell r="E228">
            <v>101554731.79354839</v>
          </cell>
        </row>
        <row r="229">
          <cell r="A229">
            <v>42215</v>
          </cell>
          <cell r="B229" t="str">
            <v>čtvrtek</v>
          </cell>
          <cell r="D229">
            <v>9960050.0161386244</v>
          </cell>
          <cell r="E229">
            <v>106356164.79354839</v>
          </cell>
        </row>
        <row r="230">
          <cell r="A230">
            <v>42216</v>
          </cell>
          <cell r="B230" t="str">
            <v>pátek</v>
          </cell>
          <cell r="D230">
            <v>9020925.4868354257</v>
          </cell>
          <cell r="E230">
            <v>96336297.79354839</v>
          </cell>
        </row>
        <row r="231">
          <cell r="A231">
            <v>42217</v>
          </cell>
          <cell r="B231" t="str">
            <v>sobota</v>
          </cell>
          <cell r="D231">
            <v>7327477.0439122869</v>
          </cell>
          <cell r="E231">
            <v>78520791.445161283</v>
          </cell>
        </row>
        <row r="232">
          <cell r="A232">
            <v>42218</v>
          </cell>
          <cell r="B232" t="str">
            <v>neděle</v>
          </cell>
          <cell r="D232">
            <v>7359113.3063275181</v>
          </cell>
          <cell r="E232">
            <v>78857878.445161283</v>
          </cell>
        </row>
        <row r="233">
          <cell r="A233">
            <v>42219</v>
          </cell>
          <cell r="B233" t="str">
            <v>pondělí</v>
          </cell>
          <cell r="D233">
            <v>8495702.196904121</v>
          </cell>
          <cell r="E233">
            <v>91017661.445161283</v>
          </cell>
        </row>
        <row r="234">
          <cell r="A234">
            <v>42220</v>
          </cell>
          <cell r="B234" t="str">
            <v>úterý</v>
          </cell>
          <cell r="D234">
            <v>8521598.8993338365</v>
          </cell>
          <cell r="E234">
            <v>91294991.445161283</v>
          </cell>
        </row>
        <row r="235">
          <cell r="A235">
            <v>42221</v>
          </cell>
          <cell r="B235" t="str">
            <v>středa</v>
          </cell>
          <cell r="D235">
            <v>8380447.5972986706</v>
          </cell>
          <cell r="E235">
            <v>89783548.445161283</v>
          </cell>
        </row>
        <row r="236">
          <cell r="A236">
            <v>42222</v>
          </cell>
          <cell r="B236" t="str">
            <v>čtvrtek</v>
          </cell>
          <cell r="D236">
            <v>8779778.8551200628</v>
          </cell>
          <cell r="E236">
            <v>94062871.445161283</v>
          </cell>
        </row>
        <row r="237">
          <cell r="A237">
            <v>42223</v>
          </cell>
          <cell r="B237" t="str">
            <v>pátek</v>
          </cell>
          <cell r="D237">
            <v>7897185.7057177611</v>
          </cell>
          <cell r="E237">
            <v>84614117.445161283</v>
          </cell>
        </row>
        <row r="238">
          <cell r="A238">
            <v>42224</v>
          </cell>
          <cell r="B238" t="str">
            <v>sobota</v>
          </cell>
          <cell r="D238">
            <v>6915634.359770555</v>
          </cell>
          <cell r="E238">
            <v>74112511.445161283</v>
          </cell>
        </row>
        <row r="239">
          <cell r="A239">
            <v>42225</v>
          </cell>
          <cell r="B239" t="str">
            <v>neděle</v>
          </cell>
          <cell r="D239">
            <v>7079743.3898515888</v>
          </cell>
          <cell r="E239">
            <v>75868401.445161283</v>
          </cell>
        </row>
        <row r="240">
          <cell r="A240">
            <v>42226</v>
          </cell>
          <cell r="B240" t="str">
            <v>pondělí</v>
          </cell>
          <cell r="D240">
            <v>8742975.7997753993</v>
          </cell>
          <cell r="E240">
            <v>93663671.445161283</v>
          </cell>
        </row>
        <row r="241">
          <cell r="A241">
            <v>42227</v>
          </cell>
          <cell r="B241" t="str">
            <v>úterý</v>
          </cell>
          <cell r="D241">
            <v>8887377.1330949962</v>
          </cell>
          <cell r="E241">
            <v>95205104.445161283</v>
          </cell>
        </row>
        <row r="242">
          <cell r="A242">
            <v>42228</v>
          </cell>
          <cell r="B242" t="str">
            <v>středa</v>
          </cell>
          <cell r="D242">
            <v>9342068.0524332654</v>
          </cell>
          <cell r="E242">
            <v>100075699.44516128</v>
          </cell>
        </row>
        <row r="243">
          <cell r="A243">
            <v>42229</v>
          </cell>
          <cell r="B243" t="str">
            <v>čtvrtek</v>
          </cell>
          <cell r="D243">
            <v>9022796.3088585846</v>
          </cell>
          <cell r="E243">
            <v>96661179.445161283</v>
          </cell>
        </row>
        <row r="244">
          <cell r="A244">
            <v>42230</v>
          </cell>
          <cell r="B244" t="str">
            <v>pátek</v>
          </cell>
          <cell r="D244">
            <v>8617923.2211657893</v>
          </cell>
          <cell r="E244">
            <v>92324461.445161283</v>
          </cell>
        </row>
        <row r="245">
          <cell r="A245">
            <v>42231</v>
          </cell>
          <cell r="B245" t="str">
            <v>sobota</v>
          </cell>
          <cell r="D245">
            <v>7636726.4902928704</v>
          </cell>
          <cell r="E245">
            <v>81820485.445161283</v>
          </cell>
        </row>
        <row r="246">
          <cell r="A246">
            <v>42232</v>
          </cell>
          <cell r="B246" t="str">
            <v>neděle</v>
          </cell>
          <cell r="D246">
            <v>7650008.0231819721</v>
          </cell>
          <cell r="E246">
            <v>81962248.445161283</v>
          </cell>
        </row>
        <row r="247">
          <cell r="A247">
            <v>42233</v>
          </cell>
          <cell r="B247" t="str">
            <v>pondělí</v>
          </cell>
          <cell r="D247">
            <v>10770115.115200536</v>
          </cell>
          <cell r="E247">
            <v>115376016.44516128</v>
          </cell>
        </row>
        <row r="248">
          <cell r="A248">
            <v>42234</v>
          </cell>
          <cell r="B248" t="str">
            <v>úterý</v>
          </cell>
          <cell r="D248">
            <v>12275837.216732806</v>
          </cell>
          <cell r="E248">
            <v>131514688.44516128</v>
          </cell>
        </row>
        <row r="249">
          <cell r="A249">
            <v>42235</v>
          </cell>
          <cell r="B249" t="str">
            <v>středa</v>
          </cell>
          <cell r="D249">
            <v>10305985.44170101</v>
          </cell>
          <cell r="E249">
            <v>110397618.44516128</v>
          </cell>
        </row>
        <row r="250">
          <cell r="A250">
            <v>42236</v>
          </cell>
          <cell r="B250" t="str">
            <v>čtvrtek</v>
          </cell>
          <cell r="D250">
            <v>10198907.925134305</v>
          </cell>
          <cell r="E250">
            <v>109246945.44516128</v>
          </cell>
        </row>
        <row r="251">
          <cell r="A251">
            <v>42237</v>
          </cell>
          <cell r="B251" t="str">
            <v>pátek</v>
          </cell>
          <cell r="D251">
            <v>9732554.6036450006</v>
          </cell>
          <cell r="E251">
            <v>104260296.44516128</v>
          </cell>
        </row>
        <row r="252">
          <cell r="A252">
            <v>42238</v>
          </cell>
          <cell r="B252" t="str">
            <v>sobota</v>
          </cell>
          <cell r="D252">
            <v>8190610.2744069546</v>
          </cell>
          <cell r="E252">
            <v>87756323.445161283</v>
          </cell>
        </row>
        <row r="253">
          <cell r="A253">
            <v>42239</v>
          </cell>
          <cell r="B253" t="str">
            <v>neděle</v>
          </cell>
          <cell r="D253">
            <v>8276364.8372854218</v>
          </cell>
          <cell r="E253">
            <v>88674462.445161283</v>
          </cell>
        </row>
        <row r="254">
          <cell r="A254">
            <v>42240</v>
          </cell>
          <cell r="B254" t="str">
            <v>pondělí</v>
          </cell>
          <cell r="D254">
            <v>10116631.278412977</v>
          </cell>
          <cell r="E254">
            <v>108369649.44516128</v>
          </cell>
        </row>
        <row r="255">
          <cell r="A255">
            <v>42241</v>
          </cell>
          <cell r="B255" t="str">
            <v>úterý</v>
          </cell>
          <cell r="D255">
            <v>10634514.211604087</v>
          </cell>
          <cell r="E255">
            <v>113904236.44516128</v>
          </cell>
        </row>
        <row r="256">
          <cell r="A256">
            <v>42242</v>
          </cell>
          <cell r="B256" t="str">
            <v>středa</v>
          </cell>
          <cell r="D256">
            <v>10432819.49410752</v>
          </cell>
          <cell r="E256">
            <v>111750551.44516128</v>
          </cell>
        </row>
        <row r="257">
          <cell r="A257">
            <v>42243</v>
          </cell>
          <cell r="B257" t="str">
            <v>čtvrtek</v>
          </cell>
          <cell r="D257">
            <v>10258901.112878878</v>
          </cell>
          <cell r="E257">
            <v>109890086.44516128</v>
          </cell>
        </row>
        <row r="258">
          <cell r="A258">
            <v>42244</v>
          </cell>
          <cell r="B258" t="str">
            <v>pátek</v>
          </cell>
          <cell r="D258">
            <v>9621705.0076232329</v>
          </cell>
          <cell r="E258">
            <v>103070908.44516128</v>
          </cell>
        </row>
        <row r="259">
          <cell r="A259">
            <v>42245</v>
          </cell>
          <cell r="B259" t="str">
            <v>sobota</v>
          </cell>
          <cell r="D259">
            <v>7903413.6158293402</v>
          </cell>
          <cell r="E259">
            <v>84676385.445161283</v>
          </cell>
        </row>
        <row r="260">
          <cell r="A260">
            <v>42246</v>
          </cell>
          <cell r="B260" t="str">
            <v>neděle</v>
          </cell>
          <cell r="D260">
            <v>8052427.5904776817</v>
          </cell>
          <cell r="E260">
            <v>86274856.445161283</v>
          </cell>
        </row>
        <row r="261">
          <cell r="A261">
            <v>42247</v>
          </cell>
          <cell r="B261" t="str">
            <v>pondělí</v>
          </cell>
          <cell r="D261">
            <v>10083864.108825881</v>
          </cell>
          <cell r="E261">
            <v>108011872.44516128</v>
          </cell>
        </row>
        <row r="262">
          <cell r="A262">
            <v>42248</v>
          </cell>
          <cell r="B262" t="str">
            <v>úterý</v>
          </cell>
          <cell r="D262">
            <v>9700744.526776636</v>
          </cell>
          <cell r="E262">
            <v>103779624.23333333</v>
          </cell>
        </row>
        <row r="263">
          <cell r="A263">
            <v>42249</v>
          </cell>
          <cell r="B263" t="str">
            <v>středa</v>
          </cell>
          <cell r="D263">
            <v>10351424.075733302</v>
          </cell>
          <cell r="E263">
            <v>110737717.23333333</v>
          </cell>
        </row>
        <row r="264">
          <cell r="A264">
            <v>42250</v>
          </cell>
          <cell r="B264" t="str">
            <v>čtvrtek</v>
          </cell>
          <cell r="D264">
            <v>10675088.543805985</v>
          </cell>
          <cell r="E264">
            <v>114203010.23333333</v>
          </cell>
        </row>
        <row r="265">
          <cell r="A265">
            <v>42251</v>
          </cell>
          <cell r="B265" t="str">
            <v>pátek</v>
          </cell>
          <cell r="D265">
            <v>11294699.83214782</v>
          </cell>
          <cell r="E265">
            <v>120836142.23333333</v>
          </cell>
        </row>
        <row r="266">
          <cell r="A266">
            <v>42252</v>
          </cell>
          <cell r="B266" t="str">
            <v>sobota</v>
          </cell>
          <cell r="D266">
            <v>8197073.0704195527</v>
          </cell>
          <cell r="E266">
            <v>87702114.233333334</v>
          </cell>
        </row>
        <row r="267">
          <cell r="A267">
            <v>42253</v>
          </cell>
          <cell r="B267" t="str">
            <v>neděle</v>
          </cell>
          <cell r="D267">
            <v>9233695.8503371123</v>
          </cell>
          <cell r="E267">
            <v>98784873.233333334</v>
          </cell>
        </row>
        <row r="268">
          <cell r="A268">
            <v>42254</v>
          </cell>
          <cell r="B268" t="str">
            <v>pondělí</v>
          </cell>
          <cell r="D268">
            <v>11597554.488210991</v>
          </cell>
          <cell r="E268">
            <v>124056583.23333333</v>
          </cell>
        </row>
        <row r="269">
          <cell r="A269">
            <v>42255</v>
          </cell>
          <cell r="B269" t="str">
            <v>úterý</v>
          </cell>
          <cell r="D269">
            <v>11402041.969316421</v>
          </cell>
          <cell r="E269">
            <v>121968882.23333333</v>
          </cell>
        </row>
        <row r="270">
          <cell r="A270">
            <v>42256</v>
          </cell>
          <cell r="B270" t="str">
            <v>středa</v>
          </cell>
          <cell r="D270">
            <v>12222584.744863942</v>
          </cell>
          <cell r="E270">
            <v>130742767.23333333</v>
          </cell>
        </row>
        <row r="271">
          <cell r="A271">
            <v>42257</v>
          </cell>
          <cell r="B271" t="str">
            <v>čtvrtek</v>
          </cell>
          <cell r="D271">
            <v>12198425.235856466</v>
          </cell>
          <cell r="E271">
            <v>130479901.23333333</v>
          </cell>
        </row>
        <row r="272">
          <cell r="A272">
            <v>42258</v>
          </cell>
          <cell r="B272" t="str">
            <v>pátek</v>
          </cell>
          <cell r="D272">
            <v>14667928.928492054</v>
          </cell>
          <cell r="E272">
            <v>156843518.23333332</v>
          </cell>
        </row>
        <row r="273">
          <cell r="A273">
            <v>42259</v>
          </cell>
          <cell r="B273" t="str">
            <v>sobota</v>
          </cell>
          <cell r="D273">
            <v>9435503.6584976222</v>
          </cell>
          <cell r="E273">
            <v>100944445.23333333</v>
          </cell>
        </row>
        <row r="274">
          <cell r="A274">
            <v>42260</v>
          </cell>
          <cell r="B274" t="str">
            <v>neděle</v>
          </cell>
          <cell r="D274">
            <v>9349136.0221922826</v>
          </cell>
          <cell r="E274">
            <v>100021997.23333333</v>
          </cell>
        </row>
        <row r="275">
          <cell r="A275">
            <v>42261</v>
          </cell>
          <cell r="B275" t="str">
            <v>pondělí</v>
          </cell>
          <cell r="D275">
            <v>11066872.022129368</v>
          </cell>
          <cell r="E275">
            <v>118384232.23333333</v>
          </cell>
        </row>
        <row r="276">
          <cell r="A276">
            <v>42262</v>
          </cell>
          <cell r="B276" t="str">
            <v>úterý</v>
          </cell>
          <cell r="D276">
            <v>11139047.681373635</v>
          </cell>
          <cell r="E276">
            <v>119154624.23333333</v>
          </cell>
        </row>
        <row r="277">
          <cell r="A277">
            <v>42263</v>
          </cell>
          <cell r="B277" t="str">
            <v>středa</v>
          </cell>
          <cell r="D277">
            <v>10696748.561847132</v>
          </cell>
          <cell r="E277">
            <v>114425285.23333333</v>
          </cell>
        </row>
        <row r="278">
          <cell r="A278">
            <v>42264</v>
          </cell>
          <cell r="B278" t="str">
            <v>čtvrtek</v>
          </cell>
          <cell r="D278">
            <v>10390631.158546532</v>
          </cell>
          <cell r="E278">
            <v>111159526.23333333</v>
          </cell>
        </row>
        <row r="279">
          <cell r="A279">
            <v>42265</v>
          </cell>
          <cell r="B279" t="str">
            <v>pátek</v>
          </cell>
          <cell r="D279">
            <v>10437855.721536366</v>
          </cell>
          <cell r="E279">
            <v>111665402.23333333</v>
          </cell>
        </row>
        <row r="280">
          <cell r="A280">
            <v>42266</v>
          </cell>
          <cell r="B280" t="str">
            <v>sobota</v>
          </cell>
          <cell r="D280">
            <v>8975089.6284534931</v>
          </cell>
          <cell r="E280">
            <v>96026481.233333334</v>
          </cell>
        </row>
        <row r="281">
          <cell r="A281">
            <v>42267</v>
          </cell>
          <cell r="B281" t="str">
            <v>neděle</v>
          </cell>
          <cell r="D281">
            <v>10140231.654609237</v>
          </cell>
          <cell r="E281">
            <v>108481749.23333333</v>
          </cell>
        </row>
        <row r="282">
          <cell r="A282">
            <v>42268</v>
          </cell>
          <cell r="B282" t="str">
            <v>pondělí</v>
          </cell>
          <cell r="D282">
            <v>14685402.77693372</v>
          </cell>
          <cell r="E282">
            <v>157060128.23333332</v>
          </cell>
        </row>
        <row r="283">
          <cell r="A283">
            <v>42269</v>
          </cell>
          <cell r="B283" t="str">
            <v>úterý</v>
          </cell>
          <cell r="D283">
            <v>12553554.758620495</v>
          </cell>
          <cell r="E283">
            <v>134279187.23333332</v>
          </cell>
        </row>
        <row r="284">
          <cell r="A284">
            <v>42270</v>
          </cell>
          <cell r="B284" t="str">
            <v>středa</v>
          </cell>
          <cell r="D284">
            <v>14359633.688987153</v>
          </cell>
          <cell r="E284">
            <v>153585306.23333332</v>
          </cell>
        </row>
        <row r="285">
          <cell r="A285">
            <v>42271</v>
          </cell>
          <cell r="B285" t="str">
            <v>čtvrtek</v>
          </cell>
          <cell r="D285">
            <v>13187685.903645663</v>
          </cell>
          <cell r="E285">
            <v>141059687.23333332</v>
          </cell>
        </row>
        <row r="286">
          <cell r="A286">
            <v>42272</v>
          </cell>
          <cell r="B286" t="str">
            <v>pátek</v>
          </cell>
          <cell r="D286">
            <v>12952785.702018017</v>
          </cell>
          <cell r="E286">
            <v>138549405.23333332</v>
          </cell>
        </row>
        <row r="287">
          <cell r="A287">
            <v>42273</v>
          </cell>
          <cell r="B287" t="str">
            <v>sobota</v>
          </cell>
          <cell r="D287">
            <v>11714102.901755435</v>
          </cell>
          <cell r="E287">
            <v>125305589.23333333</v>
          </cell>
        </row>
        <row r="288">
          <cell r="A288">
            <v>42274</v>
          </cell>
          <cell r="B288" t="str">
            <v>neděle</v>
          </cell>
          <cell r="D288">
            <v>12056651.770386182</v>
          </cell>
          <cell r="E288">
            <v>128968604.23333333</v>
          </cell>
        </row>
        <row r="289">
          <cell r="A289">
            <v>42275</v>
          </cell>
          <cell r="B289" t="str">
            <v>pondělí</v>
          </cell>
          <cell r="D289">
            <v>13319292.530831469</v>
          </cell>
          <cell r="E289">
            <v>142466340.23333332</v>
          </cell>
        </row>
        <row r="290">
          <cell r="A290">
            <v>42276</v>
          </cell>
          <cell r="B290" t="str">
            <v>úterý</v>
          </cell>
          <cell r="D290">
            <v>16378723.73731637</v>
          </cell>
          <cell r="E290">
            <v>175174635.23333332</v>
          </cell>
        </row>
        <row r="291">
          <cell r="A291">
            <v>42277</v>
          </cell>
          <cell r="B291" t="str">
            <v>středa</v>
          </cell>
          <cell r="D291">
            <v>18580584.968434315</v>
          </cell>
          <cell r="E291">
            <v>198710522.23333332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10.480260882570418</v>
          </cell>
          <cell r="J4">
            <v>9.6253675587711207</v>
          </cell>
          <cell r="K4">
            <v>8.9519744586098362</v>
          </cell>
          <cell r="L4">
            <v>11.765359870469158</v>
          </cell>
          <cell r="M4">
            <v>21.463514610468653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112.2437871833333</v>
          </cell>
          <cell r="J5">
            <v>102.78078850322584</v>
          </cell>
          <cell r="K5">
            <v>95.903887767741921</v>
          </cell>
          <cell r="L5">
            <v>125.85194273333333</v>
          </cell>
          <cell r="M5">
            <v>227.51325487096778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0.16364182324992455</v>
          </cell>
          <cell r="J6">
            <v>2.8467161555886154E-2</v>
          </cell>
          <cell r="K6">
            <v>0.19659042148390893</v>
          </cell>
          <cell r="L6">
            <v>0.42902119788235332</v>
          </cell>
          <cell r="M6">
            <v>1.192339692760644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1.7526069426100241</v>
          </cell>
          <cell r="J7">
            <v>0.30397564490890416</v>
          </cell>
          <cell r="K7">
            <v>2.106103609363259</v>
          </cell>
          <cell r="L7">
            <v>4.5891627473969443</v>
          </cell>
          <cell r="M7">
            <v>12.638800743262831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314.40782647711256</v>
          </cell>
          <cell r="J12">
            <v>298.38639432190473</v>
          </cell>
          <cell r="K12">
            <v>277.51120821690495</v>
          </cell>
          <cell r="L12">
            <v>352.96079611407475</v>
          </cell>
          <cell r="M12">
            <v>665.36895292452823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3367.3136154999993</v>
          </cell>
          <cell r="J13">
            <v>3186.2044436000006</v>
          </cell>
          <cell r="K13">
            <v>2973.0205207999998</v>
          </cell>
          <cell r="L13">
            <v>3775.558282</v>
          </cell>
          <cell r="M13">
            <v>7052.9109010000011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1.7843565337174013E-2</v>
          </cell>
          <cell r="J14">
            <v>-2.3167564846651268E-2</v>
          </cell>
          <cell r="K14">
            <v>-7.5332464693124324E-2</v>
          </cell>
          <cell r="L14">
            <v>-3.235274755507124E-2</v>
          </cell>
          <cell r="M14">
            <v>0.17425811767399488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318.95062063632389</v>
          </cell>
          <cell r="J19">
            <v>302.4372465189378</v>
          </cell>
          <cell r="K19">
            <v>299.01838851541652</v>
          </cell>
          <cell r="L19">
            <v>359.74623069021459</v>
          </cell>
          <cell r="M19">
            <v>671.60607308824615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3415.9670246600913</v>
          </cell>
          <cell r="J20">
            <v>3229.4599120669359</v>
          </cell>
          <cell r="K20">
            <v>3203.4302717533501</v>
          </cell>
          <cell r="L20">
            <v>3848.1408577221891</v>
          </cell>
          <cell r="M20">
            <v>7119.0243747354116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2.3625739848265805E-2</v>
          </cell>
          <cell r="J21">
            <v>-4.987196559258119E-2</v>
          </cell>
          <cell r="K21">
            <v>3.23091783270293E-2</v>
          </cell>
          <cell r="L21">
            <v>-7.3844848253246817E-2</v>
          </cell>
          <cell r="M21">
            <v>2.8874979474862842E-2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12.524604969460771</v>
          </cell>
          <cell r="J26">
            <v>12.924143254571844</v>
          </cell>
          <cell r="K26">
            <v>12.275837216732805</v>
          </cell>
          <cell r="L26">
            <v>18.580584968434316</v>
          </cell>
          <cell r="M26">
            <v>28.549121037735844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134.11532828333333</v>
          </cell>
          <cell r="J27">
            <v>138.00439579354838</v>
          </cell>
          <cell r="K27">
            <v>131.51468844516128</v>
          </cell>
          <cell r="L27">
            <v>198.71052223333334</v>
          </cell>
          <cell r="M27">
            <v>302.62068299999999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12.8</v>
          </cell>
          <cell r="J28">
            <v>19.2</v>
          </cell>
          <cell r="K28">
            <v>14.8</v>
          </cell>
          <cell r="L28">
            <v>7.6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8.0874519176162973</v>
          </cell>
          <cell r="J29">
            <v>7.4815198200827711</v>
          </cell>
          <cell r="K29">
            <v>6.9156343597705554</v>
          </cell>
          <cell r="L29">
            <v>8.1970730704195525</v>
          </cell>
          <cell r="M29">
            <v>14.053581132075472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86.645689283333326</v>
          </cell>
          <cell r="J30">
            <v>79.912194793548395</v>
          </cell>
          <cell r="K30">
            <v>74.112511445161289</v>
          </cell>
          <cell r="L30">
            <v>87.702114233333347</v>
          </cell>
          <cell r="M30">
            <v>148.96796000000001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21</v>
          </cell>
          <cell r="J31">
            <v>25.8</v>
          </cell>
          <cell r="K31">
            <v>27.4</v>
          </cell>
          <cell r="L31">
            <v>13.8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0.16364182324992455</v>
          </cell>
          <cell r="J34">
            <v>2.8467161555886154E-2</v>
          </cell>
          <cell r="K34">
            <v>0.19659042148390893</v>
          </cell>
          <cell r="L34">
            <v>0.42902119788235332</v>
          </cell>
          <cell r="M34">
            <v>1.192339692760644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1.7526069426100241</v>
          </cell>
          <cell r="J35">
            <v>0.30397564490890416</v>
          </cell>
          <cell r="K35">
            <v>2.106103609363259</v>
          </cell>
          <cell r="L35">
            <v>4.5891627473969443</v>
          </cell>
          <cell r="M35">
            <v>12.638800743262831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32.225719104335305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341.59262250595435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46.533795417463033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493.25823142510831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314.40782647711256</v>
          </cell>
          <cell r="J52">
            <v>298.38639432190473</v>
          </cell>
          <cell r="K52">
            <v>277.51120821690495</v>
          </cell>
          <cell r="L52">
            <v>352.96079611407475</v>
          </cell>
          <cell r="M52">
            <v>665.36895292452823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3367.3136154999993</v>
          </cell>
          <cell r="J53">
            <v>3186.2044436000006</v>
          </cell>
          <cell r="K53">
            <v>2973.0205207999998</v>
          </cell>
          <cell r="L53">
            <v>3775.558282</v>
          </cell>
          <cell r="M53">
            <v>7052.9109010000011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20.916129032258063</v>
          </cell>
          <cell r="K54">
            <v>21.78064516129032</v>
          </cell>
          <cell r="L54">
            <v>13.526666666666667</v>
          </cell>
          <cell r="M54">
            <v>8.1580645161290342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318.95062063632389</v>
          </cell>
          <cell r="J57">
            <v>302.4372465189378</v>
          </cell>
          <cell r="K57">
            <v>299.01838851541652</v>
          </cell>
          <cell r="L57">
            <v>359.74623069021459</v>
          </cell>
          <cell r="M57">
            <v>671.60607308824615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3415.9670246600913</v>
          </cell>
          <cell r="J58">
            <v>3229.4599120669359</v>
          </cell>
          <cell r="K58">
            <v>3203.4302717533501</v>
          </cell>
          <cell r="L58">
            <v>3848.1408577221891</v>
          </cell>
          <cell r="M58">
            <v>7119.0243747354116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11.138553848757228</v>
          </cell>
        </row>
        <row r="154">
          <cell r="R154">
            <v>42157</v>
          </cell>
          <cell r="S154">
            <v>11.003023012763272</v>
          </cell>
        </row>
        <row r="155">
          <cell r="R155">
            <v>42158</v>
          </cell>
          <cell r="S155">
            <v>10.573388433417819</v>
          </cell>
        </row>
        <row r="156">
          <cell r="R156">
            <v>42159</v>
          </cell>
          <cell r="S156">
            <v>10.746849399797272</v>
          </cell>
        </row>
        <row r="157">
          <cell r="R157">
            <v>42160</v>
          </cell>
          <cell r="S157">
            <v>10.160940166784341</v>
          </cell>
        </row>
        <row r="158">
          <cell r="R158">
            <v>42161</v>
          </cell>
          <cell r="S158">
            <v>8.219274334229274</v>
          </cell>
        </row>
        <row r="159">
          <cell r="R159">
            <v>42162</v>
          </cell>
          <cell r="S159">
            <v>8.7818334472753126</v>
          </cell>
        </row>
        <row r="160">
          <cell r="R160">
            <v>42163</v>
          </cell>
          <cell r="S160">
            <v>10.694449652365083</v>
          </cell>
        </row>
        <row r="161">
          <cell r="R161">
            <v>42164</v>
          </cell>
          <cell r="S161">
            <v>11.318170860413256</v>
          </cell>
        </row>
        <row r="162">
          <cell r="R162">
            <v>42165</v>
          </cell>
          <cell r="S162">
            <v>10.856343232966216</v>
          </cell>
        </row>
        <row r="163">
          <cell r="R163">
            <v>42166</v>
          </cell>
          <cell r="S163">
            <v>10.592796184617917</v>
          </cell>
        </row>
        <row r="164">
          <cell r="R164">
            <v>42167</v>
          </cell>
          <cell r="S164">
            <v>9.7578283784183615</v>
          </cell>
        </row>
        <row r="165">
          <cell r="R165">
            <v>42168</v>
          </cell>
          <cell r="S165">
            <v>8.0874519176162973</v>
          </cell>
        </row>
        <row r="166">
          <cell r="R166">
            <v>42169</v>
          </cell>
          <cell r="S166">
            <v>8.3527232431608116</v>
          </cell>
        </row>
        <row r="167">
          <cell r="R167">
            <v>42170</v>
          </cell>
          <cell r="S167">
            <v>10.533784697160701</v>
          </cell>
        </row>
        <row r="168">
          <cell r="R168">
            <v>42171</v>
          </cell>
          <cell r="S168">
            <v>11.051272942360116</v>
          </cell>
        </row>
        <row r="169">
          <cell r="R169">
            <v>42172</v>
          </cell>
          <cell r="S169">
            <v>11.171552968152533</v>
          </cell>
        </row>
        <row r="170">
          <cell r="R170">
            <v>42173</v>
          </cell>
          <cell r="S170">
            <v>11.287807611347086</v>
          </cell>
        </row>
        <row r="171">
          <cell r="R171">
            <v>42174</v>
          </cell>
          <cell r="S171">
            <v>11.221964926447567</v>
          </cell>
        </row>
        <row r="172">
          <cell r="R172">
            <v>42175</v>
          </cell>
          <cell r="S172">
            <v>9.6320657383782624</v>
          </cell>
        </row>
        <row r="173">
          <cell r="R173">
            <v>42176</v>
          </cell>
          <cell r="S173">
            <v>10.068684557840834</v>
          </cell>
        </row>
        <row r="174">
          <cell r="R174">
            <v>42177</v>
          </cell>
          <cell r="S174">
            <v>11.900793448201846</v>
          </cell>
        </row>
        <row r="175">
          <cell r="R175">
            <v>42178</v>
          </cell>
          <cell r="S175">
            <v>12.514668333493278</v>
          </cell>
        </row>
        <row r="176">
          <cell r="R176">
            <v>42179</v>
          </cell>
          <cell r="S176">
            <v>12.524604969460771</v>
          </cell>
        </row>
        <row r="177">
          <cell r="R177">
            <v>42180</v>
          </cell>
          <cell r="S177">
            <v>11.591579537906711</v>
          </cell>
        </row>
        <row r="178">
          <cell r="R178">
            <v>42181</v>
          </cell>
          <cell r="S178">
            <v>10.491096429598116</v>
          </cell>
        </row>
        <row r="179">
          <cell r="R179">
            <v>42182</v>
          </cell>
          <cell r="S179">
            <v>8.9860592689411707</v>
          </cell>
        </row>
        <row r="180">
          <cell r="R180">
            <v>42183</v>
          </cell>
          <cell r="S180">
            <v>9.2388504465816332</v>
          </cell>
        </row>
        <row r="181">
          <cell r="R181">
            <v>42184</v>
          </cell>
          <cell r="S181">
            <v>11.076462548321208</v>
          </cell>
        </row>
        <row r="182">
          <cell r="R182">
            <v>42185</v>
          </cell>
          <cell r="S182">
            <v>10.832951940338289</v>
          </cell>
        </row>
        <row r="183">
          <cell r="R183">
            <v>42186</v>
          </cell>
          <cell r="S183">
            <v>10.568222416653482</v>
          </cell>
        </row>
        <row r="184">
          <cell r="R184">
            <v>42187</v>
          </cell>
          <cell r="S184">
            <v>10.252008199334703</v>
          </cell>
        </row>
        <row r="185">
          <cell r="R185">
            <v>42188</v>
          </cell>
          <cell r="S185">
            <v>9.4581659337544721</v>
          </cell>
        </row>
        <row r="186">
          <cell r="R186">
            <v>42189</v>
          </cell>
          <cell r="S186">
            <v>7.7685839626013005</v>
          </cell>
        </row>
        <row r="187">
          <cell r="R187">
            <v>42190</v>
          </cell>
          <cell r="S187">
            <v>7.4815198200827711</v>
          </cell>
        </row>
        <row r="188">
          <cell r="R188">
            <v>42191</v>
          </cell>
          <cell r="S188">
            <v>8.3956674696080977</v>
          </cell>
        </row>
        <row r="189">
          <cell r="R189">
            <v>42192</v>
          </cell>
          <cell r="S189">
            <v>9.7410070359215304</v>
          </cell>
        </row>
        <row r="190">
          <cell r="R190">
            <v>42193</v>
          </cell>
          <cell r="S190">
            <v>10.124209009856298</v>
          </cell>
        </row>
        <row r="191">
          <cell r="R191">
            <v>42194</v>
          </cell>
          <cell r="S191">
            <v>10.304019398838161</v>
          </cell>
        </row>
        <row r="192">
          <cell r="R192">
            <v>42195</v>
          </cell>
          <cell r="S192">
            <v>10.221858257142756</v>
          </cell>
        </row>
        <row r="193">
          <cell r="R193">
            <v>42196</v>
          </cell>
          <cell r="S193">
            <v>8.3894033132418855</v>
          </cell>
        </row>
        <row r="194">
          <cell r="R194">
            <v>42197</v>
          </cell>
          <cell r="S194">
            <v>8.3843553337064272</v>
          </cell>
        </row>
        <row r="195">
          <cell r="R195">
            <v>42198</v>
          </cell>
          <cell r="S195">
            <v>10.601010610209597</v>
          </cell>
        </row>
        <row r="196">
          <cell r="R196">
            <v>42199</v>
          </cell>
          <cell r="S196">
            <v>10.208741115734895</v>
          </cell>
        </row>
        <row r="197">
          <cell r="R197">
            <v>42200</v>
          </cell>
          <cell r="S197">
            <v>12.924143254571844</v>
          </cell>
        </row>
        <row r="198">
          <cell r="R198">
            <v>42201</v>
          </cell>
          <cell r="S198">
            <v>12.551668019700053</v>
          </cell>
        </row>
        <row r="199">
          <cell r="R199">
            <v>42202</v>
          </cell>
          <cell r="S199">
            <v>9.2990339430508389</v>
          </cell>
        </row>
        <row r="200">
          <cell r="R200">
            <v>42203</v>
          </cell>
          <cell r="S200">
            <v>7.6959416619133822</v>
          </cell>
        </row>
        <row r="201">
          <cell r="R201">
            <v>42204</v>
          </cell>
          <cell r="S201">
            <v>8.1498811526718686</v>
          </cell>
        </row>
        <row r="202">
          <cell r="R202">
            <v>42205</v>
          </cell>
          <cell r="S202">
            <v>9.6753351346492096</v>
          </cell>
        </row>
        <row r="203">
          <cell r="R203">
            <v>42206</v>
          </cell>
          <cell r="S203">
            <v>9.662856919296491</v>
          </cell>
        </row>
        <row r="204">
          <cell r="R204">
            <v>42207</v>
          </cell>
          <cell r="S204">
            <v>11.966225353661841</v>
          </cell>
        </row>
        <row r="205">
          <cell r="R205">
            <v>42208</v>
          </cell>
          <cell r="S205">
            <v>11.939966236043933</v>
          </cell>
        </row>
        <row r="206">
          <cell r="R206">
            <v>42209</v>
          </cell>
          <cell r="S206">
            <v>9.5720171627676969</v>
          </cell>
        </row>
        <row r="207">
          <cell r="R207">
            <v>42210</v>
          </cell>
          <cell r="S207">
            <v>8.0197646721725331</v>
          </cell>
        </row>
        <row r="208">
          <cell r="R208">
            <v>42211</v>
          </cell>
          <cell r="S208">
            <v>8.041607397011342</v>
          </cell>
        </row>
        <row r="209">
          <cell r="R209">
            <v>42212</v>
          </cell>
          <cell r="S209">
            <v>9.2368345783925179</v>
          </cell>
        </row>
        <row r="210">
          <cell r="R210">
            <v>42213</v>
          </cell>
          <cell r="S210">
            <v>9.2604844650181324</v>
          </cell>
        </row>
        <row r="211">
          <cell r="R211">
            <v>42214</v>
          </cell>
          <cell r="S211">
            <v>9.5109604735889803</v>
          </cell>
        </row>
        <row r="212">
          <cell r="R212">
            <v>42215</v>
          </cell>
          <cell r="S212">
            <v>9.960010804085428</v>
          </cell>
        </row>
        <row r="213">
          <cell r="R213">
            <v>42216</v>
          </cell>
          <cell r="S213">
            <v>9.0208912166222479</v>
          </cell>
        </row>
        <row r="214">
          <cell r="R214">
            <v>42217</v>
          </cell>
          <cell r="S214">
            <v>7.3274770439122872</v>
          </cell>
        </row>
        <row r="215">
          <cell r="R215">
            <v>42218</v>
          </cell>
          <cell r="S215">
            <v>7.3591133063275187</v>
          </cell>
        </row>
        <row r="216">
          <cell r="R216">
            <v>42219</v>
          </cell>
          <cell r="S216">
            <v>8.4957021969041211</v>
          </cell>
        </row>
        <row r="217">
          <cell r="R217">
            <v>42220</v>
          </cell>
          <cell r="S217">
            <v>8.5215988993338367</v>
          </cell>
        </row>
        <row r="218">
          <cell r="R218">
            <v>42221</v>
          </cell>
          <cell r="S218">
            <v>8.3804475972986712</v>
          </cell>
        </row>
        <row r="219">
          <cell r="R219">
            <v>42222</v>
          </cell>
          <cell r="S219">
            <v>8.7797788551200622</v>
          </cell>
        </row>
        <row r="220">
          <cell r="R220">
            <v>42223</v>
          </cell>
          <cell r="S220">
            <v>7.897185705717761</v>
          </cell>
        </row>
        <row r="221">
          <cell r="R221">
            <v>42224</v>
          </cell>
          <cell r="S221">
            <v>6.9156343597705554</v>
          </cell>
        </row>
        <row r="222">
          <cell r="R222">
            <v>42225</v>
          </cell>
          <cell r="S222">
            <v>7.0797433898515889</v>
          </cell>
        </row>
        <row r="223">
          <cell r="R223">
            <v>42226</v>
          </cell>
          <cell r="S223">
            <v>8.7429757997753992</v>
          </cell>
        </row>
        <row r="224">
          <cell r="R224">
            <v>42227</v>
          </cell>
          <cell r="S224">
            <v>8.8873771330949971</v>
          </cell>
        </row>
        <row r="225">
          <cell r="R225">
            <v>42228</v>
          </cell>
          <cell r="S225">
            <v>9.342068052433266</v>
          </cell>
        </row>
        <row r="226">
          <cell r="R226">
            <v>42229</v>
          </cell>
          <cell r="S226">
            <v>9.0227963088585845</v>
          </cell>
        </row>
        <row r="227">
          <cell r="R227">
            <v>42230</v>
          </cell>
          <cell r="S227">
            <v>8.617923221165789</v>
          </cell>
        </row>
        <row r="228">
          <cell r="R228">
            <v>42231</v>
          </cell>
          <cell r="S228">
            <v>7.6367264902928698</v>
          </cell>
        </row>
        <row r="229">
          <cell r="R229">
            <v>42232</v>
          </cell>
          <cell r="S229">
            <v>7.6500080231819716</v>
          </cell>
        </row>
        <row r="230">
          <cell r="R230">
            <v>42233</v>
          </cell>
          <cell r="S230">
            <v>10.770115115200538</v>
          </cell>
        </row>
        <row r="231">
          <cell r="R231">
            <v>42234</v>
          </cell>
          <cell r="S231">
            <v>12.275837216732805</v>
          </cell>
        </row>
        <row r="232">
          <cell r="R232">
            <v>42235</v>
          </cell>
          <cell r="S232">
            <v>10.30598544170101</v>
          </cell>
        </row>
        <row r="233">
          <cell r="R233">
            <v>42236</v>
          </cell>
          <cell r="S233">
            <v>10.198907925134305</v>
          </cell>
        </row>
        <row r="234">
          <cell r="R234">
            <v>42237</v>
          </cell>
          <cell r="S234">
            <v>9.732554603645001</v>
          </cell>
        </row>
        <row r="235">
          <cell r="R235">
            <v>42238</v>
          </cell>
          <cell r="S235">
            <v>8.1906102744069553</v>
          </cell>
        </row>
        <row r="236">
          <cell r="R236">
            <v>42239</v>
          </cell>
          <cell r="S236">
            <v>8.2763648372854224</v>
          </cell>
        </row>
        <row r="237">
          <cell r="R237">
            <v>42240</v>
          </cell>
          <cell r="S237">
            <v>10.116631278412976</v>
          </cell>
        </row>
        <row r="238">
          <cell r="R238">
            <v>42241</v>
          </cell>
          <cell r="S238">
            <v>10.634514211604086</v>
          </cell>
        </row>
        <row r="239">
          <cell r="R239">
            <v>42242</v>
          </cell>
          <cell r="S239">
            <v>10.43281949410752</v>
          </cell>
        </row>
        <row r="240">
          <cell r="R240">
            <v>42243</v>
          </cell>
          <cell r="S240">
            <v>10.258901112878878</v>
          </cell>
        </row>
        <row r="241">
          <cell r="R241">
            <v>42244</v>
          </cell>
          <cell r="S241">
            <v>9.621705007623234</v>
          </cell>
        </row>
        <row r="242">
          <cell r="R242">
            <v>42245</v>
          </cell>
          <cell r="S242">
            <v>7.90341361582934</v>
          </cell>
        </row>
        <row r="243">
          <cell r="R243">
            <v>42246</v>
          </cell>
          <cell r="S243">
            <v>8.0524275904776808</v>
          </cell>
        </row>
        <row r="244">
          <cell r="R244">
            <v>42247</v>
          </cell>
          <cell r="S244">
            <v>10.083864108825882</v>
          </cell>
        </row>
        <row r="245">
          <cell r="R245">
            <v>42248</v>
          </cell>
          <cell r="S245">
            <v>9.7007445267766368</v>
          </cell>
        </row>
        <row r="246">
          <cell r="R246">
            <v>42249</v>
          </cell>
          <cell r="S246">
            <v>10.351424075733302</v>
          </cell>
        </row>
        <row r="247">
          <cell r="R247">
            <v>42250</v>
          </cell>
          <cell r="S247">
            <v>10.675088543805986</v>
          </cell>
        </row>
        <row r="248">
          <cell r="R248">
            <v>42251</v>
          </cell>
          <cell r="S248">
            <v>11.29469983214782</v>
          </cell>
        </row>
        <row r="249">
          <cell r="R249">
            <v>42252</v>
          </cell>
          <cell r="S249">
            <v>8.1970730704195525</v>
          </cell>
        </row>
        <row r="250">
          <cell r="R250">
            <v>42253</v>
          </cell>
          <cell r="S250">
            <v>9.2336958503371118</v>
          </cell>
        </row>
        <row r="251">
          <cell r="R251">
            <v>42254</v>
          </cell>
          <cell r="S251">
            <v>11.597554488210992</v>
          </cell>
        </row>
        <row r="252">
          <cell r="R252">
            <v>42255</v>
          </cell>
          <cell r="S252">
            <v>11.40204196931642</v>
          </cell>
        </row>
        <row r="253">
          <cell r="R253">
            <v>42256</v>
          </cell>
          <cell r="S253">
            <v>12.222584744863941</v>
          </cell>
        </row>
        <row r="254">
          <cell r="R254">
            <v>42257</v>
          </cell>
          <cell r="S254">
            <v>12.198425235856467</v>
          </cell>
        </row>
        <row r="255">
          <cell r="R255">
            <v>42258</v>
          </cell>
          <cell r="S255">
            <v>14.667928928492055</v>
          </cell>
        </row>
        <row r="256">
          <cell r="R256">
            <v>42259</v>
          </cell>
          <cell r="S256">
            <v>9.4355036584976215</v>
          </cell>
        </row>
        <row r="257">
          <cell r="R257">
            <v>42260</v>
          </cell>
          <cell r="S257">
            <v>9.3491360221922815</v>
          </cell>
        </row>
        <row r="258">
          <cell r="R258">
            <v>42261</v>
          </cell>
          <cell r="S258">
            <v>11.066872022129369</v>
          </cell>
        </row>
        <row r="259">
          <cell r="R259">
            <v>42262</v>
          </cell>
          <cell r="S259">
            <v>11.139047681373635</v>
          </cell>
        </row>
        <row r="260">
          <cell r="R260">
            <v>42263</v>
          </cell>
          <cell r="S260">
            <v>10.696748561847132</v>
          </cell>
        </row>
        <row r="261">
          <cell r="R261">
            <v>42264</v>
          </cell>
          <cell r="S261">
            <v>10.390631158546531</v>
          </cell>
        </row>
        <row r="262">
          <cell r="R262">
            <v>42265</v>
          </cell>
          <cell r="S262">
            <v>10.437855721536367</v>
          </cell>
        </row>
        <row r="263">
          <cell r="R263">
            <v>42266</v>
          </cell>
          <cell r="S263">
            <v>8.9750896284534942</v>
          </cell>
        </row>
        <row r="264">
          <cell r="R264">
            <v>42267</v>
          </cell>
          <cell r="S264">
            <v>10.140231654609236</v>
          </cell>
        </row>
        <row r="265">
          <cell r="R265">
            <v>42268</v>
          </cell>
          <cell r="S265">
            <v>14.685402776933721</v>
          </cell>
        </row>
        <row r="266">
          <cell r="R266">
            <v>42269</v>
          </cell>
          <cell r="S266">
            <v>12.553554758620496</v>
          </cell>
        </row>
        <row r="267">
          <cell r="R267">
            <v>42270</v>
          </cell>
          <cell r="S267">
            <v>14.359633688987152</v>
          </cell>
        </row>
        <row r="268">
          <cell r="R268">
            <v>42271</v>
          </cell>
          <cell r="S268">
            <v>13.187685903645663</v>
          </cell>
        </row>
        <row r="269">
          <cell r="R269">
            <v>42272</v>
          </cell>
          <cell r="S269">
            <v>12.952785702018016</v>
          </cell>
        </row>
        <row r="270">
          <cell r="R270">
            <v>42273</v>
          </cell>
          <cell r="S270">
            <v>11.714102901755435</v>
          </cell>
        </row>
        <row r="271">
          <cell r="R271">
            <v>42274</v>
          </cell>
          <cell r="S271">
            <v>12.05665177038618</v>
          </cell>
        </row>
        <row r="272">
          <cell r="R272">
            <v>42275</v>
          </cell>
          <cell r="S272">
            <v>13.31929253083147</v>
          </cell>
        </row>
        <row r="273">
          <cell r="R273">
            <v>42276</v>
          </cell>
          <cell r="S273">
            <v>16.378723737316371</v>
          </cell>
        </row>
        <row r="274">
          <cell r="R274">
            <v>42277</v>
          </cell>
          <cell r="S274">
            <v>18.580584968434316</v>
          </cell>
        </row>
        <row r="275">
          <cell r="R275">
            <v>42278</v>
          </cell>
          <cell r="S275">
            <v>19.110055566037733</v>
          </cell>
        </row>
        <row r="276">
          <cell r="R276">
            <v>42279</v>
          </cell>
          <cell r="S276">
            <v>18.078781320754715</v>
          </cell>
        </row>
        <row r="277">
          <cell r="R277">
            <v>42280</v>
          </cell>
          <cell r="S277">
            <v>14.332500283018868</v>
          </cell>
        </row>
        <row r="278">
          <cell r="R278">
            <v>42281</v>
          </cell>
          <cell r="S278">
            <v>14.053581132075472</v>
          </cell>
        </row>
        <row r="279">
          <cell r="R279">
            <v>42282</v>
          </cell>
          <cell r="S279">
            <v>15.88826245283019</v>
          </cell>
        </row>
        <row r="280">
          <cell r="R280">
            <v>42283</v>
          </cell>
          <cell r="S280">
            <v>16.068493396226415</v>
          </cell>
        </row>
        <row r="281">
          <cell r="R281">
            <v>42284</v>
          </cell>
          <cell r="S281">
            <v>16.268043773584907</v>
          </cell>
        </row>
        <row r="282">
          <cell r="R282">
            <v>42285</v>
          </cell>
          <cell r="S282">
            <v>17.424715377358488</v>
          </cell>
        </row>
        <row r="283">
          <cell r="R283">
            <v>42286</v>
          </cell>
          <cell r="S283">
            <v>18.078569339622639</v>
          </cell>
        </row>
        <row r="284">
          <cell r="R284">
            <v>42287</v>
          </cell>
          <cell r="S284">
            <v>18.031043207547164</v>
          </cell>
        </row>
        <row r="285">
          <cell r="R285">
            <v>42288</v>
          </cell>
          <cell r="S285">
            <v>20.885148584905657</v>
          </cell>
        </row>
        <row r="286">
          <cell r="R286">
            <v>42289</v>
          </cell>
          <cell r="S286">
            <v>26.836024245283014</v>
          </cell>
        </row>
        <row r="287">
          <cell r="R287">
            <v>42290</v>
          </cell>
          <cell r="S287">
            <v>28.549121037735844</v>
          </cell>
        </row>
        <row r="288">
          <cell r="R288">
            <v>42291</v>
          </cell>
          <cell r="S288">
            <v>26.962448018867921</v>
          </cell>
        </row>
        <row r="289">
          <cell r="R289">
            <v>42292</v>
          </cell>
          <cell r="S289">
            <v>25.205655188679245</v>
          </cell>
        </row>
        <row r="290">
          <cell r="R290">
            <v>42293</v>
          </cell>
          <cell r="S290">
            <v>22.996606792452827</v>
          </cell>
        </row>
        <row r="291">
          <cell r="R291">
            <v>42294</v>
          </cell>
          <cell r="S291">
            <v>21.323461698113203</v>
          </cell>
        </row>
        <row r="292">
          <cell r="R292">
            <v>42295</v>
          </cell>
          <cell r="S292">
            <v>22.305616415094338</v>
          </cell>
        </row>
        <row r="293">
          <cell r="R293">
            <v>42296</v>
          </cell>
          <cell r="S293">
            <v>25.150728679245283</v>
          </cell>
        </row>
        <row r="294">
          <cell r="R294">
            <v>42297</v>
          </cell>
          <cell r="S294">
            <v>25.913584811320753</v>
          </cell>
        </row>
        <row r="295">
          <cell r="R295">
            <v>42298</v>
          </cell>
          <cell r="S295">
            <v>24.970401698113207</v>
          </cell>
        </row>
        <row r="296">
          <cell r="R296">
            <v>42299</v>
          </cell>
          <cell r="S296">
            <v>24.287413490566035</v>
          </cell>
        </row>
        <row r="297">
          <cell r="R297">
            <v>42300</v>
          </cell>
          <cell r="S297">
            <v>23.190001698113207</v>
          </cell>
        </row>
        <row r="298">
          <cell r="R298">
            <v>42301</v>
          </cell>
          <cell r="S298">
            <v>21.232633113207545</v>
          </cell>
        </row>
        <row r="299">
          <cell r="R299">
            <v>42302</v>
          </cell>
          <cell r="S299">
            <v>21.750670660377356</v>
          </cell>
        </row>
        <row r="300">
          <cell r="R300">
            <v>42303</v>
          </cell>
          <cell r="S300">
            <v>23.480586037735847</v>
          </cell>
        </row>
        <row r="301">
          <cell r="R301">
            <v>42304</v>
          </cell>
          <cell r="S301">
            <v>23.970427264150938</v>
          </cell>
        </row>
        <row r="302">
          <cell r="R302">
            <v>42305</v>
          </cell>
          <cell r="S302">
            <v>22.510704811320753</v>
          </cell>
        </row>
        <row r="303">
          <cell r="R303">
            <v>42306</v>
          </cell>
          <cell r="S303">
            <v>23.473946981132073</v>
          </cell>
        </row>
        <row r="304">
          <cell r="R304">
            <v>42307</v>
          </cell>
          <cell r="S304">
            <v>22.892191603773583</v>
          </cell>
        </row>
        <row r="305">
          <cell r="R305">
            <v>42308</v>
          </cell>
          <cell r="S305">
            <v>20.147534245283016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>
            <v>9625.201576009209</v>
          </cell>
          <cell r="W6">
            <v>103086.05000000003</v>
          </cell>
          <cell r="X6">
            <v>371109.78000000014</v>
          </cell>
          <cell r="Y6">
            <v>10.710014661608932</v>
          </cell>
          <cell r="Z6">
            <v>20303.42377111633</v>
          </cell>
          <cell r="AA6">
            <v>216802.52999999968</v>
          </cell>
          <cell r="AB6">
            <v>780489.10799999884</v>
          </cell>
          <cell r="AC6">
            <v>10.678126627511128</v>
          </cell>
          <cell r="AD6">
            <v>15328.584565608491</v>
          </cell>
          <cell r="AE6">
            <v>164217.67999999988</v>
          </cell>
          <cell r="AF6">
            <v>591183.64799999958</v>
          </cell>
          <cell r="AG6">
            <v>10.713166587373099</v>
          </cell>
          <cell r="AH6">
            <v>18940.350651885579</v>
          </cell>
          <cell r="AI6">
            <v>202601.46999999997</v>
          </cell>
          <cell r="AJ6">
            <v>729365.2919999999</v>
          </cell>
          <cell r="AK6">
            <v>10.696817272484354</v>
          </cell>
          <cell r="AL6" t="e">
            <v>#DIV/0!</v>
          </cell>
          <cell r="AM6"/>
          <cell r="AN6">
            <v>0</v>
          </cell>
          <cell r="AO6" t="e">
            <v>#DIV/0!</v>
          </cell>
          <cell r="AP6" t="e">
            <v>#DIV/0!</v>
          </cell>
          <cell r="AQ6"/>
          <cell r="AR6">
            <v>0</v>
          </cell>
          <cell r="AS6" t="e">
            <v>#DIV/0!</v>
          </cell>
          <cell r="AT6" t="e">
            <v>#DIV/0!</v>
          </cell>
          <cell r="AU6"/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9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88" t="s">
        <v>65</v>
      </c>
      <c r="H19" s="788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88">
        <v>2015</v>
      </c>
      <c r="J21" s="788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89" t="s">
        <v>43</v>
      </c>
      <c r="B23" s="790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topLeftCell="A4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7" t="s">
        <v>266</v>
      </c>
      <c r="J1" s="827"/>
    </row>
    <row r="2" spans="1:16" ht="6.75" customHeight="1" x14ac:dyDescent="0.2"/>
    <row r="3" spans="1:16" ht="30" customHeight="1" x14ac:dyDescent="0.2">
      <c r="A3" s="835" t="s">
        <v>302</v>
      </c>
      <c r="B3" s="835"/>
      <c r="C3" s="835"/>
      <c r="D3" s="835"/>
      <c r="E3" s="835"/>
      <c r="F3" s="835"/>
      <c r="G3" s="835"/>
      <c r="H3" s="835"/>
      <c r="I3" s="835"/>
      <c r="J3" s="835"/>
    </row>
    <row r="4" spans="1:16" ht="16.5" customHeight="1" x14ac:dyDescent="0.2">
      <c r="B4" s="242"/>
      <c r="C4" s="834" t="str">
        <f>T!G19</f>
        <v>Září</v>
      </c>
      <c r="D4" s="834"/>
      <c r="E4" s="223">
        <f>T!I21</f>
        <v>2015</v>
      </c>
      <c r="F4" s="242"/>
      <c r="G4" s="242"/>
      <c r="H4" s="242"/>
    </row>
    <row r="5" spans="1:16" ht="6.75" customHeight="1" x14ac:dyDescent="0.2">
      <c r="A5" s="271"/>
      <c r="B5" s="272"/>
      <c r="C5" s="272"/>
      <c r="D5" s="270"/>
      <c r="E5" s="242"/>
      <c r="F5" s="242"/>
      <c r="G5" s="242"/>
      <c r="H5" s="273"/>
      <c r="I5" s="91"/>
    </row>
    <row r="6" spans="1:16" ht="14.1" customHeight="1" x14ac:dyDescent="0.25">
      <c r="A6" s="271"/>
      <c r="B6" s="126"/>
      <c r="C6" s="274"/>
      <c r="D6" s="275"/>
      <c r="E6" s="276"/>
      <c r="F6" s="276"/>
      <c r="G6" s="837" t="s">
        <v>226</v>
      </c>
      <c r="H6" s="277"/>
      <c r="I6" s="276"/>
      <c r="J6" s="274"/>
    </row>
    <row r="7" spans="1:16" ht="14.1" customHeight="1" x14ac:dyDescent="0.25">
      <c r="A7" s="278"/>
      <c r="B7" s="279"/>
      <c r="C7" s="263"/>
      <c r="D7" s="264" t="str">
        <f>T!$G$19</f>
        <v>Září</v>
      </c>
      <c r="E7" s="265">
        <f>E4</f>
        <v>2015</v>
      </c>
      <c r="F7" s="265"/>
      <c r="G7" s="838"/>
      <c r="H7" s="280" t="str">
        <f>T!$G$19</f>
        <v>Září</v>
      </c>
      <c r="I7" s="260">
        <f>E4-1</f>
        <v>2014</v>
      </c>
      <c r="J7" s="274"/>
    </row>
    <row r="8" spans="1:16" ht="14.1" customHeight="1" x14ac:dyDescent="0.2">
      <c r="A8" s="278"/>
      <c r="B8" s="372"/>
      <c r="D8" s="825" t="s">
        <v>71</v>
      </c>
      <c r="E8" s="793"/>
      <c r="F8" s="331" t="s">
        <v>224</v>
      </c>
      <c r="G8" s="838"/>
      <c r="H8" s="826" t="s">
        <v>71</v>
      </c>
      <c r="I8" s="793"/>
      <c r="J8" s="349" t="s">
        <v>224</v>
      </c>
    </row>
    <row r="9" spans="1:16" ht="12" customHeight="1" x14ac:dyDescent="0.2">
      <c r="A9" s="250"/>
      <c r="B9" s="373"/>
      <c r="C9" s="373"/>
      <c r="D9" s="435" t="s">
        <v>15</v>
      </c>
      <c r="E9" s="375" t="s">
        <v>1</v>
      </c>
      <c r="F9" s="332" t="s">
        <v>127</v>
      </c>
      <c r="G9" s="839"/>
      <c r="H9" s="281" t="s">
        <v>15</v>
      </c>
      <c r="I9" s="266" t="s">
        <v>1</v>
      </c>
      <c r="J9" s="350" t="s">
        <v>127</v>
      </c>
    </row>
    <row r="10" spans="1:16" ht="12" customHeight="1" x14ac:dyDescent="0.2">
      <c r="A10" s="840" t="s">
        <v>4</v>
      </c>
      <c r="B10" s="840"/>
      <c r="C10" s="369"/>
      <c r="D10" s="487">
        <f>E7</f>
        <v>2015</v>
      </c>
      <c r="E10" s="368"/>
      <c r="F10" s="333"/>
      <c r="G10" s="315"/>
      <c r="H10" s="485">
        <f>I7</f>
        <v>2014</v>
      </c>
      <c r="I10" s="365"/>
      <c r="J10" s="351"/>
    </row>
    <row r="11" spans="1:16" ht="12" customHeight="1" x14ac:dyDescent="0.2">
      <c r="A11" s="95"/>
      <c r="B11" s="95"/>
      <c r="C11" s="370" t="s">
        <v>17</v>
      </c>
      <c r="D11" s="89">
        <f>'7'!E15</f>
        <v>12326.191000000003</v>
      </c>
      <c r="E11" s="96">
        <f>'7'!F15</f>
        <v>131749.08434</v>
      </c>
      <c r="F11" s="334">
        <f>D11/$D$25</f>
        <v>3.5658422683988493E-2</v>
      </c>
      <c r="G11" s="691">
        <f>(D11-H11)/H11</f>
        <v>3.3762281013440185E-3</v>
      </c>
      <c r="H11" s="96">
        <f>'7'!I15</f>
        <v>12284.715</v>
      </c>
      <c r="I11" s="96">
        <f>'7'!J15</f>
        <v>130772.510979</v>
      </c>
      <c r="J11" s="352">
        <f>H11/$H$25</f>
        <v>3.4454727028421735E-2</v>
      </c>
    </row>
    <row r="12" spans="1:16" ht="12" customHeight="1" x14ac:dyDescent="0.2">
      <c r="A12" s="95"/>
      <c r="B12" s="95"/>
      <c r="C12" s="370" t="s">
        <v>18</v>
      </c>
      <c r="D12" s="89">
        <f>'7'!E22</f>
        <v>38117.300000000003</v>
      </c>
      <c r="E12" s="96">
        <f>'7'!F22</f>
        <v>407778.04447999987</v>
      </c>
      <c r="F12" s="334">
        <f>D12/$D$25</f>
        <v>0.11026948998051339</v>
      </c>
      <c r="G12" s="691">
        <f t="shared" ref="G12" si="0">(D12-H12)/H12</f>
        <v>-1.5718122191809045E-2</v>
      </c>
      <c r="H12" s="96">
        <f>'7'!I22</f>
        <v>38726</v>
      </c>
      <c r="I12" s="96">
        <f>'7'!J22</f>
        <v>412525.65069599985</v>
      </c>
      <c r="J12" s="352">
        <f t="shared" ref="J12:J24" si="1">H12/$H$25</f>
        <v>0.10861414032825835</v>
      </c>
      <c r="K12" s="284"/>
      <c r="L12" s="284"/>
      <c r="N12" s="284"/>
      <c r="O12" s="284"/>
      <c r="P12" s="284"/>
    </row>
    <row r="13" spans="1:16" ht="12" customHeight="1" x14ac:dyDescent="0.2">
      <c r="A13" s="292"/>
      <c r="B13" s="268"/>
      <c r="C13" s="370" t="s">
        <v>19</v>
      </c>
      <c r="D13" s="89">
        <f>'7'!E29</f>
        <v>10703.9</v>
      </c>
      <c r="E13" s="96">
        <f>'7'!F29</f>
        <v>114510.15524999997</v>
      </c>
      <c r="F13" s="334">
        <f>D13/$D$25</f>
        <v>3.0965299058496199E-2</v>
      </c>
      <c r="G13" s="691">
        <f>(D13-H13)/H13</f>
        <v>2.716682020574222E-2</v>
      </c>
      <c r="H13" s="96">
        <f>'7'!I29</f>
        <v>10420.800000000001</v>
      </c>
      <c r="I13" s="96">
        <f>'7'!J29</f>
        <v>111007.227592</v>
      </c>
      <c r="J13" s="352">
        <f t="shared" si="1"/>
        <v>2.9227036965674604E-2</v>
      </c>
      <c r="K13" s="284"/>
      <c r="L13" s="284"/>
      <c r="N13" s="284"/>
      <c r="O13" s="284"/>
      <c r="P13" s="284"/>
    </row>
    <row r="14" spans="1:16" ht="12" customHeight="1" x14ac:dyDescent="0.2">
      <c r="A14" s="292"/>
      <c r="B14" s="268"/>
      <c r="C14" s="370" t="s">
        <v>20</v>
      </c>
      <c r="D14" s="89">
        <f>'7'!E36</f>
        <v>13358.6</v>
      </c>
      <c r="E14" s="96">
        <f>'7'!F36</f>
        <v>142910.45928999997</v>
      </c>
      <c r="F14" s="334">
        <f>D14/$D$25</f>
        <v>3.8645077401958855E-2</v>
      </c>
      <c r="G14" s="691">
        <f>(D14-H14)/H14</f>
        <v>-3.3749963834157813E-2</v>
      </c>
      <c r="H14" s="96">
        <f>'7'!I36</f>
        <v>13825.199999999999</v>
      </c>
      <c r="I14" s="96">
        <f>'7'!J36</f>
        <v>147271.653227</v>
      </c>
      <c r="J14" s="352">
        <f t="shared" si="1"/>
        <v>3.8775298581475937E-2</v>
      </c>
      <c r="K14" s="284"/>
      <c r="L14" s="284"/>
      <c r="N14" s="284"/>
      <c r="O14" s="284"/>
      <c r="P14" s="284"/>
    </row>
    <row r="15" spans="1:16" ht="12" customHeight="1" x14ac:dyDescent="0.2">
      <c r="A15" s="292"/>
      <c r="B15" s="268"/>
      <c r="C15" s="370" t="s">
        <v>21</v>
      </c>
      <c r="D15" s="89">
        <f>'7'!E43</f>
        <v>14469.7</v>
      </c>
      <c r="E15" s="96">
        <f>'7'!F43</f>
        <v>154796.20776000005</v>
      </c>
      <c r="F15" s="334">
        <f t="shared" ref="F15:F23" si="2">D15/$D$25</f>
        <v>4.1859377216409206E-2</v>
      </c>
      <c r="G15" s="692">
        <f>(D15-H15)/H15</f>
        <v>4.2575727008098654E-2</v>
      </c>
      <c r="H15" s="96">
        <f>'7'!I43</f>
        <v>13878.800000000001</v>
      </c>
      <c r="I15" s="96">
        <f>'7'!J43</f>
        <v>147842.26475099998</v>
      </c>
      <c r="J15" s="352">
        <f t="shared" si="1"/>
        <v>3.8925629571549658E-2</v>
      </c>
      <c r="K15" s="284"/>
      <c r="L15" s="284"/>
      <c r="N15" s="284"/>
      <c r="O15" s="284"/>
      <c r="P15" s="284"/>
    </row>
    <row r="16" spans="1:16" ht="12" customHeight="1" x14ac:dyDescent="0.2">
      <c r="A16" s="274"/>
      <c r="B16" s="274"/>
      <c r="C16" s="370" t="s">
        <v>22</v>
      </c>
      <c r="D16" s="89">
        <f>'7'!E50</f>
        <v>49322.197999999997</v>
      </c>
      <c r="E16" s="96">
        <f>'7'!F50</f>
        <v>527452.75783999986</v>
      </c>
      <c r="F16" s="334">
        <f t="shared" si="2"/>
        <v>0.14268412553297052</v>
      </c>
      <c r="G16" s="692">
        <f t="shared" ref="G16:G27" si="3">(D16-H16)/H16</f>
        <v>2.8716213538620184E-2</v>
      </c>
      <c r="H16" s="96">
        <f>'7'!I50</f>
        <v>47945.387999999999</v>
      </c>
      <c r="I16" s="96">
        <f>'7'!J50</f>
        <v>510585.6758990002</v>
      </c>
      <c r="J16" s="352">
        <f t="shared" si="1"/>
        <v>0.13447159790127547</v>
      </c>
      <c r="K16" s="284"/>
      <c r="L16" s="284"/>
      <c r="N16" s="284"/>
      <c r="O16" s="284"/>
      <c r="P16" s="284"/>
    </row>
    <row r="17" spans="1:15" ht="12" customHeight="1" x14ac:dyDescent="0.2">
      <c r="A17" s="274"/>
      <c r="B17" s="274"/>
      <c r="C17" s="370" t="s">
        <v>23</v>
      </c>
      <c r="D17" s="89">
        <f>'7'!E57</f>
        <v>18400.3</v>
      </c>
      <c r="E17" s="96">
        <f>'7'!F57</f>
        <v>196845.85655000003</v>
      </c>
      <c r="F17" s="334">
        <f t="shared" si="2"/>
        <v>5.3230205090298639E-2</v>
      </c>
      <c r="G17" s="692">
        <f t="shared" si="3"/>
        <v>-4.6418946932006669E-2</v>
      </c>
      <c r="H17" s="96">
        <f>'7'!I57</f>
        <v>19296</v>
      </c>
      <c r="I17" s="96">
        <f>'7'!J57</f>
        <v>205549.64598999993</v>
      </c>
      <c r="J17" s="352">
        <f t="shared" si="1"/>
        <v>5.411915642653703E-2</v>
      </c>
      <c r="K17" s="284"/>
      <c r="L17" s="284"/>
    </row>
    <row r="18" spans="1:15" ht="12" customHeight="1" x14ac:dyDescent="0.2">
      <c r="A18" s="274"/>
      <c r="B18" s="274"/>
      <c r="C18" s="370" t="s">
        <v>24</v>
      </c>
      <c r="D18" s="89">
        <f>'8'!E15</f>
        <v>16780.900000000001</v>
      </c>
      <c r="E18" s="96">
        <f>'8'!F15</f>
        <v>179521.21153000003</v>
      </c>
      <c r="F18" s="334">
        <f t="shared" si="2"/>
        <v>4.8545444835127287E-2</v>
      </c>
      <c r="G18" s="692">
        <f t="shared" si="3"/>
        <v>9.0554021121039899E-2</v>
      </c>
      <c r="H18" s="96">
        <f>'8'!I15</f>
        <v>15387.5</v>
      </c>
      <c r="I18" s="96">
        <f>'8'!J15</f>
        <v>163914.853909</v>
      </c>
      <c r="J18" s="352">
        <f t="shared" si="1"/>
        <v>4.3157054286553614E-2</v>
      </c>
      <c r="K18" s="284"/>
      <c r="L18" s="284"/>
      <c r="M18" s="284"/>
    </row>
    <row r="19" spans="1:15" ht="12" customHeight="1" x14ac:dyDescent="0.2">
      <c r="A19" s="274"/>
      <c r="B19" s="274"/>
      <c r="C19" s="370" t="s">
        <v>25</v>
      </c>
      <c r="D19" s="89">
        <f>'8'!E22</f>
        <v>17547.900000000001</v>
      </c>
      <c r="E19" s="96">
        <f>'8'!F22</f>
        <v>187725.95652000001</v>
      </c>
      <c r="F19" s="334">
        <f t="shared" si="2"/>
        <v>5.0764298185575867E-2</v>
      </c>
      <c r="G19" s="692">
        <f t="shared" si="3"/>
        <v>9.5617804932774542E-3</v>
      </c>
      <c r="H19" s="96">
        <f>'8'!I22</f>
        <v>17381.7</v>
      </c>
      <c r="I19" s="96">
        <f>'8'!J22</f>
        <v>185156.80483899999</v>
      </c>
      <c r="J19" s="352">
        <f t="shared" si="1"/>
        <v>4.875015242843795E-2</v>
      </c>
      <c r="K19" s="287"/>
      <c r="L19" s="287"/>
      <c r="M19" s="284"/>
    </row>
    <row r="20" spans="1:15" ht="12" customHeight="1" x14ac:dyDescent="0.2">
      <c r="A20" s="274"/>
      <c r="B20" s="274"/>
      <c r="C20" s="370" t="s">
        <v>3</v>
      </c>
      <c r="D20" s="89">
        <f>'8'!E29</f>
        <v>27587.983181064617</v>
      </c>
      <c r="E20" s="96">
        <f>'8'!F29</f>
        <v>294966.39099998254</v>
      </c>
      <c r="F20" s="334">
        <f t="shared" si="2"/>
        <v>7.9809242390383811E-2</v>
      </c>
      <c r="G20" s="692">
        <f t="shared" si="3"/>
        <v>1.2428856253273423E-2</v>
      </c>
      <c r="H20" s="96">
        <f>'8'!I29</f>
        <v>27249.305480249066</v>
      </c>
      <c r="I20" s="96">
        <f>'8'!J29</f>
        <v>290146.14840000001</v>
      </c>
      <c r="J20" s="352">
        <f t="shared" si="1"/>
        <v>7.6425654322144071E-2</v>
      </c>
      <c r="K20" s="284"/>
      <c r="L20" s="284"/>
      <c r="M20" s="284"/>
      <c r="N20" s="284"/>
      <c r="O20" s="284"/>
    </row>
    <row r="21" spans="1:15" ht="12" customHeight="1" x14ac:dyDescent="0.2">
      <c r="A21" s="274"/>
      <c r="B21" s="274"/>
      <c r="C21" s="370" t="s">
        <v>26</v>
      </c>
      <c r="D21" s="89">
        <f>'8'!E36</f>
        <v>44303.124000000003</v>
      </c>
      <c r="E21" s="96">
        <f>'8'!F36</f>
        <v>473935.4356899999</v>
      </c>
      <c r="F21" s="334">
        <f t="shared" si="2"/>
        <v>0.12816445257201961</v>
      </c>
      <c r="G21" s="692">
        <f t="shared" si="3"/>
        <v>-0.20238655041295178</v>
      </c>
      <c r="H21" s="96">
        <f>'8'!I36</f>
        <v>55544.604999999996</v>
      </c>
      <c r="I21" s="96">
        <f>'8'!J36</f>
        <v>591670.57080800005</v>
      </c>
      <c r="J21" s="352">
        <f t="shared" si="1"/>
        <v>0.15578498997954035</v>
      </c>
      <c r="K21" s="284"/>
      <c r="L21" s="284"/>
      <c r="M21" s="284"/>
      <c r="N21" s="284"/>
      <c r="O21" s="284"/>
    </row>
    <row r="22" spans="1:15" ht="12" customHeight="1" x14ac:dyDescent="0.2">
      <c r="A22" s="274"/>
      <c r="B22" s="274"/>
      <c r="C22" s="370" t="s">
        <v>27</v>
      </c>
      <c r="D22" s="89">
        <f>'8'!E43</f>
        <v>50837.856</v>
      </c>
      <c r="E22" s="96">
        <f>'8'!F43</f>
        <v>543769.85774000001</v>
      </c>
      <c r="F22" s="334">
        <f t="shared" si="2"/>
        <v>0.14706877068477522</v>
      </c>
      <c r="G22" s="692">
        <f t="shared" si="3"/>
        <v>1.6072754357030442E-2</v>
      </c>
      <c r="H22" s="96">
        <f>'8'!I43</f>
        <v>50033.676999999996</v>
      </c>
      <c r="I22" s="96">
        <f>'8'!J43</f>
        <v>533027.43421199999</v>
      </c>
      <c r="J22" s="352">
        <f t="shared" si="1"/>
        <v>0.14032858582907481</v>
      </c>
      <c r="K22" s="284"/>
      <c r="L22" s="284"/>
      <c r="M22" s="284"/>
      <c r="N22" s="284"/>
      <c r="O22" s="284"/>
    </row>
    <row r="23" spans="1:15" ht="12" customHeight="1" x14ac:dyDescent="0.2">
      <c r="A23" s="274"/>
      <c r="B23" s="274"/>
      <c r="C23" s="370" t="s">
        <v>28</v>
      </c>
      <c r="D23" s="89">
        <f>'8'!E50</f>
        <v>14905.987000000001</v>
      </c>
      <c r="E23" s="96">
        <f>'8'!F50</f>
        <v>159445.11664000002</v>
      </c>
      <c r="F23" s="334">
        <f t="shared" si="2"/>
        <v>4.3121511338582823E-2</v>
      </c>
      <c r="G23" s="692">
        <f t="shared" si="3"/>
        <v>-7.6066805647266131E-2</v>
      </c>
      <c r="H23" s="96">
        <f>'8'!I50</f>
        <v>16133.187000000002</v>
      </c>
      <c r="I23" s="96">
        <f>'8'!J50</f>
        <v>171841.29279499999</v>
      </c>
      <c r="J23" s="352">
        <f t="shared" si="1"/>
        <v>4.5248469678253203E-2</v>
      </c>
      <c r="K23" s="284"/>
      <c r="L23" s="284"/>
      <c r="M23" s="284"/>
      <c r="N23" s="284"/>
      <c r="O23" s="284"/>
    </row>
    <row r="24" spans="1:15" ht="12" customHeight="1" x14ac:dyDescent="0.2">
      <c r="A24" s="274"/>
      <c r="B24" s="274"/>
      <c r="C24" s="370" t="s">
        <v>29</v>
      </c>
      <c r="D24" s="89">
        <f>'8'!E57</f>
        <v>17012.099999999999</v>
      </c>
      <c r="E24" s="96">
        <f>'8'!F57</f>
        <v>181994.60003999999</v>
      </c>
      <c r="F24" s="334">
        <f>D24/$D$25</f>
        <v>4.9214283028900047E-2</v>
      </c>
      <c r="G24" s="692">
        <f t="shared" si="3"/>
        <v>-7.7419914640693838E-2</v>
      </c>
      <c r="H24" s="96">
        <f>'8'!I57</f>
        <v>18439.7</v>
      </c>
      <c r="I24" s="96">
        <f>'8'!J57</f>
        <v>196427.26862300001</v>
      </c>
      <c r="J24" s="352">
        <f t="shared" si="1"/>
        <v>5.1717506672803427E-2</v>
      </c>
      <c r="K24" s="284"/>
      <c r="L24" s="284"/>
      <c r="M24" s="284"/>
      <c r="N24" s="284"/>
      <c r="O24" s="284"/>
    </row>
    <row r="25" spans="1:15" ht="12" customHeight="1" x14ac:dyDescent="0.2">
      <c r="A25" s="433"/>
      <c r="B25" s="433"/>
      <c r="C25" s="428" t="s">
        <v>2</v>
      </c>
      <c r="D25" s="429">
        <f>SUM(D11:D24)</f>
        <v>345674.03918106464</v>
      </c>
      <c r="E25" s="430">
        <f>SUM(E11:E24)</f>
        <v>3697401.1346699819</v>
      </c>
      <c r="F25" s="431">
        <f>SUM(F11:F24)</f>
        <v>0.99999999999999978</v>
      </c>
      <c r="G25" s="693">
        <f>(D25-H25)/H25</f>
        <v>-3.0494019536021596E-2</v>
      </c>
      <c r="H25" s="430">
        <f>SUM(H11:H24)</f>
        <v>356546.57748024899</v>
      </c>
      <c r="I25" s="430">
        <f>SUM(I11:I24)</f>
        <v>3797739.0027200002</v>
      </c>
      <c r="J25" s="432">
        <f>SUM(J11:J24)</f>
        <v>1.0000000000000004</v>
      </c>
      <c r="K25" s="287"/>
      <c r="M25" s="284"/>
      <c r="N25" s="284"/>
      <c r="O25" s="284"/>
    </row>
    <row r="26" spans="1:15" ht="12" customHeight="1" x14ac:dyDescent="0.2">
      <c r="A26" s="433"/>
      <c r="B26" s="433"/>
      <c r="C26" s="370" t="s">
        <v>178</v>
      </c>
      <c r="D26" s="248">
        <f>'5'!E16</f>
        <v>7286.8021695609932</v>
      </c>
      <c r="E26" s="173">
        <f>'5'!F16</f>
        <v>78156.489599999957</v>
      </c>
      <c r="F26" s="347"/>
      <c r="G26" s="692">
        <f t="shared" si="3"/>
        <v>-0.11301694487048136</v>
      </c>
      <c r="H26" s="173">
        <f>'5'!I16</f>
        <v>8215.2664895012713</v>
      </c>
      <c r="I26" s="173">
        <f>'5'!J16</f>
        <v>87906.703990000009</v>
      </c>
      <c r="J26" s="362"/>
      <c r="K26" s="287"/>
      <c r="M26" s="284"/>
      <c r="N26" s="284"/>
      <c r="O26" s="284"/>
    </row>
    <row r="27" spans="1:15" ht="12" customHeight="1" x14ac:dyDescent="0.2">
      <c r="A27" s="433"/>
      <c r="B27" s="433"/>
      <c r="C27" s="371" t="s">
        <v>5</v>
      </c>
      <c r="D27" s="251">
        <f>SUM(D25:D26)</f>
        <v>352960.84135062562</v>
      </c>
      <c r="E27" s="252">
        <f>SUM(E25:E26)</f>
        <v>3775557.6242699819</v>
      </c>
      <c r="F27" s="336"/>
      <c r="G27" s="318">
        <f t="shared" si="3"/>
        <v>-3.2352623538396512E-2</v>
      </c>
      <c r="H27" s="286">
        <f>SUM(H25:H26)</f>
        <v>364761.84396975028</v>
      </c>
      <c r="I27" s="252">
        <f>SUM(I25:I26)</f>
        <v>3885645.7067100001</v>
      </c>
      <c r="J27" s="354"/>
    </row>
    <row r="28" spans="1:15" ht="12" customHeight="1" x14ac:dyDescent="0.2">
      <c r="A28" s="292"/>
      <c r="B28" s="268"/>
      <c r="C28" s="257"/>
      <c r="D28" s="488"/>
      <c r="E28" s="377"/>
      <c r="F28" s="378"/>
      <c r="G28" s="379"/>
      <c r="H28" s="380"/>
      <c r="I28" s="377"/>
      <c r="J28" s="381"/>
    </row>
    <row r="29" spans="1:15" ht="12" customHeight="1" x14ac:dyDescent="0.2">
      <c r="A29" s="836"/>
      <c r="B29" s="836"/>
      <c r="C29" s="836"/>
      <c r="D29" s="489"/>
      <c r="E29" s="174"/>
      <c r="F29" s="338"/>
      <c r="G29" s="320"/>
      <c r="H29" s="298"/>
      <c r="I29" s="299"/>
      <c r="J29" s="356"/>
    </row>
    <row r="30" spans="1:15" ht="4.5" customHeight="1" x14ac:dyDescent="0.2"/>
    <row r="31" spans="1:15" ht="12" customHeight="1" x14ac:dyDescent="0.2">
      <c r="A31" s="854" t="s">
        <v>246</v>
      </c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5" ht="12" customHeight="1" x14ac:dyDescent="0.2">
      <c r="A32" s="274"/>
      <c r="B32" s="274"/>
      <c r="C32" s="274"/>
      <c r="D32" s="855" t="str">
        <f>D7</f>
        <v>Září</v>
      </c>
      <c r="E32" s="855"/>
      <c r="F32" s="274"/>
      <c r="G32" s="274"/>
      <c r="H32" s="274"/>
      <c r="I32" s="274"/>
      <c r="J32" s="274"/>
    </row>
    <row r="33" spans="1:10" ht="12" customHeight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</row>
    <row r="34" spans="1:10" ht="12" customHeight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</row>
    <row r="35" spans="1:10" ht="12" customHeight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</row>
    <row r="36" spans="1:10" ht="12" customHeight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</row>
    <row r="37" spans="1:10" ht="12" customHeight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</row>
    <row r="38" spans="1:10" ht="12" customHeight="1" x14ac:dyDescent="0.2">
      <c r="A38" s="274"/>
      <c r="B38" s="274"/>
      <c r="C38" s="274"/>
      <c r="D38" s="274"/>
      <c r="E38" s="274"/>
      <c r="F38" s="274"/>
      <c r="G38" s="274"/>
      <c r="H38" s="274"/>
      <c r="I38" s="274"/>
      <c r="J38" s="274"/>
    </row>
    <row r="39" spans="1:10" ht="12" customHeight="1" x14ac:dyDescent="0.2">
      <c r="A39" s="274"/>
      <c r="B39" s="274"/>
      <c r="C39" s="274"/>
      <c r="D39" s="274"/>
      <c r="E39" s="274"/>
      <c r="F39" s="274"/>
      <c r="G39" s="274"/>
      <c r="H39" s="274"/>
      <c r="I39" s="274"/>
      <c r="J39" s="274"/>
    </row>
    <row r="40" spans="1:10" ht="12" customHeight="1" x14ac:dyDescent="0.2">
      <c r="A40" s="274"/>
      <c r="B40" s="274"/>
      <c r="C40" s="274"/>
      <c r="D40" s="274"/>
      <c r="E40" s="274"/>
      <c r="F40" s="274"/>
      <c r="G40" s="274"/>
      <c r="H40" s="274"/>
      <c r="I40" s="274"/>
      <c r="J40" s="274"/>
    </row>
    <row r="41" spans="1:10" ht="12" customHeight="1" x14ac:dyDescent="0.2">
      <c r="A41" s="274"/>
      <c r="B41" s="274"/>
      <c r="C41" s="274"/>
      <c r="D41" s="274"/>
      <c r="E41" s="274"/>
      <c r="F41" s="274"/>
      <c r="G41" s="274"/>
      <c r="H41" s="274"/>
      <c r="I41" s="274"/>
      <c r="J41" s="274"/>
    </row>
    <row r="42" spans="1:10" ht="12" customHeight="1" x14ac:dyDescent="0.2">
      <c r="A42" s="274"/>
      <c r="B42" s="274"/>
      <c r="C42" s="274"/>
      <c r="D42" s="274"/>
      <c r="E42" s="274"/>
      <c r="F42" s="274"/>
      <c r="G42" s="274"/>
      <c r="H42" s="274"/>
      <c r="I42" s="274"/>
      <c r="J42" s="274"/>
    </row>
    <row r="43" spans="1:10" ht="12" customHeight="1" x14ac:dyDescent="0.2">
      <c r="A43" s="274"/>
      <c r="B43" s="274"/>
      <c r="C43" s="274"/>
      <c r="D43" s="274"/>
      <c r="E43" s="274"/>
      <c r="F43" s="274"/>
      <c r="G43" s="274"/>
      <c r="H43" s="274"/>
      <c r="I43" s="274"/>
      <c r="J43" s="274"/>
    </row>
    <row r="44" spans="1:10" ht="12" customHeight="1" x14ac:dyDescent="0.2">
      <c r="A44" s="274"/>
      <c r="B44" s="274"/>
      <c r="C44" s="274"/>
      <c r="D44" s="274"/>
      <c r="E44" s="274"/>
      <c r="F44" s="274"/>
      <c r="G44" s="274"/>
      <c r="H44" s="274"/>
      <c r="I44" s="274"/>
      <c r="J44" s="274"/>
    </row>
    <row r="45" spans="1:10" ht="12" customHeight="1" x14ac:dyDescent="0.2">
      <c r="A45" s="274"/>
      <c r="B45" s="274"/>
      <c r="C45" s="274"/>
      <c r="D45" s="275"/>
      <c r="E45" s="274"/>
      <c r="F45" s="276"/>
      <c r="G45" s="852" t="s">
        <v>244</v>
      </c>
      <c r="H45" s="276"/>
      <c r="I45" s="276"/>
      <c r="J45" s="276"/>
    </row>
    <row r="46" spans="1:10" ht="12" customHeight="1" x14ac:dyDescent="0.25">
      <c r="A46" s="271"/>
      <c r="B46" s="126"/>
      <c r="C46" s="274"/>
      <c r="D46" s="264" t="str">
        <f>D7</f>
        <v>Září</v>
      </c>
      <c r="E46" s="265">
        <f>E7</f>
        <v>2015</v>
      </c>
      <c r="F46" s="265"/>
      <c r="G46" s="853"/>
      <c r="H46" s="398" t="str">
        <f>H7</f>
        <v>Září</v>
      </c>
      <c r="I46" s="260">
        <f>I7</f>
        <v>2014</v>
      </c>
      <c r="J46" s="276"/>
    </row>
    <row r="47" spans="1:10" ht="12" customHeight="1" x14ac:dyDescent="0.25">
      <c r="A47" s="278"/>
      <c r="B47" s="279"/>
      <c r="C47" s="263"/>
      <c r="D47" s="825" t="s">
        <v>243</v>
      </c>
      <c r="E47" s="793"/>
      <c r="F47" s="426"/>
      <c r="G47" s="853"/>
      <c r="H47" s="826" t="s">
        <v>243</v>
      </c>
      <c r="I47" s="793"/>
      <c r="J47" s="87"/>
    </row>
    <row r="48" spans="1:10" ht="12" customHeight="1" x14ac:dyDescent="0.2">
      <c r="A48" s="278"/>
      <c r="B48" s="372"/>
      <c r="D48" s="434" t="s">
        <v>69</v>
      </c>
      <c r="E48" s="349" t="s">
        <v>142</v>
      </c>
      <c r="F48" s="394" t="s">
        <v>143</v>
      </c>
      <c r="G48" s="838"/>
      <c r="H48" s="419" t="s">
        <v>69</v>
      </c>
      <c r="I48" s="374" t="s">
        <v>142</v>
      </c>
      <c r="J48" s="374" t="s">
        <v>143</v>
      </c>
    </row>
    <row r="49" spans="1:10" ht="12" customHeight="1" x14ac:dyDescent="0.2">
      <c r="A49" s="250"/>
      <c r="B49" s="373"/>
      <c r="C49" s="373"/>
      <c r="D49" s="435" t="s">
        <v>14</v>
      </c>
      <c r="E49" s="350" t="s">
        <v>14</v>
      </c>
      <c r="F49" s="266" t="s">
        <v>14</v>
      </c>
      <c r="G49" s="435" t="s">
        <v>14</v>
      </c>
      <c r="H49" s="420" t="s">
        <v>14</v>
      </c>
      <c r="I49" s="266" t="s">
        <v>14</v>
      </c>
      <c r="J49" s="266" t="s">
        <v>14</v>
      </c>
    </row>
    <row r="50" spans="1:10" ht="12" customHeight="1" x14ac:dyDescent="0.2">
      <c r="A50" s="840" t="s">
        <v>4</v>
      </c>
      <c r="B50" s="840"/>
      <c r="C50" s="365"/>
      <c r="D50" s="486"/>
      <c r="E50" s="351"/>
      <c r="F50" s="395"/>
      <c r="G50" s="315"/>
      <c r="H50" s="421"/>
      <c r="I50" s="361"/>
      <c r="J50" s="365"/>
    </row>
    <row r="51" spans="1:10" ht="12" customHeight="1" x14ac:dyDescent="0.2">
      <c r="A51" s="95"/>
      <c r="B51" s="95"/>
      <c r="C51" s="370" t="s">
        <v>17</v>
      </c>
      <c r="D51" s="415">
        <f>INDEX([5]MZ!D3:BK3,1,5*T!$A$4-4)</f>
        <v>12.48</v>
      </c>
      <c r="E51" s="440">
        <f>INDEX([5]MZ!E3:BL3,1,5*T!$A$4-4)</f>
        <v>23.9</v>
      </c>
      <c r="F51" s="402">
        <f>INDEX([5]MZ!F3:BM3,1,5*T!$A$4-4)</f>
        <v>7.1</v>
      </c>
      <c r="G51" s="438">
        <f>D51-H51</f>
        <v>-1.2266666666666666</v>
      </c>
      <c r="H51" s="422">
        <f>INDEX([6]MZ!D3:BK3,1,5*T!$A$4-4)</f>
        <v>13.706666666666667</v>
      </c>
      <c r="I51" s="440">
        <f>INDEX([6]MZ!E3:BL3,1,5*T!$A$4-4)</f>
        <v>17.5</v>
      </c>
      <c r="J51" s="404">
        <f>INDEX([6]MZ!F3:BM3,1,5*T!$A$4-4)</f>
        <v>7.6</v>
      </c>
    </row>
    <row r="52" spans="1:10" ht="12" customHeight="1" x14ac:dyDescent="0.2">
      <c r="A52" s="95"/>
      <c r="B52" s="95"/>
      <c r="C52" s="370" t="s">
        <v>18</v>
      </c>
      <c r="D52" s="415">
        <f>INDEX([5]MZ!D4:BK4,1,5*T!$A$4-4)</f>
        <v>15.356666666666666</v>
      </c>
      <c r="E52" s="440">
        <f>INDEX([5]MZ!E4:BL4,1,5*T!$A$4-4)</f>
        <v>24.1</v>
      </c>
      <c r="F52" s="402">
        <f>INDEX([5]MZ!F4:BM4,1,5*T!$A$4-4)</f>
        <v>9.4</v>
      </c>
      <c r="G52" s="438">
        <f t="shared" ref="G52:G65" si="4">D52-H52</f>
        <v>8.3333333333330373E-2</v>
      </c>
      <c r="H52" s="422">
        <f>INDEX([6]MZ!D4:BK4,1,5*T!$A$4-4)</f>
        <v>15.273333333333335</v>
      </c>
      <c r="I52" s="440">
        <f>INDEX([6]MZ!E4:BL4,1,5*T!$A$4-4)</f>
        <v>19.7</v>
      </c>
      <c r="J52" s="404">
        <f>INDEX([6]MZ!F4:BM4,1,5*T!$A$4-4)</f>
        <v>9.6999999999999993</v>
      </c>
    </row>
    <row r="53" spans="1:10" ht="12" customHeight="1" x14ac:dyDescent="0.2">
      <c r="A53" s="292"/>
      <c r="B53" s="268"/>
      <c r="C53" s="370" t="s">
        <v>19</v>
      </c>
      <c r="D53" s="415">
        <f>INDEX([5]MZ!D5:BK5,1,5*T!$A$4-4)</f>
        <v>10.866666666666667</v>
      </c>
      <c r="E53" s="440">
        <f>INDEX([5]MZ!E5:BL5,1,5*T!$A$4-4)</f>
        <v>18.8</v>
      </c>
      <c r="F53" s="402">
        <f>INDEX([5]MZ!F5:BM5,1,5*T!$A$4-4)</f>
        <v>7.2</v>
      </c>
      <c r="G53" s="438">
        <f t="shared" si="4"/>
        <v>-2.1166666666666636</v>
      </c>
      <c r="H53" s="422">
        <f>INDEX([6]MZ!D5:BK5,1,5*T!$A$4-4)</f>
        <v>12.983333333333331</v>
      </c>
      <c r="I53" s="440">
        <f>INDEX([6]MZ!E5:BL5,1,5*T!$A$4-4)</f>
        <v>17.5</v>
      </c>
      <c r="J53" s="404">
        <f>INDEX([6]MZ!F5:BM5,1,5*T!$A$4-4)</f>
        <v>6.6</v>
      </c>
    </row>
    <row r="54" spans="1:10" ht="12" customHeight="1" x14ac:dyDescent="0.2">
      <c r="A54" s="292"/>
      <c r="B54" s="268"/>
      <c r="C54" s="370" t="s">
        <v>20</v>
      </c>
      <c r="D54" s="415">
        <f>INDEX([5]MZ!D6:BK6,1,5*T!$A$4-4)</f>
        <v>13.473333333333334</v>
      </c>
      <c r="E54" s="440">
        <f>INDEX([5]MZ!E6:BL6,1,5*T!$A$4-4)</f>
        <v>24.1</v>
      </c>
      <c r="F54" s="402">
        <f>INDEX([5]MZ!F6:BM6,1,5*T!$A$4-4)</f>
        <v>7.5</v>
      </c>
      <c r="G54" s="438">
        <f t="shared" si="4"/>
        <v>-0.95666666666666522</v>
      </c>
      <c r="H54" s="422">
        <f>INDEX([6]MZ!D6:BK6,1,5*T!$A$4-4)</f>
        <v>14.43</v>
      </c>
      <c r="I54" s="440">
        <f>INDEX([6]MZ!E6:BL6,1,5*T!$A$4-4)</f>
        <v>18.3</v>
      </c>
      <c r="J54" s="404">
        <f>INDEX([6]MZ!F6:BM6,1,5*T!$A$4-4)</f>
        <v>7.7</v>
      </c>
    </row>
    <row r="55" spans="1:10" ht="12" customHeight="1" x14ac:dyDescent="0.2">
      <c r="A55" s="292"/>
      <c r="B55" s="268"/>
      <c r="C55" s="370" t="s">
        <v>21</v>
      </c>
      <c r="D55" s="415">
        <f>INDEX([5]MZ!D7:BK7,1,5*T!$A$4-4)</f>
        <v>12.686666666666666</v>
      </c>
      <c r="E55" s="440">
        <f>INDEX([5]MZ!E7:BL7,1,5*T!$A$4-4)</f>
        <v>22.7</v>
      </c>
      <c r="F55" s="402">
        <f>INDEX([5]MZ!F7:BM7,1,5*T!$A$4-4)</f>
        <v>5.7</v>
      </c>
      <c r="G55" s="438">
        <f t="shared" si="4"/>
        <v>-1.4333333333333353</v>
      </c>
      <c r="H55" s="443">
        <f>INDEX([6]MZ!D7:BK7,1,5*T!$A$4-4)</f>
        <v>14.120000000000001</v>
      </c>
      <c r="I55" s="441">
        <f>INDEX([6]MZ!E7:BL7,1,5*T!$A$4-4)</f>
        <v>18.100000000000001</v>
      </c>
      <c r="J55" s="404">
        <f>INDEX([6]MZ!F7:BM7,1,5*T!$A$4-4)</f>
        <v>7.3</v>
      </c>
    </row>
    <row r="56" spans="1:10" ht="12" customHeight="1" x14ac:dyDescent="0.2">
      <c r="A56" s="274"/>
      <c r="B56" s="274"/>
      <c r="C56" s="370" t="s">
        <v>22</v>
      </c>
      <c r="D56" s="415">
        <f>INDEX([5]MZ!D8:BK8,1,5*T!$A$4-4)</f>
        <v>14.50333333333333</v>
      </c>
      <c r="E56" s="440">
        <f>INDEX([5]MZ!E8:BL8,1,5*T!$A$4-4)</f>
        <v>25.3</v>
      </c>
      <c r="F56" s="402">
        <f>INDEX([5]MZ!F8:BM8,1,5*T!$A$4-4)</f>
        <v>7.5</v>
      </c>
      <c r="G56" s="438">
        <f t="shared" si="4"/>
        <v>-8.3333333333332149E-2</v>
      </c>
      <c r="H56" s="443">
        <f>INDEX([6]MZ!D8:BK8,1,5*T!$A$4-4)</f>
        <v>14.586666666666662</v>
      </c>
      <c r="I56" s="441">
        <f>INDEX([6]MZ!E8:BL8,1,5*T!$A$4-4)</f>
        <v>18.100000000000001</v>
      </c>
      <c r="J56" s="404">
        <f>INDEX([6]MZ!F8:BM8,1,5*T!$A$4-4)</f>
        <v>8.1999999999999993</v>
      </c>
    </row>
    <row r="57" spans="1:10" ht="12" customHeight="1" x14ac:dyDescent="0.2">
      <c r="A57" s="274"/>
      <c r="B57" s="274"/>
      <c r="C57" s="370" t="s">
        <v>23</v>
      </c>
      <c r="D57" s="415">
        <f>INDEX([5]MZ!D9:BK9,1,5*T!$A$4-4)</f>
        <v>14.01</v>
      </c>
      <c r="E57" s="440">
        <f>INDEX([5]MZ!E9:BL9,1,5*T!$A$4-4)</f>
        <v>23.8</v>
      </c>
      <c r="F57" s="402">
        <f>INDEX([5]MZ!F9:BM9,1,5*T!$A$4-4)</f>
        <v>7.6</v>
      </c>
      <c r="G57" s="438">
        <f t="shared" si="4"/>
        <v>-0.31666666666666643</v>
      </c>
      <c r="H57" s="443">
        <f>INDEX([6]MZ!D9:BK9,1,5*T!$A$4-4)</f>
        <v>14.326666666666666</v>
      </c>
      <c r="I57" s="441">
        <f>INDEX([6]MZ!E9:BL9,1,5*T!$A$4-4)</f>
        <v>17.7</v>
      </c>
      <c r="J57" s="404">
        <f>INDEX([6]MZ!F9:BM9,1,5*T!$A$4-4)</f>
        <v>8.1</v>
      </c>
    </row>
    <row r="58" spans="1:10" ht="12" customHeight="1" x14ac:dyDescent="0.2">
      <c r="A58" s="274"/>
      <c r="B58" s="274"/>
      <c r="C58" s="370" t="s">
        <v>24</v>
      </c>
      <c r="D58" s="415">
        <f>INDEX([5]MZ!D10:BK10,1,5*T!$A$4-4)</f>
        <v>13.446666666666667</v>
      </c>
      <c r="E58" s="440">
        <f>INDEX([5]MZ!E10:BL10,1,5*T!$A$4-4)</f>
        <v>23.8</v>
      </c>
      <c r="F58" s="402">
        <f>INDEX([5]MZ!F10:BM10,1,5*T!$A$4-4)</f>
        <v>6.6</v>
      </c>
      <c r="G58" s="438">
        <f t="shared" si="4"/>
        <v>-0.80999999999999872</v>
      </c>
      <c r="H58" s="443">
        <f>INDEX([6]MZ!D10:BK10,1,5*T!$A$4-4)</f>
        <v>14.256666666666666</v>
      </c>
      <c r="I58" s="441">
        <f>INDEX([6]MZ!E10:BL10,1,5*T!$A$4-4)</f>
        <v>18</v>
      </c>
      <c r="J58" s="404">
        <f>INDEX([6]MZ!F10:BM10,1,5*T!$A$4-4)</f>
        <v>8</v>
      </c>
    </row>
    <row r="59" spans="1:10" ht="12" customHeight="1" x14ac:dyDescent="0.2">
      <c r="A59" s="274"/>
      <c r="B59" s="274"/>
      <c r="C59" s="370" t="s">
        <v>25</v>
      </c>
      <c r="D59" s="415">
        <f>INDEX([5]MZ!D11:BK11,1,5*T!$A$4-4)</f>
        <v>12.940000000000003</v>
      </c>
      <c r="E59" s="440">
        <f>INDEX([5]MZ!E11:BL11,1,5*T!$A$4-4)</f>
        <v>22.6</v>
      </c>
      <c r="F59" s="402">
        <f>INDEX([5]MZ!F11:BM11,1,5*T!$A$4-4)</f>
        <v>8.8000000000000007</v>
      </c>
      <c r="G59" s="438">
        <f t="shared" si="4"/>
        <v>-1.2999999999999954</v>
      </c>
      <c r="H59" s="443">
        <f>INDEX([6]MZ!D11:BK11,1,5*T!$A$4-4)</f>
        <v>14.239999999999998</v>
      </c>
      <c r="I59" s="441">
        <f>INDEX([6]MZ!E11:BL11,1,5*T!$A$4-4)</f>
        <v>18.5</v>
      </c>
      <c r="J59" s="404">
        <f>INDEX([6]MZ!F11:BM11,1,5*T!$A$4-4)</f>
        <v>7.8</v>
      </c>
    </row>
    <row r="60" spans="1:10" ht="12" customHeight="1" x14ac:dyDescent="0.2">
      <c r="A60" s="274"/>
      <c r="B60" s="274"/>
      <c r="C60" s="370" t="s">
        <v>3</v>
      </c>
      <c r="D60" s="415">
        <f>INDEX([5]MZ!D12:BK12,1,5*T!$A$4-4)</f>
        <v>15.140000000000004</v>
      </c>
      <c r="E60" s="440">
        <f>INDEX([5]MZ!E12:BL12,1,5*T!$A$4-4)</f>
        <v>25.1</v>
      </c>
      <c r="F60" s="402">
        <f>INDEX([5]MZ!F12:BM12,1,5*T!$A$4-4)</f>
        <v>10.199999999999999</v>
      </c>
      <c r="G60" s="438">
        <f t="shared" si="4"/>
        <v>-0.80333333333333101</v>
      </c>
      <c r="H60" s="443">
        <f>INDEX([6]MZ!D12:BK12,1,5*T!$A$4-4)</f>
        <v>15.943333333333335</v>
      </c>
      <c r="I60" s="441">
        <f>INDEX([6]MZ!E12:BL12,1,5*T!$A$4-4)</f>
        <v>20.5</v>
      </c>
      <c r="J60" s="404">
        <f>INDEX([6]MZ!F12:BM12,1,5*T!$A$4-4)</f>
        <v>9.8000000000000007</v>
      </c>
    </row>
    <row r="61" spans="1:10" ht="12" customHeight="1" x14ac:dyDescent="0.2">
      <c r="A61" s="274"/>
      <c r="B61" s="274"/>
      <c r="C61" s="370" t="s">
        <v>26</v>
      </c>
      <c r="D61" s="415">
        <f>INDEX([5]MZ!D13:BK13,1,5*T!$A$4-4)</f>
        <v>13.836666666666666</v>
      </c>
      <c r="E61" s="440">
        <f>INDEX([5]MZ!E13:BL13,1,5*T!$A$4-4)</f>
        <v>24.4</v>
      </c>
      <c r="F61" s="402">
        <f>INDEX([5]MZ!F13:BM13,1,5*T!$A$4-4)</f>
        <v>8</v>
      </c>
      <c r="G61" s="438">
        <f t="shared" si="4"/>
        <v>-0.97999999999999865</v>
      </c>
      <c r="H61" s="443">
        <f>INDEX([6]MZ!D13:BK13,1,5*T!$A$4-4)</f>
        <v>14.816666666666665</v>
      </c>
      <c r="I61" s="441">
        <f>INDEX([6]MZ!E13:BL13,1,5*T!$A$4-4)</f>
        <v>18.7</v>
      </c>
      <c r="J61" s="404">
        <f>INDEX([6]MZ!F13:BM13,1,5*T!$A$4-4)</f>
        <v>8.4</v>
      </c>
    </row>
    <row r="62" spans="1:10" ht="12" customHeight="1" x14ac:dyDescent="0.2">
      <c r="A62" s="274"/>
      <c r="B62" s="274"/>
      <c r="C62" s="370" t="s">
        <v>27</v>
      </c>
      <c r="D62" s="415">
        <f>INDEX([5]MZ!D14:BK14,1,5*T!$A$4-4)</f>
        <v>13.263333333333334</v>
      </c>
      <c r="E62" s="440">
        <f>INDEX([5]MZ!E14:BL14,1,5*T!$A$4-4)</f>
        <v>22.6</v>
      </c>
      <c r="F62" s="402">
        <f>INDEX([5]MZ!F14:BM14,1,5*T!$A$4-4)</f>
        <v>8.1999999999999993</v>
      </c>
      <c r="G62" s="438">
        <f t="shared" si="4"/>
        <v>-1.5199999999999996</v>
      </c>
      <c r="H62" s="443">
        <f>INDEX([6]MZ!D14:BK14,1,5*T!$A$4-4)</f>
        <v>14.783333333333333</v>
      </c>
      <c r="I62" s="441">
        <f>INDEX([6]MZ!E14:BL14,1,5*T!$A$4-4)</f>
        <v>18.8</v>
      </c>
      <c r="J62" s="404">
        <f>INDEX([6]MZ!F14:BM14,1,5*T!$A$4-4)</f>
        <v>8.3000000000000007</v>
      </c>
    </row>
    <row r="63" spans="1:10" ht="12" customHeight="1" x14ac:dyDescent="0.2">
      <c r="A63" s="274"/>
      <c r="B63" s="274"/>
      <c r="C63" s="370" t="s">
        <v>28</v>
      </c>
      <c r="D63" s="415">
        <f>INDEX([5]MZ!D15:BK15,1,5*T!$A$4-4)</f>
        <v>12.82666666666667</v>
      </c>
      <c r="E63" s="440">
        <f>INDEX([5]MZ!E15:BL15,1,5*T!$A$4-4)</f>
        <v>24.2</v>
      </c>
      <c r="F63" s="402">
        <f>INDEX([5]MZ!F15:BM15,1,5*T!$A$4-4)</f>
        <v>6.7</v>
      </c>
      <c r="G63" s="438">
        <f t="shared" si="4"/>
        <v>-0.82666666666666444</v>
      </c>
      <c r="H63" s="443">
        <f>INDEX([6]MZ!D15:BK15,1,5*T!$A$4-4)</f>
        <v>13.653333333333334</v>
      </c>
      <c r="I63" s="441">
        <f>INDEX([6]MZ!E15:BL15,1,5*T!$A$4-4)</f>
        <v>17.8</v>
      </c>
      <c r="J63" s="404">
        <f>INDEX([6]MZ!F15:BM15,1,5*T!$A$4-4)</f>
        <v>6.9</v>
      </c>
    </row>
    <row r="64" spans="1:10" ht="12" customHeight="1" x14ac:dyDescent="0.2">
      <c r="A64" s="274"/>
      <c r="B64" s="274"/>
      <c r="C64" s="370" t="s">
        <v>29</v>
      </c>
      <c r="D64" s="415">
        <f>INDEX([5]MZ!D16:BK16,1,5*T!$A$4-4)</f>
        <v>14.053333333333333</v>
      </c>
      <c r="E64" s="440">
        <f>INDEX([5]MZ!E16:BL16,1,5*T!$A$4-4)</f>
        <v>24.6</v>
      </c>
      <c r="F64" s="402">
        <f>INDEX([5]MZ!F16:BM16,1,5*T!$A$4-4)</f>
        <v>6.6</v>
      </c>
      <c r="G64" s="438">
        <f t="shared" si="4"/>
        <v>-0.31666666666666998</v>
      </c>
      <c r="H64" s="443">
        <f>INDEX([6]MZ!D16:BK16,1,5*T!$A$4-4)</f>
        <v>14.370000000000003</v>
      </c>
      <c r="I64" s="441">
        <f>INDEX([6]MZ!E16:BL16,1,5*T!$A$4-4)</f>
        <v>18</v>
      </c>
      <c r="J64" s="404">
        <f>INDEX([6]MZ!F16:BM16,1,5*T!$A$4-4)</f>
        <v>8.1</v>
      </c>
    </row>
    <row r="65" spans="1:10" ht="12" customHeight="1" x14ac:dyDescent="0.2">
      <c r="A65" s="433"/>
      <c r="B65" s="433"/>
      <c r="C65" s="371" t="s">
        <v>2</v>
      </c>
      <c r="D65" s="416">
        <f>INDEX([5]MZ!D17:BK17,1,5*T!$A$4-4)</f>
        <v>13.526666666666667</v>
      </c>
      <c r="E65" s="442">
        <f>INDEX([5]MZ!E17:BL17,1,5*T!$A$4-4)</f>
        <v>23.5</v>
      </c>
      <c r="F65" s="406">
        <f>INDEX([5]MZ!F17:BM17,1,5*T!$A$4-4)</f>
        <v>7.6</v>
      </c>
      <c r="G65" s="439">
        <f t="shared" si="4"/>
        <v>-0.7333333333333325</v>
      </c>
      <c r="H65" s="423">
        <f>INDEX([6]MZ!D17:BK17,1,5*T!$A$4-4)</f>
        <v>14.26</v>
      </c>
      <c r="I65" s="442">
        <f>INDEX([6]MZ!E17:BL17,1,5*T!$A$4-4)</f>
        <v>18.2</v>
      </c>
      <c r="J65" s="408">
        <f>INDEX([6]MZ!F17:BM17,1,5*T!$A$4-4)</f>
        <v>8</v>
      </c>
    </row>
    <row r="66" spans="1:10" ht="12" customHeight="1" x14ac:dyDescent="0.2">
      <c r="A66" s="292"/>
      <c r="B66" s="268"/>
      <c r="C66" s="257"/>
      <c r="D66" s="417"/>
      <c r="E66" s="436"/>
      <c r="F66" s="396"/>
      <c r="G66" s="379"/>
      <c r="H66" s="424"/>
      <c r="I66" s="436"/>
      <c r="J66" s="393"/>
    </row>
    <row r="67" spans="1:10" ht="12" customHeight="1" x14ac:dyDescent="0.2">
      <c r="A67" s="836"/>
      <c r="B67" s="836"/>
      <c r="C67" s="836"/>
      <c r="D67" s="418"/>
      <c r="E67" s="356"/>
      <c r="F67" s="397"/>
      <c r="G67" s="320"/>
      <c r="H67" s="425"/>
      <c r="I67" s="437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4"/>
      <c r="B70" s="274"/>
      <c r="C70" s="274"/>
      <c r="D70" s="274"/>
      <c r="E70" s="274"/>
      <c r="F70" s="274"/>
      <c r="G70" s="274"/>
      <c r="H70" s="274"/>
      <c r="I70" s="274"/>
      <c r="J70" s="274"/>
    </row>
    <row r="71" spans="1:10" ht="12" customHeight="1" x14ac:dyDescent="0.2">
      <c r="A71" s="274"/>
      <c r="B71" s="274"/>
      <c r="C71" s="274"/>
      <c r="D71" s="274"/>
      <c r="E71" s="274"/>
      <c r="F71" s="274"/>
      <c r="G71" s="274"/>
      <c r="H71" s="274"/>
      <c r="I71" s="274"/>
      <c r="J71" s="274"/>
    </row>
    <row r="72" spans="1:10" ht="12" customHeight="1" x14ac:dyDescent="0.2">
      <c r="A72" s="274"/>
      <c r="B72" s="274"/>
      <c r="C72" s="274"/>
      <c r="D72" s="274"/>
      <c r="E72" s="274"/>
      <c r="F72" s="274"/>
      <c r="G72" s="274"/>
      <c r="H72" s="274"/>
      <c r="I72" s="274"/>
      <c r="J72" s="274"/>
    </row>
    <row r="73" spans="1:10" ht="12" customHeight="1" x14ac:dyDescent="0.2">
      <c r="A73" s="274"/>
      <c r="B73" s="274"/>
      <c r="C73" s="274"/>
      <c r="D73" s="274"/>
      <c r="E73" s="274"/>
      <c r="F73" s="274"/>
      <c r="G73" s="274"/>
      <c r="H73" s="274"/>
      <c r="I73" s="274"/>
      <c r="J73" s="274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67:C67"/>
    <mergeCell ref="G45:G48"/>
    <mergeCell ref="D47:E47"/>
    <mergeCell ref="H47:I47"/>
    <mergeCell ref="A31:J31"/>
    <mergeCell ref="A50:B50"/>
    <mergeCell ref="D32:E32"/>
    <mergeCell ref="A10:B10"/>
    <mergeCell ref="A29:C29"/>
    <mergeCell ref="I1:J1"/>
    <mergeCell ref="A3:J3"/>
    <mergeCell ref="G6:G9"/>
    <mergeCell ref="D8:E8"/>
    <mergeCell ref="H8:I8"/>
    <mergeCell ref="C4:D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6" t="s">
        <v>53</v>
      </c>
      <c r="P1" s="856"/>
      <c r="R1" s="783"/>
      <c r="S1" s="176"/>
    </row>
    <row r="2" spans="1:19" s="3" customFormat="1" ht="15.75" x14ac:dyDescent="0.25">
      <c r="A2" s="857" t="s">
        <v>187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R2" s="783"/>
      <c r="S2" s="176"/>
    </row>
    <row r="3" spans="1:19" ht="15.75" customHeight="1" x14ac:dyDescent="0.25">
      <c r="A3" s="873" t="str">
        <f>T!$G$19</f>
        <v>Září</v>
      </c>
      <c r="B3" s="874"/>
      <c r="C3" s="874"/>
      <c r="D3" s="874"/>
      <c r="E3" s="874"/>
      <c r="F3" s="874"/>
      <c r="G3" s="874"/>
      <c r="H3" s="874"/>
      <c r="I3" s="871">
        <f>T!$I$21</f>
        <v>2015</v>
      </c>
      <c r="J3" s="872"/>
      <c r="K3" s="872"/>
      <c r="L3" s="872"/>
      <c r="M3" s="872"/>
      <c r="N3" s="872"/>
      <c r="O3" s="872"/>
      <c r="P3" s="872"/>
      <c r="R3" s="783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83"/>
      <c r="S4" s="176"/>
    </row>
    <row r="5" spans="1:19" ht="12" customHeight="1" x14ac:dyDescent="0.2">
      <c r="A5" s="865"/>
      <c r="B5" s="865"/>
      <c r="C5" s="866" t="s">
        <v>93</v>
      </c>
      <c r="D5" s="867"/>
      <c r="E5" s="869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83"/>
      <c r="S5" s="176"/>
    </row>
    <row r="6" spans="1:19" ht="12" customHeight="1" x14ac:dyDescent="0.2">
      <c r="A6" s="7"/>
      <c r="B6" s="7"/>
      <c r="C6" s="868"/>
      <c r="D6" s="867"/>
      <c r="E6" s="869"/>
      <c r="F6" s="7"/>
      <c r="G6" s="648"/>
      <c r="H6" s="648"/>
      <c r="I6" s="648"/>
      <c r="J6" s="648"/>
      <c r="K6" s="650">
        <v>0</v>
      </c>
      <c r="L6" s="649" t="s">
        <v>200</v>
      </c>
      <c r="M6" s="649"/>
      <c r="N6" s="786" t="e">
        <f>IF(ISNA(K37),NA(),IF(K37+1&lt;=CEILING($C$40/1000,1),K37+1,NA()))</f>
        <v>#N/A</v>
      </c>
      <c r="O6" s="649" t="s">
        <v>200</v>
      </c>
      <c r="P6" s="649"/>
      <c r="R6" s="783"/>
      <c r="S6" s="176"/>
    </row>
    <row r="7" spans="1:19" ht="13.5" customHeight="1" thickBot="1" x14ac:dyDescent="0.25">
      <c r="A7" s="870" t="s">
        <v>81</v>
      </c>
      <c r="B7" s="870"/>
      <c r="C7" s="107" t="s">
        <v>15</v>
      </c>
      <c r="D7" s="108" t="s">
        <v>1</v>
      </c>
      <c r="E7" s="109" t="s">
        <v>14</v>
      </c>
      <c r="F7" s="7"/>
      <c r="G7" s="648"/>
      <c r="H7" s="650"/>
      <c r="I7" s="649" t="s">
        <v>201</v>
      </c>
      <c r="J7" s="649" t="s">
        <v>52</v>
      </c>
      <c r="K7" s="784">
        <f>CEILING(C41/1000,1)</f>
        <v>9</v>
      </c>
      <c r="L7" s="651">
        <f t="shared" ref="L7:L21" si="0">COUNTIFS($I$8:$I$38,"&gt;"&amp;K6,$I$8:$I$38,"&lt;="&amp;K7,$I$8:$I$38,"&gt;=0")</f>
        <v>2</v>
      </c>
      <c r="M7" s="787"/>
      <c r="N7" s="786" t="e">
        <f>IF(ISNA(N6),NA(),IF(N6+1&lt;=CEILING($C$40/1000,1),N6+1,NA()))</f>
        <v>#N/A</v>
      </c>
      <c r="O7" s="651">
        <f t="shared" ref="O7:O38" si="1">COUNTIFS($I$8:$I$38,"&gt;"&amp;N6,$I$8:$I$38,"&lt;="&amp;N7,$I$8:$I$38,"&gt;=0")</f>
        <v>0</v>
      </c>
      <c r="P7" s="787"/>
      <c r="R7" s="783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42248</v>
      </c>
      <c r="B8" s="647" t="str">
        <f>IF(ROW(A8)-7&lt;=DAY(DATE($I$3,T!$A$4+1,1)-1),INDEX([7]ČR!B18:B383,DATE(2016,T!$A$4,1)-DATE(2016,1,1)+1,1),"")</f>
        <v>úterý</v>
      </c>
      <c r="C8" s="101">
        <f>IF(ROW(A8)-7&lt;=DAY(DATE($I$3,T!$A$4+1,1)-1),INDEX([7]ČR!D18:D383,DATE(2016,T!$A$4,1)-DATE(2016,1,1)+1,1)/1000,"")</f>
        <v>9700.7445267766361</v>
      </c>
      <c r="D8" s="105">
        <f>IF(ROW(A8)-7&lt;=DAY(DATE($I$3,T!$A$4+1,1)-1),INDEX([7]ČR!E18:E383,DATE(2016,T!$A$4,1)-DATE(2016,1,1)+1,1)/1000,"")</f>
        <v>103779.62423333334</v>
      </c>
      <c r="E8" s="106">
        <f>IF(ROW(A8)-7&lt;=DAY(DATE($I$3,T!$A$4+1,1)-1),INDEX([5]PT!AF16:AF381,DATE(2016,T!$A$4,1)-DATE(2016,1,1)+1,1),"")</f>
        <v>23.5</v>
      </c>
      <c r="F8" s="7"/>
      <c r="G8" s="648"/>
      <c r="H8" s="784">
        <f>IF(ISNUMBER(A8),A8,NA())</f>
        <v>42248</v>
      </c>
      <c r="I8" s="652">
        <f>IF(ISNUMBER(A8),C8/1000,NA())</f>
        <v>9.7007445267766368</v>
      </c>
      <c r="J8" s="653">
        <f>IF(ISNUMBER(A8),E8,NA())</f>
        <v>23.5</v>
      </c>
      <c r="K8" s="786">
        <f>IF(ISNA(K7),NA(),IF(K7+1&lt;=CEILING($C$40/1000,1),K7+1,NA()))</f>
        <v>10</v>
      </c>
      <c r="L8" s="651">
        <f t="shared" si="0"/>
        <v>4</v>
      </c>
      <c r="M8" s="787"/>
      <c r="N8" s="786" t="e">
        <f t="shared" ref="N8:N38" si="2">IF(ISNA(N7),NA(),IF(N7+1&lt;=CEILING($C$40/1000,1),N7+1,NA()))</f>
        <v>#N/A</v>
      </c>
      <c r="O8" s="651">
        <f t="shared" si="1"/>
        <v>0</v>
      </c>
      <c r="P8" s="787"/>
      <c r="R8" s="783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42249</v>
      </c>
      <c r="B9" s="647" t="str">
        <f>IF(ROW(A9)-7&lt;=DAY(DATE($I$3,T!$A$4+1,1)-1),INDEX([7]ČR!B19:B384,DATE(2016,T!$A$4,1)-DATE(2016,1,1)+1,1),"")</f>
        <v>středa</v>
      </c>
      <c r="C9" s="101">
        <f>IF(ROW(A9)-7&lt;=DAY(DATE($I$3,T!$A$4+1,1)-1),INDEX([7]ČR!D19:D384,DATE(2016,T!$A$4,1)-DATE(2016,1,1)+1,1)/1000,"")</f>
        <v>10351.424075733303</v>
      </c>
      <c r="D9" s="105">
        <f>IF(ROW(A9)-7&lt;=DAY(DATE($I$3,T!$A$4+1,1)-1),INDEX([7]ČR!E19:E384,DATE(2016,T!$A$4,1)-DATE(2016,1,1)+1,1)/1000,"")</f>
        <v>110737.71723333333</v>
      </c>
      <c r="E9" s="106">
        <f>IF(ROW(A9)-7&lt;=DAY(DATE($I$3,T!$A$4+1,1)-1),INDEX([5]PT!AF17:AF382,DATE(2016,T!$A$4,1)-DATE(2016,1,1)+1,1),"")</f>
        <v>15.6</v>
      </c>
      <c r="F9" s="7"/>
      <c r="G9" s="648"/>
      <c r="H9" s="784">
        <f t="shared" ref="H9:H38" si="3">IF(ISNUMBER(A9),A9,NA())</f>
        <v>42249</v>
      </c>
      <c r="I9" s="652">
        <f t="shared" ref="I9:I38" si="4">IF(ISNUMBER(A9),C9/1000,NA())</f>
        <v>10.351424075733302</v>
      </c>
      <c r="J9" s="653">
        <f t="shared" ref="J9:J38" si="5">IF(ISNUMBER(A9),E9,NA())</f>
        <v>15.6</v>
      </c>
      <c r="K9" s="786">
        <f t="shared" ref="K9:K38" si="6">IF(ISNA(K8),NA(),IF(K8+1&lt;=CEILING($C$40/1000,1),K8+1,NA()))</f>
        <v>11</v>
      </c>
      <c r="L9" s="651">
        <f t="shared" si="0"/>
        <v>6</v>
      </c>
      <c r="M9" s="787"/>
      <c r="N9" s="786" t="e">
        <f t="shared" si="2"/>
        <v>#N/A</v>
      </c>
      <c r="O9" s="651">
        <f t="shared" si="1"/>
        <v>0</v>
      </c>
      <c r="P9" s="787"/>
      <c r="R9" s="783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42250</v>
      </c>
      <c r="B10" s="647" t="str">
        <f>IF(ROW(A10)-7&lt;=DAY(DATE($I$3,T!$A$4+1,1)-1),INDEX([7]ČR!B20:B385,DATE(2016,T!$A$4,1)-DATE(2016,1,1)+1,1),"")</f>
        <v>čtvrtek</v>
      </c>
      <c r="C10" s="101">
        <f>IF(ROW(A10)-7&lt;=DAY(DATE($I$3,T!$A$4+1,1)-1),INDEX([7]ČR!D20:D385,DATE(2016,T!$A$4,1)-DATE(2016,1,1)+1,1)/1000,"")</f>
        <v>10675.088543805985</v>
      </c>
      <c r="D10" s="105">
        <f>IF(ROW(A10)-7&lt;=DAY(DATE($I$3,T!$A$4+1,1)-1),INDEX([7]ČR!E20:E385,DATE(2016,T!$A$4,1)-DATE(2016,1,1)+1,1)/1000,"")</f>
        <v>114203.01023333333</v>
      </c>
      <c r="E10" s="106">
        <f>IF(ROW(A10)-7&lt;=DAY(DATE($I$3,T!$A$4+1,1)-1),INDEX([5]PT!AF18:AF383,DATE(2016,T!$A$4,1)-DATE(2016,1,1)+1,1),"")</f>
        <v>16</v>
      </c>
      <c r="F10" s="7"/>
      <c r="G10" s="648"/>
      <c r="H10" s="784">
        <f t="shared" si="3"/>
        <v>42250</v>
      </c>
      <c r="I10" s="652">
        <f t="shared" si="4"/>
        <v>10.675088543805986</v>
      </c>
      <c r="J10" s="653">
        <f t="shared" si="5"/>
        <v>16</v>
      </c>
      <c r="K10" s="786">
        <f t="shared" si="6"/>
        <v>12</v>
      </c>
      <c r="L10" s="651">
        <f t="shared" si="0"/>
        <v>6</v>
      </c>
      <c r="M10" s="787"/>
      <c r="N10" s="786" t="e">
        <f t="shared" si="2"/>
        <v>#N/A</v>
      </c>
      <c r="O10" s="651">
        <f t="shared" si="1"/>
        <v>0</v>
      </c>
      <c r="P10" s="787"/>
      <c r="R10" s="783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42251</v>
      </c>
      <c r="B11" s="647" t="str">
        <f>IF(ROW(A11)-7&lt;=DAY(DATE($I$3,T!$A$4+1,1)-1),INDEX([7]ČR!B21:B386,DATE(2016,T!$A$4,1)-DATE(2016,1,1)+1,1),"")</f>
        <v>pátek</v>
      </c>
      <c r="C11" s="101">
        <f>IF(ROW(A11)-7&lt;=DAY(DATE($I$3,T!$A$4+1,1)-1),INDEX([7]ČR!D21:D386,DATE(2016,T!$A$4,1)-DATE(2016,1,1)+1,1)/1000,"")</f>
        <v>11294.69983214782</v>
      </c>
      <c r="D11" s="105">
        <f>IF(ROW(A11)-7&lt;=DAY(DATE($I$3,T!$A$4+1,1)-1),INDEX([7]ČR!E21:E386,DATE(2016,T!$A$4,1)-DATE(2016,1,1)+1,1)/1000,"")</f>
        <v>120836.14223333333</v>
      </c>
      <c r="E11" s="106">
        <f>IF(ROW(A11)-7&lt;=DAY(DATE($I$3,T!$A$4+1,1)-1),INDEX([5]PT!AF19:AF384,DATE(2016,T!$A$4,1)-DATE(2016,1,1)+1,1),"")</f>
        <v>15</v>
      </c>
      <c r="F11" s="7"/>
      <c r="G11" s="648"/>
      <c r="H11" s="784">
        <f t="shared" si="3"/>
        <v>42251</v>
      </c>
      <c r="I11" s="652">
        <f t="shared" si="4"/>
        <v>11.29469983214782</v>
      </c>
      <c r="J11" s="653">
        <f t="shared" si="5"/>
        <v>15</v>
      </c>
      <c r="K11" s="786">
        <f t="shared" si="6"/>
        <v>13</v>
      </c>
      <c r="L11" s="651">
        <f t="shared" si="0"/>
        <v>5</v>
      </c>
      <c r="M11" s="787"/>
      <c r="N11" s="786" t="e">
        <f t="shared" si="2"/>
        <v>#N/A</v>
      </c>
      <c r="O11" s="651">
        <f t="shared" si="1"/>
        <v>0</v>
      </c>
      <c r="P11" s="787"/>
      <c r="R11" s="783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42252</v>
      </c>
      <c r="B12" s="647" t="str">
        <f>IF(ROW(A12)-7&lt;=DAY(DATE($I$3,T!$A$4+1,1)-1),INDEX([7]ČR!B22:B387,DATE(2016,T!$A$4,1)-DATE(2016,1,1)+1,1),"")</f>
        <v>sobota</v>
      </c>
      <c r="C12" s="101">
        <f>IF(ROW(A12)-7&lt;=DAY(DATE($I$3,T!$A$4+1,1)-1),INDEX([7]ČR!D22:D387,DATE(2016,T!$A$4,1)-DATE(2016,1,1)+1,1)/1000,"")</f>
        <v>8197.0730704195521</v>
      </c>
      <c r="D12" s="105">
        <f>IF(ROW(A12)-7&lt;=DAY(DATE($I$3,T!$A$4+1,1)-1),INDEX([7]ČR!E22:E387,DATE(2016,T!$A$4,1)-DATE(2016,1,1)+1,1)/1000,"")</f>
        <v>87702.114233333341</v>
      </c>
      <c r="E12" s="106">
        <f>IF(ROW(A12)-7&lt;=DAY(DATE($I$3,T!$A$4+1,1)-1),INDEX([5]PT!AF20:AF385,DATE(2016,T!$A$4,1)-DATE(2016,1,1)+1,1),"")</f>
        <v>13.8</v>
      </c>
      <c r="F12" s="7"/>
      <c r="G12" s="648"/>
      <c r="H12" s="784">
        <f t="shared" si="3"/>
        <v>42252</v>
      </c>
      <c r="I12" s="652">
        <f t="shared" si="4"/>
        <v>8.1970730704195525</v>
      </c>
      <c r="J12" s="653">
        <f t="shared" si="5"/>
        <v>13.8</v>
      </c>
      <c r="K12" s="786">
        <f t="shared" si="6"/>
        <v>14</v>
      </c>
      <c r="L12" s="651">
        <f t="shared" si="0"/>
        <v>2</v>
      </c>
      <c r="M12" s="787"/>
      <c r="N12" s="786" t="e">
        <f t="shared" si="2"/>
        <v>#N/A</v>
      </c>
      <c r="O12" s="651">
        <f t="shared" si="1"/>
        <v>0</v>
      </c>
      <c r="P12" s="787"/>
      <c r="R12" s="783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42253</v>
      </c>
      <c r="B13" s="647" t="str">
        <f>IF(ROW(A13)-7&lt;=DAY(DATE($I$3,T!$A$4+1,1)-1),INDEX([7]ČR!B23:B388,DATE(2016,T!$A$4,1)-DATE(2016,1,1)+1,1),"")</f>
        <v>neděle</v>
      </c>
      <c r="C13" s="101">
        <f>IF(ROW(A13)-7&lt;=DAY(DATE($I$3,T!$A$4+1,1)-1),INDEX([7]ČR!D23:D388,DATE(2016,T!$A$4,1)-DATE(2016,1,1)+1,1)/1000,"")</f>
        <v>9233.6958503371116</v>
      </c>
      <c r="D13" s="105">
        <f>IF(ROW(A13)-7&lt;=DAY(DATE($I$3,T!$A$4+1,1)-1),INDEX([7]ČR!E23:E388,DATE(2016,T!$A$4,1)-DATE(2016,1,1)+1,1)/1000,"")</f>
        <v>98784.873233333332</v>
      </c>
      <c r="E13" s="106">
        <f>IF(ROW(A13)-7&lt;=DAY(DATE($I$3,T!$A$4+1,1)-1),INDEX([5]PT!AF21:AF386,DATE(2016,T!$A$4,1)-DATE(2016,1,1)+1,1),"")</f>
        <v>11.8</v>
      </c>
      <c r="F13" s="7"/>
      <c r="G13" s="648"/>
      <c r="H13" s="784">
        <f t="shared" si="3"/>
        <v>42253</v>
      </c>
      <c r="I13" s="652">
        <f t="shared" si="4"/>
        <v>9.2336958503371118</v>
      </c>
      <c r="J13" s="653">
        <f t="shared" si="5"/>
        <v>11.8</v>
      </c>
      <c r="K13" s="786">
        <f t="shared" si="6"/>
        <v>15</v>
      </c>
      <c r="L13" s="651">
        <f t="shared" si="0"/>
        <v>3</v>
      </c>
      <c r="M13" s="787"/>
      <c r="N13" s="786" t="e">
        <f t="shared" si="2"/>
        <v>#N/A</v>
      </c>
      <c r="O13" s="651">
        <f t="shared" si="1"/>
        <v>0</v>
      </c>
      <c r="P13" s="787"/>
      <c r="R13" s="783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42254</v>
      </c>
      <c r="B14" s="647" t="str">
        <f>IF(ROW(A14)-7&lt;=DAY(DATE($I$3,T!$A$4+1,1)-1),INDEX([7]ČR!B24:B389,DATE(2016,T!$A$4,1)-DATE(2016,1,1)+1,1),"")</f>
        <v>pondělí</v>
      </c>
      <c r="C14" s="101">
        <f>IF(ROW(A14)-7&lt;=DAY(DATE($I$3,T!$A$4+1,1)-1),INDEX([7]ČR!D24:D389,DATE(2016,T!$A$4,1)-DATE(2016,1,1)+1,1)/1000,"")</f>
        <v>11597.554488210992</v>
      </c>
      <c r="D14" s="105">
        <f>IF(ROW(A14)-7&lt;=DAY(DATE($I$3,T!$A$4+1,1)-1),INDEX([7]ČR!E24:E389,DATE(2016,T!$A$4,1)-DATE(2016,1,1)+1,1)/1000,"")</f>
        <v>124056.58323333334</v>
      </c>
      <c r="E14" s="106">
        <f>IF(ROW(A14)-7&lt;=DAY(DATE($I$3,T!$A$4+1,1)-1),INDEX([5]PT!AF22:AF387,DATE(2016,T!$A$4,1)-DATE(2016,1,1)+1,1),"")</f>
        <v>10.6</v>
      </c>
      <c r="F14" s="7"/>
      <c r="G14" s="648"/>
      <c r="H14" s="784">
        <f t="shared" si="3"/>
        <v>42254</v>
      </c>
      <c r="I14" s="652">
        <f t="shared" si="4"/>
        <v>11.597554488210992</v>
      </c>
      <c r="J14" s="653">
        <f t="shared" si="5"/>
        <v>10.6</v>
      </c>
      <c r="K14" s="786">
        <f t="shared" si="6"/>
        <v>16</v>
      </c>
      <c r="L14" s="651">
        <f t="shared" si="0"/>
        <v>0</v>
      </c>
      <c r="M14" s="787"/>
      <c r="N14" s="786" t="e">
        <f t="shared" si="2"/>
        <v>#N/A</v>
      </c>
      <c r="O14" s="651">
        <f t="shared" si="1"/>
        <v>0</v>
      </c>
      <c r="P14" s="787"/>
      <c r="R14" s="783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42255</v>
      </c>
      <c r="B15" s="647" t="str">
        <f>IF(ROW(A15)-7&lt;=DAY(DATE($I$3,T!$A$4+1,1)-1),INDEX([7]ČR!B25:B390,DATE(2016,T!$A$4,1)-DATE(2016,1,1)+1,1),"")</f>
        <v>úterý</v>
      </c>
      <c r="C15" s="101">
        <f>IF(ROW(A15)-7&lt;=DAY(DATE($I$3,T!$A$4+1,1)-1),INDEX([7]ČR!D25:D390,DATE(2016,T!$A$4,1)-DATE(2016,1,1)+1,1)/1000,"")</f>
        <v>11402.04196931642</v>
      </c>
      <c r="D15" s="105">
        <f>IF(ROW(A15)-7&lt;=DAY(DATE($I$3,T!$A$4+1,1)-1),INDEX([7]ČR!E25:E390,DATE(2016,T!$A$4,1)-DATE(2016,1,1)+1,1)/1000,"")</f>
        <v>121968.88223333334</v>
      </c>
      <c r="E15" s="106">
        <f>IF(ROW(A15)-7&lt;=DAY(DATE($I$3,T!$A$4+1,1)-1),INDEX([5]PT!AF23:AF388,DATE(2016,T!$A$4,1)-DATE(2016,1,1)+1,1),"")</f>
        <v>11.1</v>
      </c>
      <c r="F15" s="7"/>
      <c r="G15" s="648"/>
      <c r="H15" s="784">
        <f t="shared" si="3"/>
        <v>42255</v>
      </c>
      <c r="I15" s="652">
        <f t="shared" si="4"/>
        <v>11.40204196931642</v>
      </c>
      <c r="J15" s="653">
        <f t="shared" si="5"/>
        <v>11.1</v>
      </c>
      <c r="K15" s="786">
        <f t="shared" si="6"/>
        <v>17</v>
      </c>
      <c r="L15" s="651">
        <f t="shared" si="0"/>
        <v>1</v>
      </c>
      <c r="M15" s="787"/>
      <c r="N15" s="786" t="e">
        <f t="shared" si="2"/>
        <v>#N/A</v>
      </c>
      <c r="O15" s="651">
        <f t="shared" si="1"/>
        <v>0</v>
      </c>
      <c r="P15" s="787"/>
      <c r="R15" s="783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42256</v>
      </c>
      <c r="B16" s="647" t="str">
        <f>IF(ROW(A16)-7&lt;=DAY(DATE($I$3,T!$A$4+1,1)-1),INDEX([7]ČR!B26:B391,DATE(2016,T!$A$4,1)-DATE(2016,1,1)+1,1),"")</f>
        <v>středa</v>
      </c>
      <c r="C16" s="101">
        <f>IF(ROW(A16)-7&lt;=DAY(DATE($I$3,T!$A$4+1,1)-1),INDEX([7]ČR!D26:D391,DATE(2016,T!$A$4,1)-DATE(2016,1,1)+1,1)/1000,"")</f>
        <v>12222.584744863942</v>
      </c>
      <c r="D16" s="105">
        <f>IF(ROW(A16)-7&lt;=DAY(DATE($I$3,T!$A$4+1,1)-1),INDEX([7]ČR!E26:E391,DATE(2016,T!$A$4,1)-DATE(2016,1,1)+1,1)/1000,"")</f>
        <v>130742.76723333333</v>
      </c>
      <c r="E16" s="106">
        <f>IF(ROW(A16)-7&lt;=DAY(DATE($I$3,T!$A$4+1,1)-1),INDEX([5]PT!AF24:AF389,DATE(2016,T!$A$4,1)-DATE(2016,1,1)+1,1),"")</f>
        <v>9.9</v>
      </c>
      <c r="F16" s="7"/>
      <c r="G16" s="648"/>
      <c r="H16" s="784">
        <f t="shared" si="3"/>
        <v>42256</v>
      </c>
      <c r="I16" s="652">
        <f t="shared" si="4"/>
        <v>12.222584744863941</v>
      </c>
      <c r="J16" s="653">
        <f t="shared" si="5"/>
        <v>9.9</v>
      </c>
      <c r="K16" s="786">
        <f t="shared" si="6"/>
        <v>18</v>
      </c>
      <c r="L16" s="651">
        <f t="shared" si="0"/>
        <v>0</v>
      </c>
      <c r="M16" s="787"/>
      <c r="N16" s="786" t="e">
        <f t="shared" si="2"/>
        <v>#N/A</v>
      </c>
      <c r="O16" s="651">
        <f t="shared" si="1"/>
        <v>0</v>
      </c>
      <c r="P16" s="787"/>
      <c r="R16" s="783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42257</v>
      </c>
      <c r="B17" s="647" t="str">
        <f>IF(ROW(A17)-7&lt;=DAY(DATE($I$3,T!$A$4+1,1)-1),INDEX([7]ČR!B27:B392,DATE(2016,T!$A$4,1)-DATE(2016,1,1)+1,1),"")</f>
        <v>čtvrtek</v>
      </c>
      <c r="C17" s="101">
        <f>IF(ROW(A17)-7&lt;=DAY(DATE($I$3,T!$A$4+1,1)-1),INDEX([7]ČR!D27:D392,DATE(2016,T!$A$4,1)-DATE(2016,1,1)+1,1)/1000,"")</f>
        <v>12198.425235856466</v>
      </c>
      <c r="D17" s="105">
        <f>IF(ROW(A17)-7&lt;=DAY(DATE($I$3,T!$A$4+1,1)-1),INDEX([7]ČR!E27:E392,DATE(2016,T!$A$4,1)-DATE(2016,1,1)+1,1)/1000,"")</f>
        <v>130479.90123333334</v>
      </c>
      <c r="E17" s="106">
        <f>IF(ROW(A17)-7&lt;=DAY(DATE($I$3,T!$A$4+1,1)-1),INDEX([5]PT!AF25:AF390,DATE(2016,T!$A$4,1)-DATE(2016,1,1)+1,1),"")</f>
        <v>11.5</v>
      </c>
      <c r="F17" s="7"/>
      <c r="G17" s="648"/>
      <c r="H17" s="784">
        <f t="shared" si="3"/>
        <v>42257</v>
      </c>
      <c r="I17" s="652">
        <f t="shared" si="4"/>
        <v>12.198425235856467</v>
      </c>
      <c r="J17" s="653">
        <f t="shared" si="5"/>
        <v>11.5</v>
      </c>
      <c r="K17" s="786">
        <f t="shared" si="6"/>
        <v>19</v>
      </c>
      <c r="L17" s="651">
        <f t="shared" si="0"/>
        <v>1</v>
      </c>
      <c r="M17" s="787"/>
      <c r="N17" s="786" t="e">
        <f t="shared" si="2"/>
        <v>#N/A</v>
      </c>
      <c r="O17" s="651">
        <f t="shared" si="1"/>
        <v>0</v>
      </c>
      <c r="P17" s="787"/>
      <c r="R17" s="783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42258</v>
      </c>
      <c r="B18" s="647" t="str">
        <f>IF(ROW(A18)-7&lt;=DAY(DATE($I$3,T!$A$4+1,1)-1),INDEX([7]ČR!B28:B393,DATE(2016,T!$A$4,1)-DATE(2016,1,1)+1,1),"")</f>
        <v>pátek</v>
      </c>
      <c r="C18" s="101">
        <f>IF(ROW(A18)-7&lt;=DAY(DATE($I$3,T!$A$4+1,1)-1),INDEX([7]ČR!D28:D393,DATE(2016,T!$A$4,1)-DATE(2016,1,1)+1,1)/1000,"")</f>
        <v>14667.928928492054</v>
      </c>
      <c r="D18" s="105">
        <f>IF(ROW(A18)-7&lt;=DAY(DATE($I$3,T!$A$4+1,1)-1),INDEX([7]ČR!E28:E393,DATE(2016,T!$A$4,1)-DATE(2016,1,1)+1,1)/1000,"")</f>
        <v>156843.51823333331</v>
      </c>
      <c r="E18" s="106">
        <f>IF(ROW(A18)-7&lt;=DAY(DATE($I$3,T!$A$4+1,1)-1),INDEX([5]PT!AF26:AF391,DATE(2016,T!$A$4,1)-DATE(2016,1,1)+1,1),"")</f>
        <v>13</v>
      </c>
      <c r="F18" s="7"/>
      <c r="G18" s="648"/>
      <c r="H18" s="784">
        <f t="shared" si="3"/>
        <v>42258</v>
      </c>
      <c r="I18" s="652">
        <f t="shared" si="4"/>
        <v>14.667928928492055</v>
      </c>
      <c r="J18" s="653">
        <f t="shared" si="5"/>
        <v>13</v>
      </c>
      <c r="K18" s="786" t="e">
        <f t="shared" si="6"/>
        <v>#N/A</v>
      </c>
      <c r="L18" s="651">
        <f t="shared" si="0"/>
        <v>0</v>
      </c>
      <c r="M18" s="787"/>
      <c r="N18" s="786" t="e">
        <f t="shared" si="2"/>
        <v>#N/A</v>
      </c>
      <c r="O18" s="651">
        <f t="shared" si="1"/>
        <v>0</v>
      </c>
      <c r="P18" s="787"/>
      <c r="R18" s="783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42259</v>
      </c>
      <c r="B19" s="647" t="str">
        <f>IF(ROW(A19)-7&lt;=DAY(DATE($I$3,T!$A$4+1,1)-1),INDEX([7]ČR!B29:B394,DATE(2016,T!$A$4,1)-DATE(2016,1,1)+1,1),"")</f>
        <v>sobota</v>
      </c>
      <c r="C19" s="101">
        <f>IF(ROW(A19)-7&lt;=DAY(DATE($I$3,T!$A$4+1,1)-1),INDEX([7]ČR!D29:D394,DATE(2016,T!$A$4,1)-DATE(2016,1,1)+1,1)/1000,"")</f>
        <v>9435.5036584976224</v>
      </c>
      <c r="D19" s="105">
        <f>IF(ROW(A19)-7&lt;=DAY(DATE($I$3,T!$A$4+1,1)-1),INDEX([7]ČR!E29:E394,DATE(2016,T!$A$4,1)-DATE(2016,1,1)+1,1)/1000,"")</f>
        <v>100944.44523333333</v>
      </c>
      <c r="E19" s="106">
        <f>IF(ROW(A19)-7&lt;=DAY(DATE($I$3,T!$A$4+1,1)-1),INDEX([5]PT!AF27:AF392,DATE(2016,T!$A$4,1)-DATE(2016,1,1)+1,1),"")</f>
        <v>14.9</v>
      </c>
      <c r="F19" s="7"/>
      <c r="G19" s="648"/>
      <c r="H19" s="784">
        <f t="shared" si="3"/>
        <v>42259</v>
      </c>
      <c r="I19" s="652">
        <f t="shared" si="4"/>
        <v>9.4355036584976215</v>
      </c>
      <c r="J19" s="653">
        <f t="shared" si="5"/>
        <v>14.9</v>
      </c>
      <c r="K19" s="786" t="e">
        <f t="shared" si="6"/>
        <v>#N/A</v>
      </c>
      <c r="L19" s="651">
        <f t="shared" si="0"/>
        <v>0</v>
      </c>
      <c r="M19" s="787"/>
      <c r="N19" s="786" t="e">
        <f t="shared" si="2"/>
        <v>#N/A</v>
      </c>
      <c r="O19" s="651">
        <f t="shared" si="1"/>
        <v>0</v>
      </c>
      <c r="P19" s="787"/>
      <c r="R19" s="783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42260</v>
      </c>
      <c r="B20" s="647" t="str">
        <f>IF(ROW(A20)-7&lt;=DAY(DATE($I$3,T!$A$4+1,1)-1),INDEX([7]ČR!B30:B395,DATE(2016,T!$A$4,1)-DATE(2016,1,1)+1,1),"")</f>
        <v>neděle</v>
      </c>
      <c r="C20" s="101">
        <f>IF(ROW(A20)-7&lt;=DAY(DATE($I$3,T!$A$4+1,1)-1),INDEX([7]ČR!D30:D395,DATE(2016,T!$A$4,1)-DATE(2016,1,1)+1,1)/1000,"")</f>
        <v>9349.1360221922823</v>
      </c>
      <c r="D20" s="105">
        <f>IF(ROW(A20)-7&lt;=DAY(DATE($I$3,T!$A$4+1,1)-1),INDEX([7]ČR!E30:E395,DATE(2016,T!$A$4,1)-DATE(2016,1,1)+1,1)/1000,"")</f>
        <v>100021.99723333333</v>
      </c>
      <c r="E20" s="106">
        <f>IF(ROW(A20)-7&lt;=DAY(DATE($I$3,T!$A$4+1,1)-1),INDEX([5]PT!AF28:AF393,DATE(2016,T!$A$4,1)-DATE(2016,1,1)+1,1),"")</f>
        <v>17.399999999999999</v>
      </c>
      <c r="F20" s="7"/>
      <c r="G20" s="648"/>
      <c r="H20" s="784">
        <f t="shared" si="3"/>
        <v>42260</v>
      </c>
      <c r="I20" s="652">
        <f t="shared" si="4"/>
        <v>9.3491360221922815</v>
      </c>
      <c r="J20" s="653">
        <f t="shared" si="5"/>
        <v>17.399999999999999</v>
      </c>
      <c r="K20" s="786" t="e">
        <f t="shared" si="6"/>
        <v>#N/A</v>
      </c>
      <c r="L20" s="651">
        <f t="shared" si="0"/>
        <v>0</v>
      </c>
      <c r="M20" s="787"/>
      <c r="N20" s="786" t="e">
        <f t="shared" si="2"/>
        <v>#N/A</v>
      </c>
      <c r="O20" s="651">
        <f t="shared" si="1"/>
        <v>0</v>
      </c>
      <c r="P20" s="787"/>
      <c r="R20" s="783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42261</v>
      </c>
      <c r="B21" s="647" t="str">
        <f>IF(ROW(A21)-7&lt;=DAY(DATE($I$3,T!$A$4+1,1)-1),INDEX([7]ČR!B31:B396,DATE(2016,T!$A$4,1)-DATE(2016,1,1)+1,1),"")</f>
        <v>pondělí</v>
      </c>
      <c r="C21" s="101">
        <f>IF(ROW(A21)-7&lt;=DAY(DATE($I$3,T!$A$4+1,1)-1),INDEX([7]ČR!D31:D396,DATE(2016,T!$A$4,1)-DATE(2016,1,1)+1,1)/1000,"")</f>
        <v>11066.872022129368</v>
      </c>
      <c r="D21" s="105">
        <f>IF(ROW(A21)-7&lt;=DAY(DATE($I$3,T!$A$4+1,1)-1),INDEX([7]ČR!E31:E396,DATE(2016,T!$A$4,1)-DATE(2016,1,1)+1,1)/1000,"")</f>
        <v>118384.23223333333</v>
      </c>
      <c r="E21" s="106">
        <f>IF(ROW(A21)-7&lt;=DAY(DATE($I$3,T!$A$4+1,1)-1),INDEX([5]PT!AF29:AF394,DATE(2016,T!$A$4,1)-DATE(2016,1,1)+1,1),"")</f>
        <v>15.5</v>
      </c>
      <c r="F21" s="7"/>
      <c r="G21" s="648"/>
      <c r="H21" s="784">
        <f t="shared" si="3"/>
        <v>42261</v>
      </c>
      <c r="I21" s="652">
        <f t="shared" si="4"/>
        <v>11.066872022129369</v>
      </c>
      <c r="J21" s="653">
        <f t="shared" si="5"/>
        <v>15.5</v>
      </c>
      <c r="K21" s="786" t="e">
        <f t="shared" si="6"/>
        <v>#N/A</v>
      </c>
      <c r="L21" s="651">
        <f t="shared" si="0"/>
        <v>0</v>
      </c>
      <c r="M21" s="787"/>
      <c r="N21" s="786" t="e">
        <f t="shared" si="2"/>
        <v>#N/A</v>
      </c>
      <c r="O21" s="651">
        <f t="shared" si="1"/>
        <v>0</v>
      </c>
      <c r="P21" s="787"/>
      <c r="R21" s="783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42262</v>
      </c>
      <c r="B22" s="647" t="str">
        <f>IF(ROW(A22)-7&lt;=DAY(DATE($I$3,T!$A$4+1,1)-1),INDEX([7]ČR!B32:B397,DATE(2016,T!$A$4,1)-DATE(2016,1,1)+1,1),"")</f>
        <v>úterý</v>
      </c>
      <c r="C22" s="101">
        <f>IF(ROW(A22)-7&lt;=DAY(DATE($I$3,T!$A$4+1,1)-1),INDEX([7]ČR!D32:D397,DATE(2016,T!$A$4,1)-DATE(2016,1,1)+1,1)/1000,"")</f>
        <v>11139.047681373635</v>
      </c>
      <c r="D22" s="105">
        <f>IF(ROW(A22)-7&lt;=DAY(DATE($I$3,T!$A$4+1,1)-1),INDEX([7]ČR!E32:E397,DATE(2016,T!$A$4,1)-DATE(2016,1,1)+1,1)/1000,"")</f>
        <v>119154.62423333334</v>
      </c>
      <c r="E22" s="106">
        <f>IF(ROW(A22)-7&lt;=DAY(DATE($I$3,T!$A$4+1,1)-1),INDEX([5]PT!AF30:AF395,DATE(2016,T!$A$4,1)-DATE(2016,1,1)+1,1),"")</f>
        <v>15.6</v>
      </c>
      <c r="F22" s="7"/>
      <c r="G22" s="648"/>
      <c r="H22" s="784">
        <f t="shared" si="3"/>
        <v>42262</v>
      </c>
      <c r="I22" s="652">
        <f t="shared" si="4"/>
        <v>11.139047681373635</v>
      </c>
      <c r="J22" s="653">
        <f t="shared" si="5"/>
        <v>15.6</v>
      </c>
      <c r="K22" s="786" t="e">
        <f t="shared" si="6"/>
        <v>#N/A</v>
      </c>
      <c r="L22" s="651">
        <f>COUNTIFS($I$8:$I$38,"&gt;"&amp;K21,$I$8:$I$38,"&lt;="&amp;K22,$I$8:$I$38,"&gt;=0")</f>
        <v>0</v>
      </c>
      <c r="M22" s="787"/>
      <c r="N22" s="786" t="e">
        <f t="shared" si="2"/>
        <v>#N/A</v>
      </c>
      <c r="O22" s="651">
        <f t="shared" si="1"/>
        <v>0</v>
      </c>
      <c r="P22" s="787"/>
      <c r="R22" s="783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42263</v>
      </c>
      <c r="B23" s="647" t="str">
        <f>IF(ROW(A23)-7&lt;=DAY(DATE($I$3,T!$A$4+1,1)-1),INDEX([7]ČR!B33:B398,DATE(2016,T!$A$4,1)-DATE(2016,1,1)+1,1),"")</f>
        <v>středa</v>
      </c>
      <c r="C23" s="101">
        <f>IF(ROW(A23)-7&lt;=DAY(DATE($I$3,T!$A$4+1,1)-1),INDEX([7]ČR!D33:D398,DATE(2016,T!$A$4,1)-DATE(2016,1,1)+1,1)/1000,"")</f>
        <v>10696.748561847131</v>
      </c>
      <c r="D23" s="105">
        <f>IF(ROW(A23)-7&lt;=DAY(DATE($I$3,T!$A$4+1,1)-1),INDEX([7]ČR!E33:E398,DATE(2016,T!$A$4,1)-DATE(2016,1,1)+1,1)/1000,"")</f>
        <v>114425.28523333333</v>
      </c>
      <c r="E23" s="106">
        <f>IF(ROW(A23)-7&lt;=DAY(DATE($I$3,T!$A$4+1,1)-1),INDEX([5]PT!AF31:AF396,DATE(2016,T!$A$4,1)-DATE(2016,1,1)+1,1),"")</f>
        <v>18.7</v>
      </c>
      <c r="F23" s="7"/>
      <c r="G23" s="648"/>
      <c r="H23" s="784">
        <f t="shared" si="3"/>
        <v>42263</v>
      </c>
      <c r="I23" s="652">
        <f t="shared" si="4"/>
        <v>10.696748561847132</v>
      </c>
      <c r="J23" s="653">
        <f t="shared" si="5"/>
        <v>18.7</v>
      </c>
      <c r="K23" s="786" t="e">
        <f t="shared" si="6"/>
        <v>#N/A</v>
      </c>
      <c r="L23" s="651">
        <f t="shared" ref="L23:L38" si="7">COUNTIFS($I$8:$I$38,"&gt;"&amp;K22,$I$8:$I$38,"&lt;="&amp;K23,$I$8:$I$38,"&gt;=0")</f>
        <v>0</v>
      </c>
      <c r="M23" s="787"/>
      <c r="N23" s="786" t="e">
        <f t="shared" si="2"/>
        <v>#N/A</v>
      </c>
      <c r="O23" s="651">
        <f t="shared" si="1"/>
        <v>0</v>
      </c>
      <c r="P23" s="787"/>
      <c r="R23" s="783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42264</v>
      </c>
      <c r="B24" s="647" t="str">
        <f>IF(ROW(A24)-7&lt;=DAY(DATE($I$3,T!$A$4+1,1)-1),INDEX([7]ČR!B34:B399,DATE(2016,T!$A$4,1)-DATE(2016,1,1)+1,1),"")</f>
        <v>čtvrtek</v>
      </c>
      <c r="C24" s="101">
        <f>IF(ROW(A24)-7&lt;=DAY(DATE($I$3,T!$A$4+1,1)-1),INDEX([7]ČR!D34:D399,DATE(2016,T!$A$4,1)-DATE(2016,1,1)+1,1)/1000,"")</f>
        <v>10390.631158546532</v>
      </c>
      <c r="D24" s="105">
        <f>IF(ROW(A24)-7&lt;=DAY(DATE($I$3,T!$A$4+1,1)-1),INDEX([7]ČR!E34:E399,DATE(2016,T!$A$4,1)-DATE(2016,1,1)+1,1)/1000,"")</f>
        <v>111159.52623333334</v>
      </c>
      <c r="E24" s="106">
        <f>IF(ROW(A24)-7&lt;=DAY(DATE($I$3,T!$A$4+1,1)-1),INDEX([5]PT!AF32:AF397,DATE(2016,T!$A$4,1)-DATE(2016,1,1)+1,1),"")</f>
        <v>20.6</v>
      </c>
      <c r="F24" s="7"/>
      <c r="G24" s="648"/>
      <c r="H24" s="784">
        <f t="shared" si="3"/>
        <v>42264</v>
      </c>
      <c r="I24" s="652">
        <f t="shared" si="4"/>
        <v>10.390631158546531</v>
      </c>
      <c r="J24" s="653">
        <f t="shared" si="5"/>
        <v>20.6</v>
      </c>
      <c r="K24" s="786" t="e">
        <f t="shared" si="6"/>
        <v>#N/A</v>
      </c>
      <c r="L24" s="651">
        <f t="shared" si="7"/>
        <v>0</v>
      </c>
      <c r="M24" s="787"/>
      <c r="N24" s="786" t="e">
        <f t="shared" si="2"/>
        <v>#N/A</v>
      </c>
      <c r="O24" s="651">
        <f t="shared" si="1"/>
        <v>0</v>
      </c>
      <c r="P24" s="787"/>
      <c r="R24" s="783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42265</v>
      </c>
      <c r="B25" s="647" t="str">
        <f>IF(ROW(A25)-7&lt;=DAY(DATE($I$3,T!$A$4+1,1)-1),INDEX([7]ČR!B35:B400,DATE(2016,T!$A$4,1)-DATE(2016,1,1)+1,1),"")</f>
        <v>pátek</v>
      </c>
      <c r="C25" s="101">
        <f>IF(ROW(A25)-7&lt;=DAY(DATE($I$3,T!$A$4+1,1)-1),INDEX([7]ČR!D35:D400,DATE(2016,T!$A$4,1)-DATE(2016,1,1)+1,1)/1000,"")</f>
        <v>10437.855721536367</v>
      </c>
      <c r="D25" s="105">
        <f>IF(ROW(A25)-7&lt;=DAY(DATE($I$3,T!$A$4+1,1)-1),INDEX([7]ČR!E35:E400,DATE(2016,T!$A$4,1)-DATE(2016,1,1)+1,1)/1000,"")</f>
        <v>111665.40223333334</v>
      </c>
      <c r="E25" s="106">
        <f>IF(ROW(A25)-7&lt;=DAY(DATE($I$3,T!$A$4+1,1)-1),INDEX([5]PT!AF33:AF398,DATE(2016,T!$A$4,1)-DATE(2016,1,1)+1,1),"")</f>
        <v>14.1</v>
      </c>
      <c r="F25" s="7"/>
      <c r="G25" s="648"/>
      <c r="H25" s="784">
        <f t="shared" si="3"/>
        <v>42265</v>
      </c>
      <c r="I25" s="652">
        <f t="shared" si="4"/>
        <v>10.437855721536367</v>
      </c>
      <c r="J25" s="653">
        <f t="shared" si="5"/>
        <v>14.1</v>
      </c>
      <c r="K25" s="786" t="e">
        <f t="shared" si="6"/>
        <v>#N/A</v>
      </c>
      <c r="L25" s="651">
        <f t="shared" si="7"/>
        <v>0</v>
      </c>
      <c r="M25" s="787"/>
      <c r="N25" s="786" t="e">
        <f t="shared" si="2"/>
        <v>#N/A</v>
      </c>
      <c r="O25" s="651">
        <f t="shared" si="1"/>
        <v>0</v>
      </c>
      <c r="P25" s="787"/>
      <c r="R25" s="783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42266</v>
      </c>
      <c r="B26" s="647" t="str">
        <f>IF(ROW(A26)-7&lt;=DAY(DATE($I$3,T!$A$4+1,1)-1),INDEX([7]ČR!B36:B401,DATE(2016,T!$A$4,1)-DATE(2016,1,1)+1,1),"")</f>
        <v>sobota</v>
      </c>
      <c r="C26" s="101">
        <f>IF(ROW(A26)-7&lt;=DAY(DATE($I$3,T!$A$4+1,1)-1),INDEX([7]ČR!D36:D401,DATE(2016,T!$A$4,1)-DATE(2016,1,1)+1,1)/1000,"")</f>
        <v>8975.0896284534938</v>
      </c>
      <c r="D26" s="105">
        <f>IF(ROW(A26)-7&lt;=DAY(DATE($I$3,T!$A$4+1,1)-1),INDEX([7]ČR!E36:E401,DATE(2016,T!$A$4,1)-DATE(2016,1,1)+1,1)/1000,"")</f>
        <v>96026.481233333339</v>
      </c>
      <c r="E26" s="106">
        <f>IF(ROW(A26)-7&lt;=DAY(DATE($I$3,T!$A$4+1,1)-1),INDEX([5]PT!AF34:AF399,DATE(2016,T!$A$4,1)-DATE(2016,1,1)+1,1),"")</f>
        <v>14.7</v>
      </c>
      <c r="F26" s="7"/>
      <c r="G26" s="648"/>
      <c r="H26" s="784">
        <f t="shared" si="3"/>
        <v>42266</v>
      </c>
      <c r="I26" s="652">
        <f t="shared" si="4"/>
        <v>8.9750896284534942</v>
      </c>
      <c r="J26" s="653">
        <f t="shared" si="5"/>
        <v>14.7</v>
      </c>
      <c r="K26" s="786" t="e">
        <f t="shared" si="6"/>
        <v>#N/A</v>
      </c>
      <c r="L26" s="651">
        <f t="shared" si="7"/>
        <v>0</v>
      </c>
      <c r="M26" s="787"/>
      <c r="N26" s="786" t="e">
        <f t="shared" si="2"/>
        <v>#N/A</v>
      </c>
      <c r="O26" s="651">
        <f t="shared" si="1"/>
        <v>0</v>
      </c>
      <c r="P26" s="787"/>
      <c r="R26" s="783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42267</v>
      </c>
      <c r="B27" s="647" t="str">
        <f>IF(ROW(A27)-7&lt;=DAY(DATE($I$3,T!$A$4+1,1)-1),INDEX([7]ČR!B37:B402,DATE(2016,T!$A$4,1)-DATE(2016,1,1)+1,1),"")</f>
        <v>neděle</v>
      </c>
      <c r="C27" s="101">
        <f>IF(ROW(A27)-7&lt;=DAY(DATE($I$3,T!$A$4+1,1)-1),INDEX([7]ČR!D37:D402,DATE(2016,T!$A$4,1)-DATE(2016,1,1)+1,1)/1000,"")</f>
        <v>10140.231654609237</v>
      </c>
      <c r="D27" s="105">
        <f>IF(ROW(A27)-7&lt;=DAY(DATE($I$3,T!$A$4+1,1)-1),INDEX([7]ČR!E37:E402,DATE(2016,T!$A$4,1)-DATE(2016,1,1)+1,1)/1000,"")</f>
        <v>108481.74923333334</v>
      </c>
      <c r="E27" s="106">
        <f>IF(ROW(A27)-7&lt;=DAY(DATE($I$3,T!$A$4+1,1)-1),INDEX([5]PT!AF35:AF400,DATE(2016,T!$A$4,1)-DATE(2016,1,1)+1,1),"")</f>
        <v>11.4</v>
      </c>
      <c r="F27" s="7"/>
      <c r="G27" s="648"/>
      <c r="H27" s="784">
        <f t="shared" si="3"/>
        <v>42267</v>
      </c>
      <c r="I27" s="652">
        <f t="shared" si="4"/>
        <v>10.140231654609236</v>
      </c>
      <c r="J27" s="653">
        <f t="shared" si="5"/>
        <v>11.4</v>
      </c>
      <c r="K27" s="786" t="e">
        <f t="shared" si="6"/>
        <v>#N/A</v>
      </c>
      <c r="L27" s="651">
        <f t="shared" si="7"/>
        <v>0</v>
      </c>
      <c r="M27" s="787"/>
      <c r="N27" s="786" t="e">
        <f t="shared" si="2"/>
        <v>#N/A</v>
      </c>
      <c r="O27" s="651">
        <f t="shared" si="1"/>
        <v>0</v>
      </c>
      <c r="P27" s="787"/>
      <c r="R27" s="783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42268</v>
      </c>
      <c r="B28" s="647" t="str">
        <f>IF(ROW(A28)-7&lt;=DAY(DATE($I$3,T!$A$4+1,1)-1),INDEX([7]ČR!B38:B403,DATE(2016,T!$A$4,1)-DATE(2016,1,1)+1,1),"")</f>
        <v>pondělí</v>
      </c>
      <c r="C28" s="101">
        <f>IF(ROW(A28)-7&lt;=DAY(DATE($I$3,T!$A$4+1,1)-1),INDEX([7]ČR!D38:D403,DATE(2016,T!$A$4,1)-DATE(2016,1,1)+1,1)/1000,"")</f>
        <v>14685.402776933721</v>
      </c>
      <c r="D28" s="105">
        <f>IF(ROW(A28)-7&lt;=DAY(DATE($I$3,T!$A$4+1,1)-1),INDEX([7]ČR!E38:E403,DATE(2016,T!$A$4,1)-DATE(2016,1,1)+1,1)/1000,"")</f>
        <v>157060.12823333332</v>
      </c>
      <c r="E28" s="106">
        <f>IF(ROW(A28)-7&lt;=DAY(DATE($I$3,T!$A$4+1,1)-1),INDEX([5]PT!AF36:AF401,DATE(2016,T!$A$4,1)-DATE(2016,1,1)+1,1),"")</f>
        <v>10.3</v>
      </c>
      <c r="F28" s="7"/>
      <c r="G28" s="648"/>
      <c r="H28" s="784">
        <f t="shared" si="3"/>
        <v>42268</v>
      </c>
      <c r="I28" s="652">
        <f t="shared" si="4"/>
        <v>14.685402776933721</v>
      </c>
      <c r="J28" s="653">
        <f t="shared" si="5"/>
        <v>10.3</v>
      </c>
      <c r="K28" s="786" t="e">
        <f t="shared" si="6"/>
        <v>#N/A</v>
      </c>
      <c r="L28" s="651">
        <f t="shared" si="7"/>
        <v>0</v>
      </c>
      <c r="M28" s="787"/>
      <c r="N28" s="786" t="e">
        <f t="shared" si="2"/>
        <v>#N/A</v>
      </c>
      <c r="O28" s="651">
        <f t="shared" si="1"/>
        <v>0</v>
      </c>
      <c r="P28" s="787"/>
      <c r="R28" s="783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42269</v>
      </c>
      <c r="B29" s="647" t="str">
        <f>IF(ROW(A29)-7&lt;=DAY(DATE($I$3,T!$A$4+1,1)-1),INDEX([7]ČR!B39:B404,DATE(2016,T!$A$4,1)-DATE(2016,1,1)+1,1),"")</f>
        <v>úterý</v>
      </c>
      <c r="C29" s="101">
        <f>IF(ROW(A29)-7&lt;=DAY(DATE($I$3,T!$A$4+1,1)-1),INDEX([7]ČR!D39:D404,DATE(2016,T!$A$4,1)-DATE(2016,1,1)+1,1)/1000,"")</f>
        <v>12553.554758620496</v>
      </c>
      <c r="D29" s="105">
        <f>IF(ROW(A29)-7&lt;=DAY(DATE($I$3,T!$A$4+1,1)-1),INDEX([7]ČR!E39:E404,DATE(2016,T!$A$4,1)-DATE(2016,1,1)+1,1)/1000,"")</f>
        <v>134279.18723333333</v>
      </c>
      <c r="E29" s="106">
        <f>IF(ROW(A29)-7&lt;=DAY(DATE($I$3,T!$A$4+1,1)-1),INDEX([5]PT!AF37:AF402,DATE(2016,T!$A$4,1)-DATE(2016,1,1)+1,1),"")</f>
        <v>13.1</v>
      </c>
      <c r="F29" s="7"/>
      <c r="G29" s="648"/>
      <c r="H29" s="784">
        <f t="shared" si="3"/>
        <v>42269</v>
      </c>
      <c r="I29" s="652">
        <f t="shared" si="4"/>
        <v>12.553554758620496</v>
      </c>
      <c r="J29" s="653">
        <f t="shared" si="5"/>
        <v>13.1</v>
      </c>
      <c r="K29" s="786" t="e">
        <f t="shared" si="6"/>
        <v>#N/A</v>
      </c>
      <c r="L29" s="651">
        <f t="shared" si="7"/>
        <v>0</v>
      </c>
      <c r="M29" s="787"/>
      <c r="N29" s="786" t="e">
        <f t="shared" si="2"/>
        <v>#N/A</v>
      </c>
      <c r="O29" s="651">
        <f t="shared" si="1"/>
        <v>0</v>
      </c>
      <c r="P29" s="787"/>
      <c r="R29" s="783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42270</v>
      </c>
      <c r="B30" s="647" t="str">
        <f>IF(ROW(A30)-7&lt;=DAY(DATE($I$3,T!$A$4+1,1)-1),INDEX([7]ČR!B40:B405,DATE(2016,T!$A$4,1)-DATE(2016,1,1)+1,1),"")</f>
        <v>středa</v>
      </c>
      <c r="C30" s="101">
        <f>IF(ROW(A30)-7&lt;=DAY(DATE($I$3,T!$A$4+1,1)-1),INDEX([7]ČR!D40:D405,DATE(2016,T!$A$4,1)-DATE(2016,1,1)+1,1)/1000,"")</f>
        <v>14359.633688987153</v>
      </c>
      <c r="D30" s="105">
        <f>IF(ROW(A30)-7&lt;=DAY(DATE($I$3,T!$A$4+1,1)-1),INDEX([7]ČR!E40:E405,DATE(2016,T!$A$4,1)-DATE(2016,1,1)+1,1)/1000,"")</f>
        <v>153585.30623333331</v>
      </c>
      <c r="E30" s="106">
        <f>IF(ROW(A30)-7&lt;=DAY(DATE($I$3,T!$A$4+1,1)-1),INDEX([5]PT!AF38:AF403,DATE(2016,T!$A$4,1)-DATE(2016,1,1)+1,1),"")</f>
        <v>11.5</v>
      </c>
      <c r="F30" s="7"/>
      <c r="G30" s="648"/>
      <c r="H30" s="784">
        <f t="shared" si="3"/>
        <v>42270</v>
      </c>
      <c r="I30" s="652">
        <f t="shared" si="4"/>
        <v>14.359633688987152</v>
      </c>
      <c r="J30" s="653">
        <f t="shared" si="5"/>
        <v>11.5</v>
      </c>
      <c r="K30" s="786" t="e">
        <f t="shared" si="6"/>
        <v>#N/A</v>
      </c>
      <c r="L30" s="651">
        <f t="shared" si="7"/>
        <v>0</v>
      </c>
      <c r="M30" s="787"/>
      <c r="N30" s="786" t="e">
        <f t="shared" si="2"/>
        <v>#N/A</v>
      </c>
      <c r="O30" s="651">
        <f t="shared" si="1"/>
        <v>0</v>
      </c>
      <c r="P30" s="787"/>
      <c r="R30" s="783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42271</v>
      </c>
      <c r="B31" s="647" t="str">
        <f>IF(ROW(A31)-7&lt;=DAY(DATE($I$3,T!$A$4+1,1)-1),INDEX([7]ČR!B41:B406,DATE(2016,T!$A$4,1)-DATE(2016,1,1)+1,1),"")</f>
        <v>čtvrtek</v>
      </c>
      <c r="C31" s="101">
        <f>IF(ROW(A31)-7&lt;=DAY(DATE($I$3,T!$A$4+1,1)-1),INDEX([7]ČR!D41:D406,DATE(2016,T!$A$4,1)-DATE(2016,1,1)+1,1)/1000,"")</f>
        <v>13187.685903645663</v>
      </c>
      <c r="D31" s="105">
        <f>IF(ROW(A31)-7&lt;=DAY(DATE($I$3,T!$A$4+1,1)-1),INDEX([7]ČR!E41:E406,DATE(2016,T!$A$4,1)-DATE(2016,1,1)+1,1)/1000,"")</f>
        <v>141059.68723333333</v>
      </c>
      <c r="E31" s="106">
        <f>IF(ROW(A31)-7&lt;=DAY(DATE($I$3,T!$A$4+1,1)-1),INDEX([5]PT!AF39:AF404,DATE(2016,T!$A$4,1)-DATE(2016,1,1)+1,1),"")</f>
        <v>12.6</v>
      </c>
      <c r="F31" s="7"/>
      <c r="G31" s="648"/>
      <c r="H31" s="784">
        <f t="shared" si="3"/>
        <v>42271</v>
      </c>
      <c r="I31" s="652">
        <f t="shared" si="4"/>
        <v>13.187685903645663</v>
      </c>
      <c r="J31" s="653">
        <f t="shared" si="5"/>
        <v>12.6</v>
      </c>
      <c r="K31" s="786" t="e">
        <f t="shared" si="6"/>
        <v>#N/A</v>
      </c>
      <c r="L31" s="651">
        <f t="shared" si="7"/>
        <v>0</v>
      </c>
      <c r="M31" s="787"/>
      <c r="N31" s="786" t="e">
        <f t="shared" si="2"/>
        <v>#N/A</v>
      </c>
      <c r="O31" s="651">
        <f t="shared" si="1"/>
        <v>0</v>
      </c>
      <c r="P31" s="787"/>
      <c r="R31" s="783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42272</v>
      </c>
      <c r="B32" s="647" t="str">
        <f>IF(ROW(A32)-7&lt;=DAY(DATE($I$3,T!$A$4+1,1)-1),INDEX([7]ČR!B42:B407,DATE(2016,T!$A$4,1)-DATE(2016,1,1)+1,1),"")</f>
        <v>pátek</v>
      </c>
      <c r="C32" s="101">
        <f>IF(ROW(A32)-7&lt;=DAY(DATE($I$3,T!$A$4+1,1)-1),INDEX([7]ČR!D42:D407,DATE(2016,T!$A$4,1)-DATE(2016,1,1)+1,1)/1000,"")</f>
        <v>12952.785702018016</v>
      </c>
      <c r="D32" s="105">
        <f>IF(ROW(A32)-7&lt;=DAY(DATE($I$3,T!$A$4+1,1)-1),INDEX([7]ČR!E42:E407,DATE(2016,T!$A$4,1)-DATE(2016,1,1)+1,1)/1000,"")</f>
        <v>138549.40523333332</v>
      </c>
      <c r="E32" s="106">
        <f>IF(ROW(A32)-7&lt;=DAY(DATE($I$3,T!$A$4+1,1)-1),INDEX([5]PT!AF40:AF405,DATE(2016,T!$A$4,1)-DATE(2016,1,1)+1,1),"")</f>
        <v>13.7</v>
      </c>
      <c r="F32" s="7"/>
      <c r="G32" s="648"/>
      <c r="H32" s="784">
        <f t="shared" si="3"/>
        <v>42272</v>
      </c>
      <c r="I32" s="652">
        <f t="shared" si="4"/>
        <v>12.952785702018016</v>
      </c>
      <c r="J32" s="653">
        <f t="shared" si="5"/>
        <v>13.7</v>
      </c>
      <c r="K32" s="786" t="e">
        <f t="shared" si="6"/>
        <v>#N/A</v>
      </c>
      <c r="L32" s="651">
        <f t="shared" si="7"/>
        <v>0</v>
      </c>
      <c r="M32" s="787"/>
      <c r="N32" s="786" t="e">
        <f t="shared" si="2"/>
        <v>#N/A</v>
      </c>
      <c r="O32" s="651">
        <f t="shared" si="1"/>
        <v>0</v>
      </c>
      <c r="P32" s="787"/>
    </row>
    <row r="33" spans="1:16" ht="12" customHeight="1" x14ac:dyDescent="0.2">
      <c r="A33" s="104">
        <f>IF(ROW(A33)-7&lt;=DAY(DATE($I$3,T!$A$4+1,1)-1),INDEX([7]ČR!A43:A408,DATE(2016,T!$A$4,1)-DATE(2016,1,1)+1,1),"")</f>
        <v>42273</v>
      </c>
      <c r="B33" s="647" t="str">
        <f>IF(ROW(A33)-7&lt;=DAY(DATE($I$3,T!$A$4+1,1)-1),INDEX([7]ČR!B43:B408,DATE(2016,T!$A$4,1)-DATE(2016,1,1)+1,1),"")</f>
        <v>sobota</v>
      </c>
      <c r="C33" s="101">
        <f>IF(ROW(A33)-7&lt;=DAY(DATE($I$3,T!$A$4+1,1)-1),INDEX([7]ČR!D43:D408,DATE(2016,T!$A$4,1)-DATE(2016,1,1)+1,1)/1000,"")</f>
        <v>11714.102901755436</v>
      </c>
      <c r="D33" s="105">
        <f>IF(ROW(A33)-7&lt;=DAY(DATE($I$3,T!$A$4+1,1)-1),INDEX([7]ČR!E43:E408,DATE(2016,T!$A$4,1)-DATE(2016,1,1)+1,1)/1000,"")</f>
        <v>125305.58923333333</v>
      </c>
      <c r="E33" s="106">
        <f>IF(ROW(A33)-7&lt;=DAY(DATE($I$3,T!$A$4+1,1)-1),INDEX([5]PT!AF41:AF406,DATE(2016,T!$A$4,1)-DATE(2016,1,1)+1,1),"")</f>
        <v>12.1</v>
      </c>
      <c r="F33" s="7"/>
      <c r="G33" s="648"/>
      <c r="H33" s="784">
        <f t="shared" si="3"/>
        <v>42273</v>
      </c>
      <c r="I33" s="652">
        <f t="shared" si="4"/>
        <v>11.714102901755435</v>
      </c>
      <c r="J33" s="653">
        <f t="shared" si="5"/>
        <v>12.1</v>
      </c>
      <c r="K33" s="786" t="e">
        <f t="shared" si="6"/>
        <v>#N/A</v>
      </c>
      <c r="L33" s="651">
        <f t="shared" si="7"/>
        <v>0</v>
      </c>
      <c r="M33" s="787"/>
      <c r="N33" s="786" t="e">
        <f t="shared" si="2"/>
        <v>#N/A</v>
      </c>
      <c r="O33" s="651">
        <f t="shared" si="1"/>
        <v>0</v>
      </c>
      <c r="P33" s="787"/>
    </row>
    <row r="34" spans="1:16" ht="12" customHeight="1" x14ac:dyDescent="0.2">
      <c r="A34" s="104">
        <f>IF(ROW(A34)-7&lt;=DAY(DATE($I$3,T!$A$4+1,1)-1),INDEX([7]ČR!A44:A409,DATE(2016,T!$A$4,1)-DATE(2016,1,1)+1,1),"")</f>
        <v>42274</v>
      </c>
      <c r="B34" s="647" t="str">
        <f>IF(ROW(A34)-7&lt;=DAY(DATE($I$3,T!$A$4+1,1)-1),INDEX([7]ČR!B44:B409,DATE(2016,T!$A$4,1)-DATE(2016,1,1)+1,1),"")</f>
        <v>neděle</v>
      </c>
      <c r="C34" s="101">
        <f>IF(ROW(A34)-7&lt;=DAY(DATE($I$3,T!$A$4+1,1)-1),INDEX([7]ČR!D44:D409,DATE(2016,T!$A$4,1)-DATE(2016,1,1)+1,1)/1000,"")</f>
        <v>12056.651770386181</v>
      </c>
      <c r="D34" s="105">
        <f>IF(ROW(A34)-7&lt;=DAY(DATE($I$3,T!$A$4+1,1)-1),INDEX([7]ČR!E44:E409,DATE(2016,T!$A$4,1)-DATE(2016,1,1)+1,1)/1000,"")</f>
        <v>128968.60423333333</v>
      </c>
      <c r="E34" s="106">
        <f>IF(ROW(A34)-7&lt;=DAY(DATE($I$3,T!$A$4+1,1)-1),INDEX([5]PT!AF42:AF407,DATE(2016,T!$A$4,1)-DATE(2016,1,1)+1,1),"")</f>
        <v>11</v>
      </c>
      <c r="F34" s="7"/>
      <c r="G34" s="648"/>
      <c r="H34" s="784">
        <f t="shared" si="3"/>
        <v>42274</v>
      </c>
      <c r="I34" s="652">
        <f t="shared" si="4"/>
        <v>12.05665177038618</v>
      </c>
      <c r="J34" s="653">
        <f t="shared" si="5"/>
        <v>11</v>
      </c>
      <c r="K34" s="786" t="e">
        <f t="shared" si="6"/>
        <v>#N/A</v>
      </c>
      <c r="L34" s="651">
        <f t="shared" si="7"/>
        <v>0</v>
      </c>
      <c r="M34" s="787"/>
      <c r="N34" s="786" t="e">
        <f t="shared" si="2"/>
        <v>#N/A</v>
      </c>
      <c r="O34" s="651">
        <f t="shared" si="1"/>
        <v>0</v>
      </c>
      <c r="P34" s="787"/>
    </row>
    <row r="35" spans="1:16" ht="12" customHeight="1" x14ac:dyDescent="0.2">
      <c r="A35" s="104">
        <f>IF(ROW(A35)-7&lt;=DAY(DATE($I$3,T!$A$4+1,1)-1),INDEX([7]ČR!A45:A410,DATE(2016,T!$A$4,1)-DATE(2016,1,1)+1,1),"")</f>
        <v>42275</v>
      </c>
      <c r="B35" s="647" t="str">
        <f>IF(ROW(A35)-7&lt;=DAY(DATE($I$3,T!$A$4+1,1)-1),INDEX([7]ČR!B45:B410,DATE(2016,T!$A$4,1)-DATE(2016,1,1)+1,1),"")</f>
        <v>pondělí</v>
      </c>
      <c r="C35" s="101">
        <f>IF(ROW(A35)-7&lt;=DAY(DATE($I$3,T!$A$4+1,1)-1),INDEX([7]ČR!D45:D410,DATE(2016,T!$A$4,1)-DATE(2016,1,1)+1,1)/1000,"")</f>
        <v>13319.29253083147</v>
      </c>
      <c r="D35" s="105">
        <f>IF(ROW(A35)-7&lt;=DAY(DATE($I$3,T!$A$4+1,1)-1),INDEX([7]ČR!E45:E410,DATE(2016,T!$A$4,1)-DATE(2016,1,1)+1,1)/1000,"")</f>
        <v>142466.34023333332</v>
      </c>
      <c r="E35" s="106">
        <f>IF(ROW(A35)-7&lt;=DAY(DATE($I$3,T!$A$4+1,1)-1),INDEX([5]PT!AF43:AF408,DATE(2016,T!$A$4,1)-DATE(2016,1,1)+1,1),"")</f>
        <v>10</v>
      </c>
      <c r="F35" s="7"/>
      <c r="G35" s="648"/>
      <c r="H35" s="784">
        <f t="shared" si="3"/>
        <v>42275</v>
      </c>
      <c r="I35" s="652">
        <f t="shared" si="4"/>
        <v>13.31929253083147</v>
      </c>
      <c r="J35" s="653">
        <f t="shared" si="5"/>
        <v>10</v>
      </c>
      <c r="K35" s="786" t="e">
        <f t="shared" si="6"/>
        <v>#N/A</v>
      </c>
      <c r="L35" s="651">
        <f t="shared" si="7"/>
        <v>0</v>
      </c>
      <c r="M35" s="787"/>
      <c r="N35" s="786" t="e">
        <f t="shared" si="2"/>
        <v>#N/A</v>
      </c>
      <c r="O35" s="651">
        <f t="shared" si="1"/>
        <v>0</v>
      </c>
      <c r="P35" s="787"/>
    </row>
    <row r="36" spans="1:16" ht="12" customHeight="1" x14ac:dyDescent="0.2">
      <c r="A36" s="104">
        <f>IF(ROW(A36)-7&lt;=DAY(DATE($I$3,T!$A$4+1,1)-1),INDEX([7]ČR!A46:A411,DATE(2016,T!$A$4,1)-DATE(2016,1,1)+1,1),"")</f>
        <v>42276</v>
      </c>
      <c r="B36" s="647" t="str">
        <f>IF(ROW(A36)-7&lt;=DAY(DATE($I$3,T!$A$4+1,1)-1),INDEX([7]ČR!B46:B411,DATE(2016,T!$A$4,1)-DATE(2016,1,1)+1,1),"")</f>
        <v>úterý</v>
      </c>
      <c r="C36" s="101">
        <f>IF(ROW(A36)-7&lt;=DAY(DATE($I$3,T!$A$4+1,1)-1),INDEX([7]ČR!D46:D411,DATE(2016,T!$A$4,1)-DATE(2016,1,1)+1,1)/1000,"")</f>
        <v>16378.72373731637</v>
      </c>
      <c r="D36" s="105">
        <f>IF(ROW(A36)-7&lt;=DAY(DATE($I$3,T!$A$4+1,1)-1),INDEX([7]ČR!E46:E411,DATE(2016,T!$A$4,1)-DATE(2016,1,1)+1,1)/1000,"")</f>
        <v>175174.63523333331</v>
      </c>
      <c r="E36" s="106">
        <f>IF(ROW(A36)-7&lt;=DAY(DATE($I$3,T!$A$4+1,1)-1),INDEX([5]PT!AF44:AF409,DATE(2016,T!$A$4,1)-DATE(2016,1,1)+1,1),"")</f>
        <v>9.1999999999999993</v>
      </c>
      <c r="F36" s="7"/>
      <c r="G36" s="648"/>
      <c r="H36" s="784">
        <f t="shared" si="3"/>
        <v>42276</v>
      </c>
      <c r="I36" s="652">
        <f t="shared" si="4"/>
        <v>16.378723737316371</v>
      </c>
      <c r="J36" s="653">
        <f t="shared" si="5"/>
        <v>9.1999999999999993</v>
      </c>
      <c r="K36" s="786" t="e">
        <f t="shared" si="6"/>
        <v>#N/A</v>
      </c>
      <c r="L36" s="651">
        <f t="shared" si="7"/>
        <v>0</v>
      </c>
      <c r="M36" s="787"/>
      <c r="N36" s="786" t="e">
        <f t="shared" si="2"/>
        <v>#N/A</v>
      </c>
      <c r="O36" s="651">
        <f t="shared" si="1"/>
        <v>0</v>
      </c>
      <c r="P36" s="787"/>
    </row>
    <row r="37" spans="1:16" ht="12" customHeight="1" x14ac:dyDescent="0.2">
      <c r="A37" s="104">
        <f>IF(ROW(A37)-7&lt;=DAY(DATE($I$3,T!$A$4+1,1)-1),INDEX([7]ČR!A47:A412,DATE(2016,T!$A$4,1)-DATE(2016,1,1)+1,1),"")</f>
        <v>42277</v>
      </c>
      <c r="B37" s="647" t="str">
        <f>IF(ROW(A37)-7&lt;=DAY(DATE($I$3,T!$A$4+1,1)-1),INDEX([7]ČR!B47:B412,DATE(2016,T!$A$4,1)-DATE(2016,1,1)+1,1),"")</f>
        <v>středa</v>
      </c>
      <c r="C37" s="101">
        <f>IF(ROW(A37)-7&lt;=DAY(DATE($I$3,T!$A$4+1,1)-1),INDEX([7]ČR!D47:D412,DATE(2016,T!$A$4,1)-DATE(2016,1,1)+1,1)/1000,"")</f>
        <v>18580.584968434316</v>
      </c>
      <c r="D37" s="105">
        <f>IF(ROW(A37)-7&lt;=DAY(DATE($I$3,T!$A$4+1,1)-1),INDEX([7]ČR!E47:E412,DATE(2016,T!$A$4,1)-DATE(2016,1,1)+1,1)/1000,"")</f>
        <v>198710.52223333332</v>
      </c>
      <c r="E37" s="106">
        <f>IF(ROW(A37)-7&lt;=DAY(DATE($I$3,T!$A$4+1,1)-1),INDEX([5]PT!AF45:AF410,DATE(2016,T!$A$4,1)-DATE(2016,1,1)+1,1),"")</f>
        <v>7.6</v>
      </c>
      <c r="F37" s="7"/>
      <c r="G37" s="648"/>
      <c r="H37" s="784">
        <f t="shared" si="3"/>
        <v>42277</v>
      </c>
      <c r="I37" s="652">
        <f t="shared" si="4"/>
        <v>18.580584968434316</v>
      </c>
      <c r="J37" s="653">
        <f t="shared" si="5"/>
        <v>7.6</v>
      </c>
      <c r="K37" s="786" t="e">
        <f t="shared" si="6"/>
        <v>#N/A</v>
      </c>
      <c r="L37" s="651">
        <f t="shared" si="7"/>
        <v>0</v>
      </c>
      <c r="M37" s="787"/>
      <c r="N37" s="786" t="e">
        <f t="shared" si="2"/>
        <v>#N/A</v>
      </c>
      <c r="O37" s="651">
        <f t="shared" si="1"/>
        <v>0</v>
      </c>
      <c r="P37" s="787"/>
    </row>
    <row r="38" spans="1:16" ht="12" customHeight="1" x14ac:dyDescent="0.2">
      <c r="A38" s="104" t="str">
        <f>IF(ROW(A38)-7&lt;=DAY(DATE($I$3,T!$A$4+1,1)-1),INDEX([7]ČR!A48:A413,DATE(2016,T!$A$4,1)-DATE(2016,1,1)+1,1),"")</f>
        <v/>
      </c>
      <c r="B38" s="647" t="str">
        <f>IF(ROW(A38)-7&lt;=DAY(DATE($I$3,T!$A$4+1,1)-1),INDEX([7]ČR!B48:B413,DATE(2016,T!$A$4,1)-DATE(2016,1,1)+1,1),"")</f>
        <v/>
      </c>
      <c r="C38" s="101" t="str">
        <f>IF(ROW(A38)-7&lt;=DAY(DATE($I$3,T!$A$4+1,1)-1),INDEX([7]ČR!D48:D413,DATE(2016,T!$A$4,1)-DATE(2016,1,1)+1,1)/1000,"")</f>
        <v/>
      </c>
      <c r="D38" s="105" t="str">
        <f>IF(ROW(A38)-7&lt;=DAY(DATE($I$3,T!$A$4+1,1)-1),INDEX([7]ČR!E48:E413,DATE(2016,T!$A$4,1)-DATE(2016,1,1)+1,1)/1000,"")</f>
        <v/>
      </c>
      <c r="E38" s="106" t="str">
        <f>IF(ROW(A38)-7&lt;=DAY(DATE($I$3,T!$A$4+1,1)-1),INDEX([5]PT!AF46:AF411,DATE(2016,T!$A$4,1)-DATE(2016,1,1)+1,1),"")</f>
        <v/>
      </c>
      <c r="F38" s="7"/>
      <c r="G38" s="648"/>
      <c r="H38" s="784" t="e">
        <f t="shared" si="3"/>
        <v>#N/A</v>
      </c>
      <c r="I38" s="652" t="e">
        <f t="shared" si="4"/>
        <v>#N/A</v>
      </c>
      <c r="J38" s="653" t="e">
        <f t="shared" si="5"/>
        <v>#N/A</v>
      </c>
      <c r="K38" s="786" t="e">
        <f t="shared" si="6"/>
        <v>#N/A</v>
      </c>
      <c r="L38" s="651">
        <f t="shared" si="7"/>
        <v>0</v>
      </c>
      <c r="M38" s="787"/>
      <c r="N38" s="786" t="e">
        <f t="shared" si="2"/>
        <v>#N/A</v>
      </c>
      <c r="O38" s="651">
        <f t="shared" si="1"/>
        <v>0</v>
      </c>
      <c r="P38" s="787"/>
    </row>
    <row r="39" spans="1:16" ht="12" customHeight="1" x14ac:dyDescent="0.2">
      <c r="A39" s="859" t="s">
        <v>2</v>
      </c>
      <c r="B39" s="860"/>
      <c r="C39" s="748">
        <f>SUM(C8:C38)</f>
        <v>352960.79611407476</v>
      </c>
      <c r="D39" s="749">
        <f>SUM(D8:D38)</f>
        <v>3775558.2820000006</v>
      </c>
      <c r="E39" s="750">
        <f>AVERAGE(E8:E38)</f>
        <v>13.526666666666667</v>
      </c>
      <c r="F39" s="7"/>
      <c r="G39" s="858"/>
      <c r="H39" s="91"/>
      <c r="I39" s="785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1" t="s">
        <v>45</v>
      </c>
      <c r="B40" s="862"/>
      <c r="C40" s="102">
        <f>MAX(C8:C38)</f>
        <v>18580.584968434316</v>
      </c>
      <c r="D40" s="8">
        <f>MAX(D8:D38)</f>
        <v>198710.52223333332</v>
      </c>
      <c r="E40" s="43">
        <f>VLOOKUP(C40,$C$8:$E$38,3,FALSE)</f>
        <v>7.6</v>
      </c>
      <c r="F40" s="7"/>
      <c r="G40" s="858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1" t="s">
        <v>46</v>
      </c>
      <c r="B41" s="862"/>
      <c r="C41" s="102">
        <f>MIN(C8:C38)</f>
        <v>8197.0730704195521</v>
      </c>
      <c r="D41" s="8">
        <f>MIN(D8:D38)</f>
        <v>87702.114233333341</v>
      </c>
      <c r="E41" s="43">
        <f>VLOOKUP(C41,$C$8:$E$38,3,FALSE)</f>
        <v>13.8</v>
      </c>
      <c r="F41" s="7"/>
      <c r="G41" s="858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3" t="s">
        <v>44</v>
      </c>
      <c r="B42" s="864"/>
      <c r="C42" s="103">
        <f>AVERAGE(C8:C38)</f>
        <v>11765.359870469159</v>
      </c>
      <c r="D42" s="44">
        <f>AVERAGE(D8:D38)</f>
        <v>125851.94273333336</v>
      </c>
      <c r="E42" s="45">
        <f>AVERAGE(E8:E38)</f>
        <v>13.526666666666667</v>
      </c>
      <c r="F42" s="7"/>
      <c r="G42" s="858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>
      <selection activeCell="L16" sqref="L16"/>
    </sheetView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75</v>
      </c>
      <c r="P1" s="827"/>
    </row>
    <row r="2" spans="1:17" ht="15.95" customHeight="1" x14ac:dyDescent="0.25">
      <c r="A2" s="877" t="s">
        <v>189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7"/>
      <c r="E4" s="497"/>
      <c r="F4" s="497"/>
      <c r="G4" s="497"/>
      <c r="P4" s="594"/>
    </row>
    <row r="5" spans="1:17" ht="18" customHeight="1" x14ac:dyDescent="0.2">
      <c r="A5" s="515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.9499999999999993" customHeight="1" x14ac:dyDescent="0.2">
      <c r="A6" s="879" t="s">
        <v>253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564" t="str">
        <f>"spotřeba "&amp;$A$3</f>
        <v>spotřeba 2015</v>
      </c>
      <c r="C7" s="566" t="s">
        <v>250</v>
      </c>
      <c r="D7" s="522">
        <f>IF(T!$A$4&gt;='[8]Podklady MZ'!D$2,'[8]Podklady MZ'!D12,"")</f>
        <v>1081.280644710429</v>
      </c>
      <c r="E7" s="523">
        <f>IF(T!$A$4&gt;='[8]Podklady MZ'!E$2,'[8]Podklady MZ'!E12,"")</f>
        <v>989.86689164730865</v>
      </c>
      <c r="F7" s="524">
        <f>IF(T!$A$4&gt;='[8]Podklady MZ'!F$2,'[8]Podklady MZ'!F12,"")</f>
        <v>865.53252041105134</v>
      </c>
      <c r="G7" s="523">
        <f>IF(T!$A$4&gt;='[8]Podklady MZ'!G$2,'[8]Podklady MZ'!G12,"")</f>
        <v>622.80856614391325</v>
      </c>
      <c r="H7" s="522">
        <f>IF(T!$A$4&gt;='[8]Podklady MZ'!H$2,'[8]Podklady MZ'!H12,"")</f>
        <v>404.77237581362579</v>
      </c>
      <c r="I7" s="525">
        <f>IF(T!$A$4&gt;='[8]Podklady MZ'!I$2,'[8]Podklady MZ'!I12,"")</f>
        <v>314.40782647711256</v>
      </c>
      <c r="J7" s="522">
        <f>IF(T!$A$4&gt;='[8]Podklady MZ'!J$2,'[8]Podklady MZ'!J12,"")</f>
        <v>298.38639432190473</v>
      </c>
      <c r="K7" s="522">
        <f>IF(T!$A$4&gt;='[8]Podklady MZ'!K$2,'[8]Podklady MZ'!K12,"")</f>
        <v>277.51120821690495</v>
      </c>
      <c r="L7" s="525">
        <f>IF(T!$A$4&gt;='[8]Podklady MZ'!L$2,'[8]Podklady MZ'!L12,"")</f>
        <v>352.96079611407475</v>
      </c>
      <c r="M7" s="522" t="str">
        <f>IF(T!$A$4&gt;='[8]Podklady MZ'!M$2,'[8]Podklady MZ'!M12,"")</f>
        <v/>
      </c>
      <c r="N7" s="522" t="str">
        <f>IF(T!$A$4&gt;='[8]Podklady MZ'!N$2,'[8]Podklady MZ'!N12,"")</f>
        <v/>
      </c>
      <c r="O7" s="522" t="str">
        <f>IF(T!$A$4&gt;='[8]Podklady MZ'!O$2,'[8]Podklady MZ'!O12,"")</f>
        <v/>
      </c>
      <c r="P7" s="595">
        <f>SUM(D7:O7)</f>
        <v>5207.5272238563248</v>
      </c>
    </row>
    <row r="8" spans="1:17" ht="18" customHeight="1" x14ac:dyDescent="0.2">
      <c r="A8" s="875"/>
      <c r="B8" s="564" t="str">
        <f>"spotřeba "&amp;$A$3</f>
        <v>spotřeba 2015</v>
      </c>
      <c r="C8" s="566" t="s">
        <v>303</v>
      </c>
      <c r="D8" s="523">
        <f>IF(T!$A$4&gt;='[8]Podklady MZ'!D$2,'[8]Podklady MZ'!D13,)</f>
        <v>11492.757934199999</v>
      </c>
      <c r="E8" s="523">
        <f>IF(T!$A$4&gt;='[8]Podklady MZ'!E$2,'[8]Podklady MZ'!E13,"")</f>
        <v>10525.401338</v>
      </c>
      <c r="F8" s="524">
        <f>IF(T!$A$4&gt;='[8]Podklady MZ'!F$2,'[8]Podklady MZ'!F13,"")</f>
        <v>9201.9026437999983</v>
      </c>
      <c r="G8" s="523">
        <f>IF(T!$A$4&gt;='[8]Podklady MZ'!G$2,'[8]Podklady MZ'!G13,"")</f>
        <v>6626.1087002000022</v>
      </c>
      <c r="H8" s="522">
        <f>IF(T!$A$4&gt;='[8]Podklady MZ'!H$2,'[8]Podklady MZ'!H13,"")</f>
        <v>4332.1303954000005</v>
      </c>
      <c r="I8" s="525">
        <f>IF(T!$A$4&gt;='[8]Podklady MZ'!I$2,'[8]Podklady MZ'!I13,"")</f>
        <v>3367.3136154999993</v>
      </c>
      <c r="J8" s="522">
        <f>IF(T!$A$4&gt;='[8]Podklady MZ'!J$2,'[8]Podklady MZ'!J13,"")</f>
        <v>3186.2044436000006</v>
      </c>
      <c r="K8" s="522">
        <f>IF(T!$A$4&gt;='[8]Podklady MZ'!K$2,'[8]Podklady MZ'!K13,"")</f>
        <v>2973.0205207999998</v>
      </c>
      <c r="L8" s="525">
        <f>IF(T!$A$4&gt;='[8]Podklady MZ'!L$2,'[8]Podklady MZ'!L13,"")</f>
        <v>3775.558282</v>
      </c>
      <c r="M8" s="522" t="str">
        <f>IF(T!$A$4&gt;='[8]Podklady MZ'!M$2,'[8]Podklady MZ'!M13,"")</f>
        <v/>
      </c>
      <c r="N8" s="522" t="str">
        <f>IF(T!$A$4&gt;='[8]Podklady MZ'!N$2,'[8]Podklady MZ'!N13,"")</f>
        <v/>
      </c>
      <c r="O8" s="522" t="str">
        <f>IF(T!$A$4&gt;='[8]Podklady MZ'!O$2,'[8]Podklady MZ'!O13,"")</f>
        <v/>
      </c>
      <c r="P8" s="595">
        <f t="shared" ref="P8:P18" si="0">SUM(D8:O8)</f>
        <v>55480.397873499998</v>
      </c>
    </row>
    <row r="9" spans="1:17" ht="18" customHeight="1" x14ac:dyDescent="0.2">
      <c r="A9" s="875"/>
      <c r="B9" s="565" t="s">
        <v>249</v>
      </c>
      <c r="C9" s="567" t="s">
        <v>251</v>
      </c>
      <c r="D9" s="654">
        <f>IF(T!$A$4&gt;='[8]Podklady MZ'!D$2,'[8]Podklady MZ'!D14,)</f>
        <v>1.3175830293298696E-2</v>
      </c>
      <c r="E9" s="654">
        <f>IF(T!$A$4&gt;='[8]Podklady MZ'!E$2,'[8]Podklady MZ'!E14,"")</f>
        <v>0.10582116745661807</v>
      </c>
      <c r="F9" s="655">
        <f>IF(T!$A$4&gt;='[8]Podklady MZ'!F$2,'[8]Podklady MZ'!F14,"")</f>
        <v>0.15642829965663532</v>
      </c>
      <c r="G9" s="654">
        <f>IF(T!$A$4&gt;='[8]Podklady MZ'!G$2,'[8]Podklady MZ'!G14,"")</f>
        <v>0.16633369318363966</v>
      </c>
      <c r="H9" s="656">
        <f>IF(T!$A$4&gt;='[8]Podklady MZ'!H$2,'[8]Podklady MZ'!H14,"")</f>
        <v>-6.9326986800837861E-2</v>
      </c>
      <c r="I9" s="657">
        <f>IF(T!$A$4&gt;='[8]Podklady MZ'!I$2,'[8]Podklady MZ'!I14,"")</f>
        <v>1.7843565337174013E-2</v>
      </c>
      <c r="J9" s="656">
        <f>IF(T!$A$4&gt;='[8]Podklady MZ'!J$2,'[8]Podklady MZ'!J14,"")</f>
        <v>-2.3167564846651268E-2</v>
      </c>
      <c r="K9" s="656">
        <f>IF(T!$A$4&gt;='[8]Podklady MZ'!K$2,'[8]Podklady MZ'!K14,"")</f>
        <v>-7.5332464693124324E-2</v>
      </c>
      <c r="L9" s="657">
        <f>IF(T!$A$4&gt;='[8]Podklady MZ'!L$2,'[8]Podklady MZ'!L14,"")</f>
        <v>-3.235274755507124E-2</v>
      </c>
      <c r="M9" s="656" t="str">
        <f>IF(T!$A$4&gt;='[8]Podklady MZ'!M$2,'[8]Podklady MZ'!M14,"")</f>
        <v/>
      </c>
      <c r="N9" s="656" t="str">
        <f>IF(T!$A$4&gt;='[8]Podklady MZ'!N$2,'[8]Podklady MZ'!N14,"")</f>
        <v/>
      </c>
      <c r="O9" s="656" t="str">
        <f>IF(T!$A$4&gt;='[8]Podklady MZ'!O$2,'[8]Podklady MZ'!O14,"")</f>
        <v/>
      </c>
      <c r="P9" s="658">
        <f>(P7-P10)/P10</f>
        <v>5.0123154717983523E-2</v>
      </c>
    </row>
    <row r="10" spans="1:17" ht="18" customHeight="1" x14ac:dyDescent="0.2">
      <c r="A10" s="875"/>
      <c r="B10" s="98" t="str">
        <f>"spotřeba "&amp;$A$3-1</f>
        <v>spotřeba 2014</v>
      </c>
      <c r="C10" s="568" t="s">
        <v>250</v>
      </c>
      <c r="D10" s="526">
        <f>IF(T!$A$4&gt;='[8]Podklady MZ'!D$2,'[8]Podklady MZ'!D15,)</f>
        <v>1067.2191463523316</v>
      </c>
      <c r="E10" s="526">
        <f>IF(T!$A$4&gt;='[8]Podklady MZ'!E$2,'[8]Podklady MZ'!E15,"")</f>
        <v>895.14192780736551</v>
      </c>
      <c r="F10" s="527">
        <f>IF(T!$A$4&gt;='[8]Podklady MZ'!F$2,'[8]Podklady MZ'!F15,"")</f>
        <v>748.4532509867181</v>
      </c>
      <c r="G10" s="526">
        <f>IF(T!$A$4&gt;='[8]Podklady MZ'!G$2,'[8]Podklady MZ'!G15,"")</f>
        <v>533.98831722325269</v>
      </c>
      <c r="H10" s="528">
        <f>IF(T!$A$4&gt;='[8]Podklady MZ'!H$2,'[8]Podklady MZ'!H15,"")</f>
        <v>434.92437201142451</v>
      </c>
      <c r="I10" s="529">
        <f>IF(T!$A$4&gt;='[8]Podklady MZ'!I$2,'[8]Podklady MZ'!I15,"")</f>
        <v>308.89602015901221</v>
      </c>
      <c r="J10" s="528">
        <f>IF(T!$A$4&gt;='[8]Podklady MZ'!J$2,'[8]Podklady MZ'!J15,"")</f>
        <v>305.46323359447246</v>
      </c>
      <c r="K10" s="528">
        <f>IF(T!$A$4&gt;='[8]Podklady MZ'!K$2,'[8]Podklady MZ'!K15,"")</f>
        <v>300.11998650391183</v>
      </c>
      <c r="L10" s="529">
        <f>IF(T!$A$4&gt;='[8]Podklady MZ'!L$2,'[8]Podklady MZ'!L15,"")</f>
        <v>364.76184396975037</v>
      </c>
      <c r="M10" s="528" t="str">
        <f>IF(T!$A$4&gt;='[8]Podklady MZ'!M$2,'[8]Podklady MZ'!M15,"")</f>
        <v/>
      </c>
      <c r="N10" s="528" t="str">
        <f>IF(T!$A$4&gt;='[8]Podklady MZ'!N$2,'[8]Podklady MZ'!N15,"")</f>
        <v/>
      </c>
      <c r="O10" s="528" t="str">
        <f>IF(T!$A$4&gt;='[8]Podklady MZ'!O$2,'[8]Podklady MZ'!O15,"")</f>
        <v/>
      </c>
      <c r="P10" s="590">
        <f t="shared" si="0"/>
        <v>4958.9680986082394</v>
      </c>
    </row>
    <row r="11" spans="1:17" ht="18" customHeight="1" x14ac:dyDescent="0.2">
      <c r="A11" s="875"/>
      <c r="B11" s="98" t="str">
        <f>"spotřeba "&amp;$A$3-1</f>
        <v>spotřeba 2014</v>
      </c>
      <c r="C11" s="568" t="s">
        <v>303</v>
      </c>
      <c r="D11" s="526">
        <f>IF(T!$A$4&gt;='[8]Podklady MZ'!D$2,'[8]Podklady MZ'!D16,)</f>
        <v>11367.914916170237</v>
      </c>
      <c r="E11" s="526">
        <f>IF(T!$A$4&gt;='[8]Podklady MZ'!E$2,'[8]Podklady MZ'!E16,"")</f>
        <v>9518.248077734268</v>
      </c>
      <c r="F11" s="527">
        <f>IF(T!$A$4&gt;='[8]Podklady MZ'!F$2,'[8]Podklady MZ'!F16,"")</f>
        <v>7950.662373387202</v>
      </c>
      <c r="G11" s="526">
        <f>IF(T!$A$4&gt;='[8]Podklady MZ'!G$2,'[8]Podklady MZ'!G16,"")</f>
        <v>5679.1835705189296</v>
      </c>
      <c r="H11" s="528">
        <f>IF(T!$A$4&gt;='[8]Podklady MZ'!H$2,'[8]Podklady MZ'!H16,"")</f>
        <v>4628.7050628600246</v>
      </c>
      <c r="I11" s="529">
        <f>IF(T!$A$4&gt;='[8]Podklady MZ'!I$2,'[8]Podklady MZ'!I16,"")</f>
        <v>3288.3102275735141</v>
      </c>
      <c r="J11" s="528">
        <f>IF(T!$A$4&gt;='[8]Podklady MZ'!J$2,'[8]Podklady MZ'!J16,"")</f>
        <v>3237.2885787849923</v>
      </c>
      <c r="K11" s="528">
        <f>IF(T!$A$4&gt;='[8]Podklady MZ'!K$2,'[8]Podklady MZ'!K16,"")</f>
        <v>3202.659608332875</v>
      </c>
      <c r="L11" s="529">
        <f>IF(T!$A$4&gt;='[8]Podklady MZ'!L$2,'[8]Podklady MZ'!L16,"")</f>
        <v>3885.64570671</v>
      </c>
      <c r="M11" s="528" t="str">
        <f>IF(T!$A$4&gt;='[8]Podklady MZ'!M$2,'[8]Podklady MZ'!M16,"")</f>
        <v/>
      </c>
      <c r="N11" s="528" t="str">
        <f>IF(T!$A$4&gt;='[8]Podklady MZ'!N$2,'[8]Podklady MZ'!N16,"")</f>
        <v/>
      </c>
      <c r="O11" s="528" t="str">
        <f>IF(T!$A$4&gt;='[8]Podklady MZ'!O$2,'[8]Podklady MZ'!O16,"")</f>
        <v/>
      </c>
      <c r="P11" s="590">
        <f t="shared" si="0"/>
        <v>52758.618122072046</v>
      </c>
    </row>
    <row r="12" spans="1:17" ht="9.9499999999999993" customHeight="1" x14ac:dyDescent="0.2">
      <c r="A12" s="876"/>
      <c r="B12" s="511"/>
      <c r="C12" s="531"/>
      <c r="D12" s="532"/>
      <c r="E12" s="532"/>
      <c r="F12" s="533"/>
      <c r="G12" s="532"/>
      <c r="H12" s="534"/>
      <c r="I12" s="535"/>
      <c r="J12" s="534"/>
      <c r="K12" s="534"/>
      <c r="L12" s="535"/>
      <c r="M12" s="534"/>
      <c r="N12" s="534"/>
      <c r="O12" s="534"/>
      <c r="P12" s="591"/>
    </row>
    <row r="13" spans="1:17" ht="9.9499999999999993" customHeight="1" x14ac:dyDescent="0.2">
      <c r="A13" s="879" t="s">
        <v>254</v>
      </c>
      <c r="B13" s="512"/>
      <c r="C13" s="536"/>
      <c r="D13" s="526"/>
      <c r="E13" s="526"/>
      <c r="F13" s="527"/>
      <c r="G13" s="526"/>
      <c r="H13" s="528"/>
      <c r="I13" s="529"/>
      <c r="J13" s="528"/>
      <c r="K13" s="528"/>
      <c r="L13" s="529"/>
      <c r="M13" s="528"/>
      <c r="N13" s="528"/>
      <c r="O13" s="528"/>
      <c r="P13" s="590"/>
    </row>
    <row r="14" spans="1:17" ht="18" customHeight="1" x14ac:dyDescent="0.2">
      <c r="A14" s="875"/>
      <c r="B14" s="564" t="str">
        <f>"spotřeba "&amp;$A$3</f>
        <v>spotřeba 2015</v>
      </c>
      <c r="C14" s="566" t="s">
        <v>250</v>
      </c>
      <c r="D14" s="522">
        <f>IF(T!$A$4&gt;='[8]Podklady MZ'!D$2,'[8]Podklady MZ'!D19,"")</f>
        <v>1162.3827182199684</v>
      </c>
      <c r="E14" s="523">
        <f>IF(T!$A$4&gt;='[8]Podklady MZ'!E$2,'[8]Podklady MZ'!E19,"")</f>
        <v>1022.8621044614633</v>
      </c>
      <c r="F14" s="524">
        <f>IF(T!$A$4&gt;='[8]Podklady MZ'!F$2,'[8]Podklady MZ'!F19,"")</f>
        <v>901.33118683539692</v>
      </c>
      <c r="G14" s="523">
        <f>IF(T!$A$4&gt;='[8]Podklady MZ'!G$2,'[8]Podklady MZ'!G19,"")</f>
        <v>647.29636373718301</v>
      </c>
      <c r="H14" s="522">
        <f>IF(T!$A$4&gt;='[8]Podklady MZ'!H$2,'[8]Podklady MZ'!H19,"")</f>
        <v>399.23311790096943</v>
      </c>
      <c r="I14" s="525">
        <f>IF(T!$A$4&gt;='[8]Podklady MZ'!I$2,'[8]Podklady MZ'!I19,"")</f>
        <v>318.95062063632389</v>
      </c>
      <c r="J14" s="522">
        <f>IF(T!$A$4&gt;='[8]Podklady MZ'!J$2,'[8]Podklady MZ'!J19,"")</f>
        <v>302.4372465189378</v>
      </c>
      <c r="K14" s="522">
        <f>IF(T!$A$4&gt;='[8]Podklady MZ'!K$2,'[8]Podklady MZ'!K19,"")</f>
        <v>299.01838851541652</v>
      </c>
      <c r="L14" s="525">
        <f>IF(T!$A$4&gt;='[8]Podklady MZ'!L$2,'[8]Podklady MZ'!L19,"")</f>
        <v>359.74623069021459</v>
      </c>
      <c r="M14" s="522" t="str">
        <f>IF(T!$A$4&gt;='[8]Podklady MZ'!M$2,'[8]Podklady MZ'!M19,"")</f>
        <v/>
      </c>
      <c r="N14" s="522" t="str">
        <f>IF(T!$A$4&gt;='[8]Podklady MZ'!N$2,'[8]Podklady MZ'!N19,"")</f>
        <v/>
      </c>
      <c r="O14" s="522" t="str">
        <f>IF(T!$A$4&gt;='[8]Podklady MZ'!O$2,'[8]Podklady MZ'!O19,"")</f>
        <v/>
      </c>
      <c r="P14" s="595">
        <f t="shared" si="0"/>
        <v>5413.2579775158747</v>
      </c>
    </row>
    <row r="15" spans="1:17" ht="18" customHeight="1" x14ac:dyDescent="0.2">
      <c r="A15" s="875"/>
      <c r="B15" s="564" t="str">
        <f>"spotřeba "&amp;$A$3</f>
        <v>spotřeba 2015</v>
      </c>
      <c r="C15" s="566" t="s">
        <v>303</v>
      </c>
      <c r="D15" s="523">
        <f>IF(T!$A$4&gt;='[8]Podklady MZ'!D$2,'[8]Podklady MZ'!D20,"")</f>
        <v>12354.778819681072</v>
      </c>
      <c r="E15" s="523">
        <f>IF(T!$A$4&gt;='[8]Podklady MZ'!E$2,'[8]Podklady MZ'!E20,"")</f>
        <v>10876.244325104813</v>
      </c>
      <c r="F15" s="524">
        <f>IF(T!$A$4&gt;='[8]Podklady MZ'!F$2,'[8]Podklady MZ'!F20,"")</f>
        <v>9582.4959033788018</v>
      </c>
      <c r="G15" s="523">
        <f>IF(T!$A$4&gt;='[8]Podklady MZ'!G$2,'[8]Podklady MZ'!G20,"")</f>
        <v>6886.6362804260079</v>
      </c>
      <c r="H15" s="522">
        <f>IF(T!$A$4&gt;='[8]Podklady MZ'!H$2,'[8]Podklady MZ'!H20,"")</f>
        <v>4272.8457480148054</v>
      </c>
      <c r="I15" s="525">
        <f>IF(T!$A$4&gt;='[8]Podklady MZ'!I$2,'[8]Podklady MZ'!I20,"")</f>
        <v>3415.9670246600913</v>
      </c>
      <c r="J15" s="522">
        <f>IF(T!$A$4&gt;='[8]Podklady MZ'!J$2,'[8]Podklady MZ'!J20,"")</f>
        <v>3229.4599120669359</v>
      </c>
      <c r="K15" s="522">
        <f>IF(T!$A$4&gt;='[8]Podklady MZ'!K$2,'[8]Podklady MZ'!K20,"")</f>
        <v>3203.4302717533501</v>
      </c>
      <c r="L15" s="525">
        <f>IF(T!$A$4&gt;='[8]Podklady MZ'!L$2,'[8]Podklady MZ'!L20,"")</f>
        <v>3848.1408577221891</v>
      </c>
      <c r="M15" s="522" t="str">
        <f>IF(T!$A$4&gt;='[8]Podklady MZ'!M$2,'[8]Podklady MZ'!M20,"")</f>
        <v/>
      </c>
      <c r="N15" s="522" t="str">
        <f>IF(T!$A$4&gt;='[8]Podklady MZ'!N$2,'[8]Podklady MZ'!N20,"")</f>
        <v/>
      </c>
      <c r="O15" s="522" t="str">
        <f>IF(T!$A$4&gt;='[8]Podklady MZ'!O$2,'[8]Podklady MZ'!O20,"")</f>
        <v/>
      </c>
      <c r="P15" s="595">
        <f t="shared" si="0"/>
        <v>57669.999142808068</v>
      </c>
    </row>
    <row r="16" spans="1:17" ht="18" customHeight="1" x14ac:dyDescent="0.2">
      <c r="A16" s="875"/>
      <c r="B16" s="565" t="s">
        <v>249</v>
      </c>
      <c r="C16" s="567" t="s">
        <v>251</v>
      </c>
      <c r="D16" s="654">
        <f>IF(T!$A$4&gt;='[8]Podklady MZ'!D$2,'[8]Podklady MZ'!D21,"")</f>
        <v>-2.2563307146523652E-2</v>
      </c>
      <c r="E16" s="654">
        <f>IF(T!$A$4&gt;='[8]Podklady MZ'!E$2,'[8]Podklady MZ'!E21,"")</f>
        <v>-2.2117681991601066E-3</v>
      </c>
      <c r="F16" s="655">
        <f>IF(T!$A$4&gt;='[8]Podklady MZ'!F$2,'[8]Podklady MZ'!F21,"")</f>
        <v>5.4560177645998326E-2</v>
      </c>
      <c r="G16" s="654">
        <f>IF(T!$A$4&gt;='[8]Podklady MZ'!G$2,'[8]Podklady MZ'!G21,"")</f>
        <v>5.8169090312173891E-2</v>
      </c>
      <c r="H16" s="656">
        <f>IF(T!$A$4&gt;='[8]Podklady MZ'!H$2,'[8]Podklady MZ'!H21,"")</f>
        <v>-5.0182338264237479E-2</v>
      </c>
      <c r="I16" s="657">
        <f>IF(T!$A$4&gt;='[8]Podklady MZ'!I$2,'[8]Podklady MZ'!I21,"")</f>
        <v>2.3625739848265805E-2</v>
      </c>
      <c r="J16" s="656">
        <f>IF(T!$A$4&gt;='[8]Podklady MZ'!J$2,'[8]Podklady MZ'!J21,"")</f>
        <v>-4.987196559258119E-2</v>
      </c>
      <c r="K16" s="656">
        <f>IF(T!$A$4&gt;='[8]Podklady MZ'!K$2,'[8]Podklady MZ'!K21,"")</f>
        <v>3.23091783270293E-2</v>
      </c>
      <c r="L16" s="657">
        <f>IF(T!$A$4&gt;='[8]Podklady MZ'!L$2,'[8]Podklady MZ'!L21,"")</f>
        <v>-7.3844848253246817E-2</v>
      </c>
      <c r="M16" s="656" t="str">
        <f>IF(T!$A$4&gt;='[8]Podklady MZ'!M$2,'[8]Podklady MZ'!M21,"")</f>
        <v/>
      </c>
      <c r="N16" s="656" t="str">
        <f>IF(T!$A$4&gt;='[8]Podklady MZ'!N$2,'[8]Podklady MZ'!N21,"")</f>
        <v/>
      </c>
      <c r="O16" s="656" t="str">
        <f>IF(T!$A$4&gt;='[8]Podklady MZ'!O$2,'[8]Podklady MZ'!O21,"")</f>
        <v/>
      </c>
      <c r="P16" s="658">
        <f>(P14-P17)/P17</f>
        <v>7.7355400652719564E-4</v>
      </c>
    </row>
    <row r="17" spans="1:16" ht="18" customHeight="1" x14ac:dyDescent="0.2">
      <c r="A17" s="875"/>
      <c r="B17" s="98" t="str">
        <f>"spotřeba "&amp;$A$3-1</f>
        <v>spotřeba 2014</v>
      </c>
      <c r="C17" s="568" t="s">
        <v>250</v>
      </c>
      <c r="D17" s="526">
        <f>IF(T!$A$4&gt;='[8]Podklady MZ'!D$2,'[8]Podklady MZ'!D22,"")</f>
        <v>1189.2153494121144</v>
      </c>
      <c r="E17" s="526">
        <f>IF(T!$A$4&gt;='[8]Podklady MZ'!E$2,'[8]Podklady MZ'!E22,"")</f>
        <v>1025.1294531860426</v>
      </c>
      <c r="F17" s="527">
        <f>IF(T!$A$4&gt;='[8]Podklady MZ'!F$2,'[8]Podklady MZ'!F22,"")</f>
        <v>854.69867527840756</v>
      </c>
      <c r="G17" s="526">
        <f>IF(T!$A$4&gt;='[8]Podklady MZ'!G$2,'[8]Podklady MZ'!G22,"")</f>
        <v>611.71354338673984</v>
      </c>
      <c r="H17" s="528">
        <f>IF(T!$A$4&gt;='[8]Podklady MZ'!H$2,'[8]Podklady MZ'!H22,"")</f>
        <v>420.32606255329387</v>
      </c>
      <c r="I17" s="529">
        <f>IF(T!$A$4&gt;='[8]Podklady MZ'!I$2,'[8]Podklady MZ'!I22,"")</f>
        <v>311.58909767509618</v>
      </c>
      <c r="J17" s="528">
        <f>IF(T!$A$4&gt;='[8]Podklady MZ'!J$2,'[8]Podklady MZ'!J22,"")</f>
        <v>318.31209644031139</v>
      </c>
      <c r="K17" s="528">
        <f>IF(T!$A$4&gt;='[8]Podklady MZ'!K$2,'[8]Podklady MZ'!K22,"")</f>
        <v>289.65972093748962</v>
      </c>
      <c r="L17" s="529">
        <f>IF(T!$A$4&gt;='[8]Podklady MZ'!L$2,'[8]Podklady MZ'!L22,"")</f>
        <v>388.42976796244523</v>
      </c>
      <c r="M17" s="528" t="str">
        <f>IF(T!$A$4&gt;='[8]Podklady MZ'!M$2,'[8]Podklady MZ'!M22,"")</f>
        <v/>
      </c>
      <c r="N17" s="528" t="str">
        <f>IF(T!$A$4&gt;='[8]Podklady MZ'!N$2,'[8]Podklady MZ'!N22,"")</f>
        <v/>
      </c>
      <c r="O17" s="528" t="str">
        <f>IF(T!$A$4&gt;='[8]Podklady MZ'!O$2,'[8]Podklady MZ'!O22,"")</f>
        <v/>
      </c>
      <c r="P17" s="590">
        <f t="shared" si="0"/>
        <v>5409.0737668319407</v>
      </c>
    </row>
    <row r="18" spans="1:16" ht="18" customHeight="1" x14ac:dyDescent="0.2">
      <c r="A18" s="875"/>
      <c r="B18" s="98" t="str">
        <f>"spotřeba "&amp;$A$3-1</f>
        <v>spotřeba 2014</v>
      </c>
      <c r="C18" s="568" t="s">
        <v>303</v>
      </c>
      <c r="D18" s="526">
        <f>IF(T!$A$4&gt;='[8]Podklady MZ'!D$2,'[8]Podklady MZ'!D23,"")</f>
        <v>12667.408926479648</v>
      </c>
      <c r="E18" s="526">
        <f>IF(T!$A$4&gt;='[8]Podklady MZ'!E$2,'[8]Podklady MZ'!E23,"")</f>
        <v>10900.431104724707</v>
      </c>
      <c r="F18" s="527">
        <f>IF(T!$A$4&gt;='[8]Podklady MZ'!F$2,'[8]Podklady MZ'!F23,"")</f>
        <v>9079.2845407607147</v>
      </c>
      <c r="G18" s="526">
        <f>IF(T!$A$4&gt;='[8]Podklady MZ'!G$2,'[8]Podklady MZ'!G23,"")</f>
        <v>6505.8304536062005</v>
      </c>
      <c r="H18" s="528">
        <f>IF(T!$A$4&gt;='[8]Podklady MZ'!H$2,'[8]Podklady MZ'!H23,"")</f>
        <v>4473.3418014600138</v>
      </c>
      <c r="I18" s="529">
        <f>IF(T!$A$4&gt;='[8]Podklady MZ'!I$2,'[8]Podklady MZ'!I23,"")</f>
        <v>3316.9799863611479</v>
      </c>
      <c r="J18" s="528">
        <f>IF(T!$A$4&gt;='[8]Podklady MZ'!J$2,'[8]Podklady MZ'!J23,"")</f>
        <v>3373.4597322108611</v>
      </c>
      <c r="K18" s="528">
        <f>IF(T!$A$4&gt;='[8]Podklady MZ'!K$2,'[8]Podklady MZ'!K23,"")</f>
        <v>3091.0353529400118</v>
      </c>
      <c r="L18" s="529">
        <f>IF(T!$A$4&gt;='[8]Podklady MZ'!L$2,'[8]Podklady MZ'!L23,"")</f>
        <v>4137.7695753912321</v>
      </c>
      <c r="M18" s="528" t="str">
        <f>IF(T!$A$4&gt;='[8]Podklady MZ'!M$2,'[8]Podklady MZ'!M23,"")</f>
        <v/>
      </c>
      <c r="N18" s="528" t="str">
        <f>IF(T!$A$4&gt;='[8]Podklady MZ'!N$2,'[8]Podklady MZ'!N23,"")</f>
        <v/>
      </c>
      <c r="O18" s="528" t="str">
        <f>IF(T!$A$4&gt;='[8]Podklady MZ'!O$2,'[8]Podklady MZ'!O23,"")</f>
        <v/>
      </c>
      <c r="P18" s="590">
        <f t="shared" si="0"/>
        <v>57545.541473934536</v>
      </c>
    </row>
    <row r="19" spans="1:16" ht="9.9499999999999993" customHeight="1" x14ac:dyDescent="0.2">
      <c r="A19" s="876"/>
      <c r="B19" s="511"/>
      <c r="C19" s="531"/>
      <c r="D19" s="532"/>
      <c r="E19" s="532"/>
      <c r="F19" s="533"/>
      <c r="G19" s="532"/>
      <c r="H19" s="534"/>
      <c r="I19" s="535"/>
      <c r="J19" s="534"/>
      <c r="K19" s="534"/>
      <c r="L19" s="535"/>
      <c r="M19" s="534"/>
      <c r="N19" s="534"/>
      <c r="O19" s="534"/>
      <c r="P19" s="591"/>
    </row>
    <row r="20" spans="1:16" ht="9.9499999999999993" customHeight="1" x14ac:dyDescent="0.2">
      <c r="A20" s="503"/>
      <c r="B20" s="513"/>
      <c r="C20" s="537"/>
      <c r="D20" s="538"/>
      <c r="E20" s="538"/>
      <c r="F20" s="538"/>
      <c r="G20" s="539"/>
      <c r="H20" s="540"/>
      <c r="I20" s="541"/>
      <c r="J20" s="540"/>
      <c r="K20" s="540"/>
      <c r="L20" s="540"/>
      <c r="M20" s="542"/>
      <c r="N20" s="540"/>
      <c r="O20" s="540"/>
      <c r="P20" s="590"/>
    </row>
    <row r="21" spans="1:16" ht="18" customHeight="1" x14ac:dyDescent="0.2">
      <c r="A21" s="875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8" t="s">
        <v>250</v>
      </c>
      <c r="D21" s="662">
        <f>IF(T!$A$4&gt;='[8]Podklady MZ'!D$2,'[8]Podklady MZ'!D26,"")</f>
        <v>41.345389040398715</v>
      </c>
      <c r="E21" s="662">
        <f>IF(T!$A$4&gt;='[8]Podklady MZ'!E$2,'[8]Podklady MZ'!E26,"")</f>
        <v>42.621557004484409</v>
      </c>
      <c r="F21" s="662">
        <f>IF(T!$A$4&gt;='[8]Podklady MZ'!F$2,'[8]Podklady MZ'!F26,"")</f>
        <v>33.669323046807904</v>
      </c>
      <c r="G21" s="663">
        <f>IF(T!$A$4&gt;='[8]Podklady MZ'!G$2,'[8]Podklady MZ'!G26,"")</f>
        <v>32.46272056517094</v>
      </c>
      <c r="H21" s="664">
        <f>IF(T!$A$4&gt;='[8]Podklady MZ'!H$2,'[8]Podklady MZ'!H26,"")</f>
        <v>16.070703750605009</v>
      </c>
      <c r="I21" s="665">
        <f>IF(T!$A$4&gt;='[8]Podklady MZ'!I$2,'[8]Podklady MZ'!I26,"")</f>
        <v>12.524604969460771</v>
      </c>
      <c r="J21" s="664">
        <f>IF(T!$A$4&gt;='[8]Podklady MZ'!J$2,'[8]Podklady MZ'!J26,"")</f>
        <v>12.924143254571844</v>
      </c>
      <c r="K21" s="664">
        <f>IF(T!$A$4&gt;='[8]Podklady MZ'!K$2,'[8]Podklady MZ'!K26,"")</f>
        <v>12.275837216732805</v>
      </c>
      <c r="L21" s="664">
        <f>IF(T!$A$4&gt;='[8]Podklady MZ'!L$2,'[8]Podklady MZ'!L26,"")</f>
        <v>18.580584968434316</v>
      </c>
      <c r="M21" s="666" t="str">
        <f>IF(T!$A$4&gt;='[8]Podklady MZ'!M$2,'[8]Podklady MZ'!M26,"")</f>
        <v/>
      </c>
      <c r="N21" s="664" t="str">
        <f>IF(T!$A$4&gt;='[8]Podklady MZ'!N$2,'[8]Podklady MZ'!N26,"")</f>
        <v/>
      </c>
      <c r="O21" s="664" t="str">
        <f>IF(T!$A$4&gt;='[8]Podklady MZ'!O$2,'[8]Podklady MZ'!O26,"")</f>
        <v/>
      </c>
      <c r="P21" s="671" t="str">
        <f>IF(T!$A$4&gt;='[8]Podklady MZ'!P$2,'[8]Podklady MZ'!P26,"")</f>
        <v/>
      </c>
    </row>
    <row r="22" spans="1:16" ht="18" customHeight="1" x14ac:dyDescent="0.2">
      <c r="A22" s="875"/>
      <c r="B22" s="98" t="str">
        <f>"max. spotřeba "&amp;$A$3</f>
        <v>max. spotřeba 2015</v>
      </c>
      <c r="C22" s="568" t="s">
        <v>303</v>
      </c>
      <c r="D22" s="662">
        <f>IF(T!$A$4&gt;='[8]Podklady MZ'!D$2,'[8]Podklady MZ'!D27,"")</f>
        <v>439.44407081290325</v>
      </c>
      <c r="E22" s="662">
        <f>IF(T!$A$4&gt;='[8]Podklady MZ'!E$2,'[8]Podklady MZ'!E27,"")</f>
        <v>453.14177378571429</v>
      </c>
      <c r="F22" s="662">
        <f>IF(T!$A$4&gt;='[8]Podklady MZ'!F$2,'[8]Podklady MZ'!F27,"")</f>
        <v>357.93155186451617</v>
      </c>
      <c r="G22" s="663">
        <f>IF(T!$A$4&gt;='[8]Podklady MZ'!G$2,'[8]Podklady MZ'!G27,"")</f>
        <v>345.30682224000003</v>
      </c>
      <c r="H22" s="664">
        <f>IF(T!$A$4&gt;='[8]Podklady MZ'!H$2,'[8]Podklady MZ'!H27,"")</f>
        <v>171.97315488387096</v>
      </c>
      <c r="I22" s="665">
        <f>IF(T!$A$4&gt;='[8]Podklady MZ'!I$2,'[8]Podklady MZ'!I27,"")</f>
        <v>134.11532828333333</v>
      </c>
      <c r="J22" s="664">
        <f>IF(T!$A$4&gt;='[8]Podklady MZ'!J$2,'[8]Podklady MZ'!J27,"")</f>
        <v>138.00439579354838</v>
      </c>
      <c r="K22" s="664">
        <f>IF(T!$A$4&gt;='[8]Podklady MZ'!K$2,'[8]Podklady MZ'!K27,"")</f>
        <v>131.51468844516128</v>
      </c>
      <c r="L22" s="664">
        <f>IF(T!$A$4&gt;='[8]Podklady MZ'!L$2,'[8]Podklady MZ'!L27,"")</f>
        <v>198.71052223333334</v>
      </c>
      <c r="M22" s="666" t="str">
        <f>IF(T!$A$4&gt;='[8]Podklady MZ'!M$2,'[8]Podklady MZ'!M27,"")</f>
        <v/>
      </c>
      <c r="N22" s="664" t="str">
        <f>IF(T!$A$4&gt;='[8]Podklady MZ'!N$2,'[8]Podklady MZ'!N27,"")</f>
        <v/>
      </c>
      <c r="O22" s="664" t="str">
        <f>IF(T!$A$4&gt;='[8]Podklady MZ'!O$2,'[8]Podklady MZ'!O27,"")</f>
        <v/>
      </c>
      <c r="P22" s="671" t="str">
        <f>IF(T!$A$4&gt;='[8]Podklady MZ'!P$2,'[8]Podklady MZ'!P27,"")</f>
        <v/>
      </c>
    </row>
    <row r="23" spans="1:16" ht="18" customHeight="1" x14ac:dyDescent="0.2">
      <c r="A23" s="875"/>
      <c r="B23" s="575" t="s">
        <v>42</v>
      </c>
      <c r="C23" s="573" t="s">
        <v>252</v>
      </c>
      <c r="D23" s="547">
        <f>IF(T!$A$4&gt;='[8]Podklady MZ'!D$2,'[8]Podklady MZ'!D28,"")</f>
        <v>-3.6</v>
      </c>
      <c r="E23" s="547">
        <f>IF(T!$A$4&gt;='[8]Podklady MZ'!E$2,'[8]Podklady MZ'!E28,"")</f>
        <v>-3.4</v>
      </c>
      <c r="F23" s="547">
        <f>IF(T!$A$4&gt;='[8]Podklady MZ'!F$2,'[8]Podklady MZ'!F28,"")</f>
        <v>1</v>
      </c>
      <c r="G23" s="548">
        <f>IF(T!$A$4&gt;='[8]Podklady MZ'!G$2,'[8]Podklady MZ'!G28,"")</f>
        <v>1.3</v>
      </c>
      <c r="H23" s="549">
        <f>IF(T!$A$4&gt;='[8]Podklady MZ'!H$2,'[8]Podklady MZ'!H28,"")</f>
        <v>9.1</v>
      </c>
      <c r="I23" s="550">
        <f>IF(T!$A$4&gt;='[8]Podklady MZ'!I$2,'[8]Podklady MZ'!I28,"")</f>
        <v>12.8</v>
      </c>
      <c r="J23" s="549">
        <f>IF(T!$A$4&gt;='[8]Podklady MZ'!J$2,'[8]Podklady MZ'!J28,"")</f>
        <v>19.2</v>
      </c>
      <c r="K23" s="549">
        <f>IF(T!$A$4&gt;='[8]Podklady MZ'!K$2,'[8]Podklady MZ'!K28,"")</f>
        <v>14.8</v>
      </c>
      <c r="L23" s="549">
        <f>IF(T!$A$4&gt;='[8]Podklady MZ'!L$2,'[8]Podklady MZ'!L28,"")</f>
        <v>7.6</v>
      </c>
      <c r="M23" s="11" t="str">
        <f>IF(T!$A$4&gt;='[8]Podklady MZ'!M$2,'[8]Podklady MZ'!M28,"")</f>
        <v/>
      </c>
      <c r="N23" s="549" t="str">
        <f>IF(T!$A$4&gt;='[8]Podklady MZ'!N$2,'[8]Podklady MZ'!N28,"")</f>
        <v/>
      </c>
      <c r="O23" s="549" t="str">
        <f>IF(T!$A$4&gt;='[8]Podklady MZ'!O$2,'[8]Podklady MZ'!O28,"")</f>
        <v/>
      </c>
      <c r="P23" s="591" t="str">
        <f>IF(T!$A$4&gt;='[8]Podklady MZ'!P$2,'[8]Podklady MZ'!P28,"")</f>
        <v/>
      </c>
    </row>
    <row r="24" spans="1:16" ht="18" customHeight="1" x14ac:dyDescent="0.2">
      <c r="A24" s="875"/>
      <c r="B24" s="98" t="str">
        <f>"min. spotřeba "&amp;$A$3</f>
        <v>min. spotřeba 2015</v>
      </c>
      <c r="C24" s="568" t="s">
        <v>250</v>
      </c>
      <c r="D24" s="662">
        <f>IF(T!$A$4&gt;='[8]Podklady MZ'!D$2,'[8]Podklady MZ'!D29,"")</f>
        <v>26.684387110760138</v>
      </c>
      <c r="E24" s="662">
        <f>IF(T!$A$4&gt;='[8]Podklady MZ'!E$2,'[8]Podklady MZ'!E29,"")</f>
        <v>29.662131335351482</v>
      </c>
      <c r="F24" s="662">
        <f>IF(T!$A$4&gt;='[8]Podklady MZ'!F$2,'[8]Podklady MZ'!F29,"")</f>
        <v>22.43004746355092</v>
      </c>
      <c r="G24" s="663">
        <f>IF(T!$A$4&gt;='[8]Podklady MZ'!G$2,'[8]Podklady MZ'!G29,"")</f>
        <v>12.336617288364373</v>
      </c>
      <c r="H24" s="664">
        <f>IF(T!$A$4&gt;='[8]Podklady MZ'!H$2,'[8]Podklady MZ'!H29,"")</f>
        <v>9.9833297936764538</v>
      </c>
      <c r="I24" s="665">
        <f>IF(T!$A$4&gt;='[8]Podklady MZ'!I$2,'[8]Podklady MZ'!I29,"")</f>
        <v>8.0874519176162973</v>
      </c>
      <c r="J24" s="664">
        <f>IF(T!$A$4&gt;='[8]Podklady MZ'!J$2,'[8]Podklady MZ'!J29,"")</f>
        <v>7.4815198200827711</v>
      </c>
      <c r="K24" s="664">
        <f>IF(T!$A$4&gt;='[8]Podklady MZ'!K$2,'[8]Podklady MZ'!K29,"")</f>
        <v>6.9156343597705554</v>
      </c>
      <c r="L24" s="664">
        <f>IF(T!$A$4&gt;='[8]Podklady MZ'!L$2,'[8]Podklady MZ'!L29,"")</f>
        <v>8.1970730704195525</v>
      </c>
      <c r="M24" s="666" t="str">
        <f>IF(T!$A$4&gt;='[8]Podklady MZ'!M$2,'[8]Podklady MZ'!M29,"")</f>
        <v/>
      </c>
      <c r="N24" s="664" t="str">
        <f>IF(T!$A$4&gt;='[8]Podklady MZ'!N$2,'[8]Podklady MZ'!N29,"")</f>
        <v/>
      </c>
      <c r="O24" s="664" t="str">
        <f>IF(T!$A$4&gt;='[8]Podklady MZ'!O$2,'[8]Podklady MZ'!O29,"")</f>
        <v/>
      </c>
      <c r="P24" s="671" t="str">
        <f>IF(T!$A$4&gt;='[8]Podklady MZ'!P$2,'[8]Podklady MZ'!P29,"")</f>
        <v/>
      </c>
    </row>
    <row r="25" spans="1:16" ht="18" customHeight="1" x14ac:dyDescent="0.2">
      <c r="A25" s="875"/>
      <c r="B25" s="98" t="str">
        <f>"min. spotřeba "&amp;$A$3</f>
        <v>min. spotřeba 2015</v>
      </c>
      <c r="C25" s="568" t="s">
        <v>303</v>
      </c>
      <c r="D25" s="662">
        <f>IF(T!$A$4&gt;='[8]Podklady MZ'!D$2,'[8]Podklady MZ'!D30,"")</f>
        <v>283.65752081290321</v>
      </c>
      <c r="E25" s="662">
        <f>IF(T!$A$4&gt;='[8]Podklady MZ'!E$2,'[8]Podklady MZ'!E30,"")</f>
        <v>315.42335078571426</v>
      </c>
      <c r="F25" s="662">
        <f>IF(T!$A$4&gt;='[8]Podklady MZ'!F$2,'[8]Podklady MZ'!F30,"")</f>
        <v>238.48520286451614</v>
      </c>
      <c r="G25" s="663">
        <f>IF(T!$A$4&gt;='[8]Podklady MZ'!G$2,'[8]Podklady MZ'!G30,"")</f>
        <v>131.30157723999997</v>
      </c>
      <c r="H25" s="664">
        <f>IF(T!$A$4&gt;='[8]Podklady MZ'!H$2,'[8]Podklady MZ'!H30,"")</f>
        <v>106.87008388387098</v>
      </c>
      <c r="I25" s="665">
        <f>IF(T!$A$4&gt;='[8]Podklady MZ'!I$2,'[8]Podklady MZ'!I30,"")</f>
        <v>86.645689283333326</v>
      </c>
      <c r="J25" s="664">
        <f>IF(T!$A$4&gt;='[8]Podklady MZ'!J$2,'[8]Podklady MZ'!J30,"")</f>
        <v>79.912194793548395</v>
      </c>
      <c r="K25" s="664">
        <f>IF(T!$A$4&gt;='[8]Podklady MZ'!K$2,'[8]Podklady MZ'!K30,"")</f>
        <v>74.112511445161289</v>
      </c>
      <c r="L25" s="664">
        <f>IF(T!$A$4&gt;='[8]Podklady MZ'!L$2,'[8]Podklady MZ'!L30,"")</f>
        <v>87.702114233333347</v>
      </c>
      <c r="M25" s="666" t="str">
        <f>IF(T!$A$4&gt;='[8]Podklady MZ'!M$2,'[8]Podklady MZ'!M30,"")</f>
        <v/>
      </c>
      <c r="N25" s="664" t="str">
        <f>IF(T!$A$4&gt;='[8]Podklady MZ'!N$2,'[8]Podklady MZ'!N30,"")</f>
        <v/>
      </c>
      <c r="O25" s="664" t="str">
        <f>IF(T!$A$4&gt;='[8]Podklady MZ'!O$2,'[8]Podklady MZ'!O30,"")</f>
        <v/>
      </c>
      <c r="P25" s="671" t="str">
        <f>IF(T!$A$4&gt;='[8]Podklady MZ'!P$2,'[8]Podklady MZ'!P30,"")</f>
        <v/>
      </c>
    </row>
    <row r="26" spans="1:16" ht="18" customHeight="1" x14ac:dyDescent="0.2">
      <c r="A26" s="875"/>
      <c r="B26" s="569" t="s">
        <v>42</v>
      </c>
      <c r="C26" s="568" t="s">
        <v>252</v>
      </c>
      <c r="D26" s="543">
        <f>IF(T!$A$4&gt;='[8]Podklady MZ'!D$2,'[8]Podklady MZ'!D31,"")</f>
        <v>11</v>
      </c>
      <c r="E26" s="543">
        <f>IF(T!$A$4&gt;='[8]Podklady MZ'!E$2,'[8]Podklady MZ'!E31,"")</f>
        <v>2.2000000000000002</v>
      </c>
      <c r="F26" s="543">
        <f>IF(T!$A$4&gt;='[8]Podklady MZ'!F$2,'[8]Podklady MZ'!F31,"")</f>
        <v>4.2</v>
      </c>
      <c r="G26" s="544">
        <f>IF(T!$A$4&gt;='[8]Podklady MZ'!G$2,'[8]Podklady MZ'!G31,"")</f>
        <v>14.6</v>
      </c>
      <c r="H26" s="530">
        <f>IF(T!$A$4&gt;='[8]Podklady MZ'!H$2,'[8]Podklady MZ'!H31,"")</f>
        <v>15.5</v>
      </c>
      <c r="I26" s="545">
        <f>IF(T!$A$4&gt;='[8]Podklady MZ'!I$2,'[8]Podklady MZ'!I31,"")</f>
        <v>21</v>
      </c>
      <c r="J26" s="530">
        <f>IF(T!$A$4&gt;='[8]Podklady MZ'!J$2,'[8]Podklady MZ'!J31,"")</f>
        <v>25.8</v>
      </c>
      <c r="K26" s="530">
        <f>IF(T!$A$4&gt;='[8]Podklady MZ'!K$2,'[8]Podklady MZ'!K31,"")</f>
        <v>27.4</v>
      </c>
      <c r="L26" s="530">
        <f>IF(T!$A$4&gt;='[8]Podklady MZ'!L$2,'[8]Podklady MZ'!L31,"")</f>
        <v>13.8</v>
      </c>
      <c r="M26" s="24" t="str">
        <f>IF(T!$A$4&gt;='[8]Podklady MZ'!M$2,'[8]Podklady MZ'!M31,"")</f>
        <v/>
      </c>
      <c r="N26" s="530" t="str">
        <f>IF(T!$A$4&gt;='[8]Podklady MZ'!N$2,'[8]Podklady MZ'!N31,"")</f>
        <v/>
      </c>
      <c r="O26" s="530" t="str">
        <f>IF(T!$A$4&gt;='[8]Podklady MZ'!O$2,'[8]Podklady MZ'!O31,"")</f>
        <v/>
      </c>
      <c r="P26" s="590" t="str">
        <f>IF(T!$A$4&gt;='[8]Podklady MZ'!P$2,'[8]Podklady MZ'!P31,"")</f>
        <v/>
      </c>
    </row>
    <row r="27" spans="1:16" ht="9.9499999999999993" customHeight="1" x14ac:dyDescent="0.2">
      <c r="A27" s="876"/>
      <c r="B27" s="546"/>
      <c r="C27" s="531"/>
      <c r="D27" s="547"/>
      <c r="E27" s="547"/>
      <c r="F27" s="547"/>
      <c r="G27" s="548"/>
      <c r="H27" s="534"/>
      <c r="I27" s="535"/>
      <c r="J27" s="534"/>
      <c r="K27" s="534"/>
      <c r="L27" s="534"/>
      <c r="M27" s="551"/>
      <c r="N27" s="534"/>
      <c r="O27" s="534"/>
      <c r="P27" s="591"/>
    </row>
    <row r="28" spans="1:16" ht="9.9499999999999993" customHeight="1" x14ac:dyDescent="0.2">
      <c r="A28" s="503"/>
      <c r="B28" s="552"/>
      <c r="C28" s="553"/>
      <c r="D28" s="554"/>
      <c r="E28" s="554"/>
      <c r="F28" s="554"/>
      <c r="G28" s="555"/>
      <c r="H28" s="540"/>
      <c r="I28" s="541"/>
      <c r="J28" s="540"/>
      <c r="K28" s="540"/>
      <c r="L28" s="540"/>
      <c r="M28" s="542"/>
      <c r="N28" s="540"/>
      <c r="O28" s="540"/>
      <c r="P28" s="590"/>
    </row>
    <row r="29" spans="1:16" ht="18" customHeight="1" x14ac:dyDescent="0.2">
      <c r="A29" s="875" t="str">
        <f>"Denní 
modelová spotřeba 
zemního plynu
"&amp;$A$3</f>
        <v>Denní 
modelová spotřeba 
zemního plynu
2015</v>
      </c>
      <c r="B29" s="571" t="s">
        <v>247</v>
      </c>
      <c r="C29" s="572" t="s">
        <v>250</v>
      </c>
      <c r="D29" s="659">
        <f>IF(T!$A$4&gt;='[8]Podklady MZ'!D$2,'[8]Podklady MZ'!D34,"")</f>
        <v>0.91219251430331394</v>
      </c>
      <c r="E29" s="659">
        <f>IF(T!$A$4&gt;='[8]Podklady MZ'!E$2,'[8]Podklady MZ'!E34,"")</f>
        <v>1.3110234890123738</v>
      </c>
      <c r="F29" s="659">
        <f>IF(T!$A$4&gt;='[8]Podklady MZ'!F$2,'[8]Podklady MZ'!F34,"")</f>
        <v>1.1251568759219512</v>
      </c>
      <c r="G29" s="660">
        <f>IF(T!$A$4&gt;='[8]Podklady MZ'!G$2,'[8]Podklady MZ'!G34,"")</f>
        <v>1.2859358325557315</v>
      </c>
      <c r="H29" s="659">
        <f>IF(T!$A$4&gt;='[8]Podklady MZ'!H$2,'[8]Podklady MZ'!H34,"")</f>
        <v>0.27227439236338308</v>
      </c>
      <c r="I29" s="661">
        <f>IF(T!$A$4&gt;='[8]Podklady MZ'!I$2,'[8]Podklady MZ'!I34,"")</f>
        <v>0.16364182324992455</v>
      </c>
      <c r="J29" s="659">
        <f>IF(T!$A$4&gt;='[8]Podklady MZ'!J$2,'[8]Podklady MZ'!J34,"")</f>
        <v>2.8467161555886154E-2</v>
      </c>
      <c r="K29" s="659">
        <f>IF(T!$A$4&gt;='[8]Podklady MZ'!K$2,'[8]Podklady MZ'!K34,"")</f>
        <v>0.19659042148390893</v>
      </c>
      <c r="L29" s="659">
        <f>IF(T!$A$4&gt;='[8]Podklady MZ'!L$2,'[8]Podklady MZ'!L34,"")</f>
        <v>0.42902119788235332</v>
      </c>
      <c r="M29" s="660" t="str">
        <f>IF(T!$A$4&gt;='[8]Podklady MZ'!M$2,'[8]Podklady MZ'!M34,"")</f>
        <v/>
      </c>
      <c r="N29" s="659" t="str">
        <f>IF(T!$A$4&gt;='[8]Podklady MZ'!N$2,'[8]Podklady MZ'!N34,"")</f>
        <v/>
      </c>
      <c r="O29" s="659" t="str">
        <f>IF(T!$A$4&gt;='[8]Podklady MZ'!O$2,'[8]Podklady MZ'!O34,"")</f>
        <v/>
      </c>
      <c r="P29" s="596" t="s">
        <v>272</v>
      </c>
    </row>
    <row r="30" spans="1:16" ht="18" customHeight="1" x14ac:dyDescent="0.2">
      <c r="A30" s="875"/>
      <c r="B30" s="571" t="s">
        <v>247</v>
      </c>
      <c r="C30" s="572" t="s">
        <v>303</v>
      </c>
      <c r="D30" s="659">
        <f>IF(T!$A$4&gt;='[8]Podklady MZ'!D$2,'[8]Podklady MZ'!D35,"")</f>
        <v>9.6955474118236964</v>
      </c>
      <c r="E30" s="659">
        <f>IF(T!$A$4&gt;='[8]Podklady MZ'!E$2,'[8]Podklady MZ'!E35,"")</f>
        <v>13.940307026974384</v>
      </c>
      <c r="F30" s="659">
        <f>IF(T!$A$4&gt;='[8]Podklady MZ'!F$2,'[8]Podklady MZ'!F35,"")</f>
        <v>11.962097075588696</v>
      </c>
      <c r="G30" s="660">
        <f>IF(T!$A$4&gt;='[8]Podklady MZ'!G$2,'[8]Podklady MZ'!G35,"")</f>
        <v>13.681171183550427</v>
      </c>
      <c r="H30" s="659">
        <f>IF(T!$A$4&gt;='[8]Podklady MZ'!H$2,'[8]Podklady MZ'!H35,"")</f>
        <v>2.9140530370323043</v>
      </c>
      <c r="I30" s="661">
        <f>IF(T!$A$4&gt;='[8]Podklady MZ'!I$2,'[8]Podklady MZ'!I35,"")</f>
        <v>1.7526069426100241</v>
      </c>
      <c r="J30" s="659">
        <f>IF(T!$A$4&gt;='[8]Podklady MZ'!J$2,'[8]Podklady MZ'!J35,"")</f>
        <v>0.30397564490890416</v>
      </c>
      <c r="K30" s="659">
        <f>IF(T!$A$4&gt;='[8]Podklady MZ'!K$2,'[8]Podklady MZ'!K35,"")</f>
        <v>2.106103609363259</v>
      </c>
      <c r="L30" s="659">
        <f>IF(T!$A$4&gt;='[8]Podklady MZ'!L$2,'[8]Podklady MZ'!L35,"")</f>
        <v>4.5891627473969443</v>
      </c>
      <c r="M30" s="660" t="str">
        <f>IF(T!$A$4&gt;='[8]Podklady MZ'!M$2,'[8]Podklady MZ'!M35,"")</f>
        <v/>
      </c>
      <c r="N30" s="659" t="str">
        <f>IF(T!$A$4&gt;='[8]Podklady MZ'!N$2,'[8]Podklady MZ'!N35,"")</f>
        <v/>
      </c>
      <c r="O30" s="659" t="str">
        <f>IF(T!$A$4&gt;='[8]Podklady MZ'!O$2,'[8]Podklady MZ'!O35,"")</f>
        <v/>
      </c>
      <c r="P30" s="596" t="s">
        <v>272</v>
      </c>
    </row>
    <row r="31" spans="1:16" ht="18" customHeight="1" x14ac:dyDescent="0.2">
      <c r="A31" s="875"/>
      <c r="B31" s="98" t="s">
        <v>255</v>
      </c>
      <c r="C31" s="568" t="s">
        <v>250</v>
      </c>
      <c r="D31" s="667">
        <f>IF(T!$A$4&gt;='[8]Podklady MZ'!D$2,'[8]Podklady MZ'!D36,"")</f>
        <v>37.110581900579199</v>
      </c>
      <c r="E31" s="667">
        <f>IF(T!$A$4&gt;='[8]Podklady MZ'!E$2,'[8]Podklady MZ'!E36,"")</f>
        <v>36.660259452578643</v>
      </c>
      <c r="F31" s="667">
        <f>IF(T!$A$4&gt;='[8]Podklady MZ'!F$2,'[8]Podklady MZ'!F36,"")</f>
        <v>33.566974590125859</v>
      </c>
      <c r="G31" s="668">
        <f>IF(T!$A$4&gt;='[8]Podklady MZ'!G$2,'[8]Podklady MZ'!G36,"")</f>
        <v>32.29328305837295</v>
      </c>
      <c r="H31" s="528" t="s">
        <v>272</v>
      </c>
      <c r="I31" s="529" t="s">
        <v>272</v>
      </c>
      <c r="J31" s="528" t="s">
        <v>272</v>
      </c>
      <c r="K31" s="528" t="s">
        <v>272</v>
      </c>
      <c r="L31" s="528" t="s">
        <v>272</v>
      </c>
      <c r="M31" s="668" t="str">
        <f>IF(T!$A$4&gt;='[8]Podklady MZ'!M$2,'[8]Podklady MZ'!M36,"")</f>
        <v/>
      </c>
      <c r="N31" s="667" t="str">
        <f>IF(T!$A$4&gt;='[8]Podklady MZ'!N$2,'[8]Podklady MZ'!N36,"")</f>
        <v/>
      </c>
      <c r="O31" s="667" t="str">
        <f>IF(T!$A$4&gt;='[8]Podklady MZ'!O$2,'[8]Podklady MZ'!O36,"")</f>
        <v/>
      </c>
      <c r="P31" s="590" t="s">
        <v>272</v>
      </c>
    </row>
    <row r="32" spans="1:16" ht="18" customHeight="1" x14ac:dyDescent="0.2">
      <c r="A32" s="875"/>
      <c r="B32" s="574" t="s">
        <v>255</v>
      </c>
      <c r="C32" s="573" t="s">
        <v>303</v>
      </c>
      <c r="D32" s="669">
        <f>IF(T!$A$4&gt;='[8]Podklady MZ'!D$2,'[8]Podklady MZ'!D37,"")</f>
        <v>394.44240185662397</v>
      </c>
      <c r="E32" s="669">
        <f>IF(T!$A$4&gt;='[8]Podklady MZ'!E$2,'[8]Podklady MZ'!E37,"")</f>
        <v>389.8139711001491</v>
      </c>
      <c r="F32" s="669">
        <f>IF(T!$A$4&gt;='[8]Podklady MZ'!F$2,'[8]Podklady MZ'!F37,"")</f>
        <v>356.86704420829369</v>
      </c>
      <c r="G32" s="670">
        <f>IF(T!$A$4&gt;='[8]Podklady MZ'!G$2,'[8]Podklady MZ'!G37,"")</f>
        <v>343.5707462341839</v>
      </c>
      <c r="H32" s="534" t="s">
        <v>272</v>
      </c>
      <c r="I32" s="535" t="s">
        <v>272</v>
      </c>
      <c r="J32" s="534" t="s">
        <v>272</v>
      </c>
      <c r="K32" s="534" t="s">
        <v>272</v>
      </c>
      <c r="L32" s="534" t="s">
        <v>272</v>
      </c>
      <c r="M32" s="670" t="str">
        <f>IF(T!$A$4&gt;='[8]Podklady MZ'!M$2,'[8]Podklady MZ'!M37,"")</f>
        <v/>
      </c>
      <c r="N32" s="669" t="str">
        <f>IF(T!$A$4&gt;='[8]Podklady MZ'!N$2,'[8]Podklady MZ'!N37,"")</f>
        <v/>
      </c>
      <c r="O32" s="669" t="str">
        <f>IF(T!$A$4&gt;='[8]Podklady MZ'!O$2,'[8]Podklady MZ'!O37,"")</f>
        <v/>
      </c>
      <c r="P32" s="591" t="s">
        <v>272</v>
      </c>
    </row>
    <row r="33" spans="1:16" ht="18" customHeight="1" x14ac:dyDescent="0.2">
      <c r="A33" s="875"/>
      <c r="B33" s="98" t="s">
        <v>256</v>
      </c>
      <c r="C33" s="568" t="s">
        <v>250</v>
      </c>
      <c r="D33" s="667">
        <f>IF(T!$A$4&gt;='[8]Podklady MZ'!D$2,'[8]Podklady MZ'!D38,"")</f>
        <v>48.056892072218965</v>
      </c>
      <c r="E33" s="667">
        <f>IF(T!$A$4&gt;='[8]Podklady MZ'!E$2,'[8]Podklady MZ'!E38,"")</f>
        <v>52.392541320727126</v>
      </c>
      <c r="F33" s="667">
        <f>IF(T!$A$4&gt;='[8]Podklady MZ'!F$2,'[8]Podklady MZ'!F38,"")</f>
        <v>47.068857101189273</v>
      </c>
      <c r="G33" s="668">
        <f>IF(T!$A$4&gt;='[8]Podklady MZ'!G$2,'[8]Podklady MZ'!G38,"")</f>
        <v>47.724513049041732</v>
      </c>
      <c r="H33" s="528" t="s">
        <v>272</v>
      </c>
      <c r="I33" s="529" t="s">
        <v>272</v>
      </c>
      <c r="J33" s="528" t="s">
        <v>272</v>
      </c>
      <c r="K33" s="528" t="s">
        <v>272</v>
      </c>
      <c r="L33" s="528" t="s">
        <v>272</v>
      </c>
      <c r="M33" s="668" t="str">
        <f>IF(T!$A$4&gt;='[8]Podklady MZ'!M$2,'[8]Podklady MZ'!M38,"")</f>
        <v/>
      </c>
      <c r="N33" s="667" t="str">
        <f>IF(T!$A$4&gt;='[8]Podklady MZ'!N$2,'[8]Podklady MZ'!N38,"")</f>
        <v/>
      </c>
      <c r="O33" s="667" t="str">
        <f>IF(T!$A$4&gt;='[8]Podklady MZ'!O$2,'[8]Podklady MZ'!O38,"")</f>
        <v/>
      </c>
      <c r="P33" s="590" t="s">
        <v>272</v>
      </c>
    </row>
    <row r="34" spans="1:16" ht="18" customHeight="1" x14ac:dyDescent="0.2">
      <c r="A34" s="875"/>
      <c r="B34" s="98" t="s">
        <v>256</v>
      </c>
      <c r="C34" s="568" t="s">
        <v>303</v>
      </c>
      <c r="D34" s="667">
        <f>IF(T!$A$4&gt;='[8]Podklady MZ'!D$2,'[8]Podklady MZ'!D39,"")</f>
        <v>510.78897079850827</v>
      </c>
      <c r="E34" s="667">
        <f>IF(T!$A$4&gt;='[8]Podklady MZ'!E$2,'[8]Podklady MZ'!E39,"")</f>
        <v>557.09765542384173</v>
      </c>
      <c r="F34" s="667">
        <f>IF(T!$A$4&gt;='[8]Podklady MZ'!F$2,'[8]Podklady MZ'!F39,"")</f>
        <v>500.412209115358</v>
      </c>
      <c r="G34" s="668">
        <f>IF(T!$A$4&gt;='[8]Podklady MZ'!G$2,'[8]Podklady MZ'!G39,"")</f>
        <v>507.74480043678903</v>
      </c>
      <c r="H34" s="528" t="s">
        <v>272</v>
      </c>
      <c r="I34" s="529" t="s">
        <v>272</v>
      </c>
      <c r="J34" s="528" t="s">
        <v>272</v>
      </c>
      <c r="K34" s="528" t="s">
        <v>272</v>
      </c>
      <c r="L34" s="528" t="s">
        <v>272</v>
      </c>
      <c r="M34" s="668" t="str">
        <f>IF(T!$A$4&gt;='[8]Podklady MZ'!M$2,'[8]Podklady MZ'!M39,"")</f>
        <v/>
      </c>
      <c r="N34" s="667" t="str">
        <f>IF(T!$A$4&gt;='[8]Podklady MZ'!N$2,'[8]Podklady MZ'!N39,"")</f>
        <v/>
      </c>
      <c r="O34" s="667" t="str">
        <f>IF(T!$A$4&gt;='[8]Podklady MZ'!O$2,'[8]Podklady MZ'!O39,"")</f>
        <v/>
      </c>
      <c r="P34" s="590" t="s">
        <v>272</v>
      </c>
    </row>
    <row r="35" spans="1:16" ht="9.9499999999999993" customHeight="1" x14ac:dyDescent="0.2">
      <c r="A35" s="876"/>
      <c r="B35" s="511"/>
      <c r="C35" s="531"/>
      <c r="D35" s="534"/>
      <c r="E35" s="534"/>
      <c r="F35" s="534"/>
      <c r="G35" s="551"/>
      <c r="H35" s="534"/>
      <c r="I35" s="535"/>
      <c r="J35" s="534"/>
      <c r="K35" s="534"/>
      <c r="L35" s="534"/>
      <c r="M35" s="551"/>
      <c r="N35" s="534"/>
      <c r="O35" s="534"/>
      <c r="P35" s="591"/>
    </row>
    <row r="36" spans="1:16" ht="9.9499999999999993" customHeight="1" x14ac:dyDescent="0.2">
      <c r="A36" s="558"/>
      <c r="B36" s="516"/>
      <c r="C36" s="520"/>
      <c r="D36" s="559"/>
      <c r="E36" s="560"/>
      <c r="F36" s="560"/>
      <c r="G36" s="561"/>
      <c r="H36" s="562"/>
      <c r="I36" s="563"/>
      <c r="J36" s="560"/>
      <c r="K36" s="560"/>
      <c r="L36" s="560"/>
      <c r="M36" s="561"/>
      <c r="N36" s="562"/>
      <c r="O36" s="562"/>
      <c r="P36" s="597"/>
    </row>
    <row r="37" spans="1:16" ht="14.1" customHeight="1" x14ac:dyDescent="0.2">
      <c r="D37" s="501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746"/>
    </row>
    <row r="38" spans="1:16" ht="14.1" customHeight="1" x14ac:dyDescent="0.2">
      <c r="D38" s="501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</row>
    <row r="39" spans="1:16" ht="14.1" customHeight="1" x14ac:dyDescent="0.2">
      <c r="D39" s="501"/>
      <c r="E39" s="690">
        <v>2</v>
      </c>
      <c r="F39" s="690">
        <v>3</v>
      </c>
      <c r="G39" s="690">
        <v>4</v>
      </c>
      <c r="H39" s="690">
        <v>5</v>
      </c>
      <c r="I39" s="690">
        <v>6</v>
      </c>
      <c r="J39" s="690">
        <v>7</v>
      </c>
      <c r="K39" s="690">
        <v>8</v>
      </c>
      <c r="L39" s="690">
        <v>9</v>
      </c>
      <c r="M39" s="690">
        <v>10</v>
      </c>
      <c r="N39" s="690">
        <v>11</v>
      </c>
      <c r="O39" s="690">
        <v>12</v>
      </c>
      <c r="P39" s="690"/>
    </row>
    <row r="40" spans="1:16" ht="14.1" customHeight="1" x14ac:dyDescent="0.2"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</row>
    <row r="41" spans="1:16" ht="14.1" customHeight="1" x14ac:dyDescent="0.2"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</row>
    <row r="42" spans="1:16" ht="14.1" customHeight="1" x14ac:dyDescent="0.2"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x14ac:dyDescent="0.2">
      <c r="D43" s="501"/>
      <c r="E43" s="501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</row>
    <row r="44" spans="1:16" x14ac:dyDescent="0.2">
      <c r="D44" s="501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</row>
    <row r="45" spans="1:16" x14ac:dyDescent="0.2"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</row>
    <row r="46" spans="1:16" x14ac:dyDescent="0.2"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</row>
    <row r="47" spans="1:16" x14ac:dyDescent="0.2"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</row>
    <row r="48" spans="1:16" x14ac:dyDescent="0.2"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</row>
    <row r="49" spans="4:16" x14ac:dyDescent="0.2"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</row>
    <row r="50" spans="4:16" x14ac:dyDescent="0.2">
      <c r="D50" s="501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</row>
    <row r="51" spans="4:16" x14ac:dyDescent="0.2">
      <c r="D51" s="501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54</v>
      </c>
      <c r="P1" s="827"/>
    </row>
    <row r="2" spans="1:17" ht="15.95" customHeight="1" x14ac:dyDescent="0.25">
      <c r="A2" s="877" t="s">
        <v>248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 t="s">
        <v>128</v>
      </c>
      <c r="B5" s="880" t="s">
        <v>297</v>
      </c>
      <c r="C5" s="881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5.0999999999999996" customHeight="1" x14ac:dyDescent="0.2">
      <c r="A6" s="879" t="s">
        <v>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4.1" customHeight="1" x14ac:dyDescent="0.2">
      <c r="A7" s="875"/>
      <c r="B7" s="98" t="s">
        <v>259</v>
      </c>
      <c r="C7" s="568" t="s">
        <v>250</v>
      </c>
      <c r="D7" s="530">
        <f>IF(T!$A$4&gt;=D$50,INDEX([2]DS!$B36:$AK36,1,3*MONTH(D$5&amp;$A$3)-1)/1000,"")</f>
        <v>385.63213875298783</v>
      </c>
      <c r="E7" s="530">
        <f>IF(T!$A$4&gt;=E$50,INDEX([2]DS!$B36:$AK36,1,3*MONTH(E$5&amp;$A$3)-1)/1000,"")</f>
        <v>353.33978032210234</v>
      </c>
      <c r="F7" s="570">
        <f>IF(T!$A$4&gt;=F$50,INDEX([2]DS!$B36:$AK36,1,3*MONTH(F$5&amp;$A$3)-1)/1000,"")</f>
        <v>346.37501366394571</v>
      </c>
      <c r="G7" s="543">
        <f>IF(T!$A$4&gt;=G$50,INDEX([2]DS!$B36:$AK36,1,3*MONTH(G$5&amp;$A$3)-1)/1000,"")</f>
        <v>288.19805184514018</v>
      </c>
      <c r="H7" s="530">
        <f>IF(T!$A$4&gt;=H$50,INDEX([2]DS!$B36:$AK36,1,3*MONTH(H$5&amp;$A$3)-1)/1000,"")</f>
        <v>245.68114266191338</v>
      </c>
      <c r="I7" s="545">
        <f>IF(T!$A$4&gt;=I$50,INDEX([2]DS!$B36:$AK36,1,3*MONTH(I$5&amp;$A$3)-1)/1000,"")</f>
        <v>222.39487171832147</v>
      </c>
      <c r="J7" s="530">
        <f>IF(T!$A$4&gt;=J$50,INDEX([2]DS!$B36:$AK36,1,3*MONTH(J$5&amp;$A$3)-1)/1000,"")</f>
        <v>224.67789046928047</v>
      </c>
      <c r="K7" s="530">
        <f>IF(T!$A$4&gt;=K$50,INDEX([2]DS!$B36:$AK36,1,3*MONTH(K$5&amp;$A$3)-1)/1000,"")</f>
        <v>205.69359563343002</v>
      </c>
      <c r="L7" s="545">
        <f>IF(T!$A$4&gt;=L$50,INDEX([2]DS!$B36:$AK36,1,3*MONTH(L$5&amp;$A$3)-1)/1000,"")</f>
        <v>233.9718208013642</v>
      </c>
      <c r="M7" s="530" t="str">
        <f>IF(T!$A$4&gt;=M$50,INDEX([2]DS!$B36:$AK36,1,3*MONTH(M$5&amp;$A$3)-1)/1000,"")</f>
        <v/>
      </c>
      <c r="N7" s="530" t="str">
        <f>IF(T!$A$4&gt;=N$50,INDEX([2]DS!$B36:$AK36,1,3*MONTH(N$5&amp;$A$3)-1)/1000,"")</f>
        <v/>
      </c>
      <c r="O7" s="530" t="str">
        <f>IF(T!$A$4&gt;=O$50,INDEX([2]DS!$B36:$AK36,1,3*MONTH(O$5&amp;$A$3)-1)/1000,"")</f>
        <v/>
      </c>
      <c r="P7" s="590">
        <f>SUM(D7:O7)</f>
        <v>2505.9643058684856</v>
      </c>
    </row>
    <row r="8" spans="1:17" ht="14.1" customHeight="1" x14ac:dyDescent="0.2">
      <c r="A8" s="875"/>
      <c r="B8" s="98" t="s">
        <v>259</v>
      </c>
      <c r="C8" s="568" t="s">
        <v>303</v>
      </c>
      <c r="D8" s="543">
        <f>IF(T!$A$4&gt;=D$50,INDEX([2]DS!$B36:$AK36,1,3*MONTH(D$5&amp;$A$3))/1000,"")</f>
        <v>4099.1532515729996</v>
      </c>
      <c r="E8" s="560">
        <f>IF(T!$A$4&gt;=E$50,INDEX([2]DS!$B36:$AK36,1,3*MONTH(E$5&amp;$A$3))/1000,"")</f>
        <v>3757.3962138940001</v>
      </c>
      <c r="F8" s="570">
        <f>IF(T!$A$4&gt;=F$50,INDEX([2]DS!$B36:$AK36,1,3*MONTH(F$5&amp;$A$3))/1000,"")</f>
        <v>3682.5863261610011</v>
      </c>
      <c r="G8" s="543">
        <f>IF(T!$A$4&gt;=G$50,INDEX([2]DS!$B36:$AK36,1,3*MONTH(G$5&amp;$A$3))/1000,"")</f>
        <v>3066.2293641399992</v>
      </c>
      <c r="H8" s="530">
        <f>IF(T!$A$4&gt;=H$50,INDEX([2]DS!$B36:$AK36,1,3*MONTH(H$5&amp;$A$3))/1000,"")</f>
        <v>2629.4975017899997</v>
      </c>
      <c r="I8" s="545">
        <f>IF(T!$A$4&gt;=I$50,INDEX([2]DS!$B36:$AK36,1,3*MONTH(I$5&amp;$A$3))/1000,"")</f>
        <v>2382.0311126899996</v>
      </c>
      <c r="J8" s="530">
        <f>IF(T!$A$4&gt;=J$50,INDEX([2]DS!$B36:$AK36,1,3*MONTH(J$5&amp;$A$3))/1000,"")</f>
        <v>2399.6039095899991</v>
      </c>
      <c r="K8" s="530">
        <f>IF(T!$A$4&gt;=K$50,INDEX([2]DS!$B36:$AK36,1,3*MONTH(K$5&amp;$A$3))/1000,"")</f>
        <v>2203.55301422</v>
      </c>
      <c r="L8" s="545">
        <f>IF(T!$A$4&gt;=L$50,INDEX([2]DS!$B36:$AK36,1,3*MONTH(L$5&amp;$A$3))/1000,"")</f>
        <v>2502.5875773899998</v>
      </c>
      <c r="M8" s="530" t="str">
        <f>IF(T!$A$4&gt;=M$50,INDEX([2]DS!$B36:$AK36,1,3*MONTH(M$5&amp;$A$3))/1000,"")</f>
        <v/>
      </c>
      <c r="N8" s="530" t="str">
        <f>IF(T!$A$4&gt;=N$50,INDEX([2]DS!$B36:$AK36,1,3*MONTH(N$5&amp;$A$3))/1000,"")</f>
        <v/>
      </c>
      <c r="O8" s="530" t="str">
        <f>IF(T!$A$4&gt;=O$50,INDEX([2]DS!$B36:$AK36,1,3*MONTH(O$5&amp;$A$3))/1000,"")</f>
        <v/>
      </c>
      <c r="P8" s="590">
        <f t="shared" ref="P8" si="0">SUM(D8:O8)</f>
        <v>26722.638271447995</v>
      </c>
    </row>
    <row r="9" spans="1:17" ht="14.1" customHeight="1" x14ac:dyDescent="0.2">
      <c r="A9" s="875"/>
      <c r="B9" s="732" t="s">
        <v>257</v>
      </c>
      <c r="C9" s="733" t="s">
        <v>251</v>
      </c>
      <c r="D9" s="734">
        <f>IF(T!$A$4&gt;=D$50,D7/D$40,"")</f>
        <v>0.35664386219026406</v>
      </c>
      <c r="E9" s="734">
        <f>IF(T!$A$4&gt;=E$50,E7/E$40,"")</f>
        <v>0.35695684033317382</v>
      </c>
      <c r="F9" s="735">
        <f>IF(T!$A$4&gt;=F$50,F7/F$40,"")</f>
        <v>0.4001869268131576</v>
      </c>
      <c r="G9" s="734">
        <f>IF(T!$A$4&gt;=G$50,G7/G$40,"")</f>
        <v>0.46273929977048311</v>
      </c>
      <c r="H9" s="736">
        <f>IF(T!$A$4&gt;=H$50,H7/H$40,"")</f>
        <v>0.60696214474447441</v>
      </c>
      <c r="I9" s="737">
        <f>IF(T!$A$4&gt;=I$50,I7/I$40,"")</f>
        <v>0.70734496784431988</v>
      </c>
      <c r="J9" s="736">
        <f>IF(T!$A$4&gt;=J$50,J7/J$40,"")</f>
        <v>0.75297715034800816</v>
      </c>
      <c r="K9" s="736">
        <f>IF(T!$A$4&gt;=K$50,K7/K$40,"")</f>
        <v>0.74120885037466566</v>
      </c>
      <c r="L9" s="737">
        <f>IF(T!$A$4&gt;=L$50,L7/L$40,"")</f>
        <v>0.6628832249664216</v>
      </c>
      <c r="M9" s="736" t="str">
        <f>IF(T!$A$4&gt;=M$50,M7/M$40,"")</f>
        <v/>
      </c>
      <c r="N9" s="736" t="str">
        <f>IF(T!$A$4&gt;=N$50,N7/N$40,"")</f>
        <v/>
      </c>
      <c r="O9" s="736" t="str">
        <f>IF(T!$A$4&gt;=O$50,O7/O$40,"")</f>
        <v/>
      </c>
      <c r="P9" s="738">
        <f>P7/P$40</f>
        <v>0.48121964487367741</v>
      </c>
    </row>
    <row r="10" spans="1:17" ht="14.1" customHeight="1" x14ac:dyDescent="0.2">
      <c r="A10" s="875"/>
      <c r="B10" s="98" t="s">
        <v>0</v>
      </c>
      <c r="C10" s="568"/>
      <c r="D10" s="673">
        <f>IF(T!$A$4&gt;=D$50,INDEX([2]DS!$B36:$AK36,1,3*MONTH(D$5&amp;$A$3)-2),"")</f>
        <v>1590</v>
      </c>
      <c r="E10" s="683">
        <f>IF(T!$A$4&gt;=E$50,INDEX([2]DS!$B36:$AK36,1,3*MONTH(E$5&amp;$A$3)-2),"")</f>
        <v>1592</v>
      </c>
      <c r="F10" s="674">
        <f>IF(T!$A$4&gt;=F$50,INDEX([2]DS!$B36:$AK36,1,3*MONTH(F$5&amp;$A$3)-2),"")</f>
        <v>1593</v>
      </c>
      <c r="G10" s="673">
        <f>IF(T!$A$4&gt;=G$50,INDEX([2]DS!$B36:$AK36,1,3*MONTH(G$5&amp;$A$3)-2),"")</f>
        <v>1589</v>
      </c>
      <c r="H10" s="672">
        <f>IF(T!$A$4&gt;=H$50,INDEX([2]DS!$B36:$AK36,1,3*MONTH(H$5&amp;$A$3)-2),"")</f>
        <v>1593</v>
      </c>
      <c r="I10" s="675">
        <f>IF(T!$A$4&gt;=I$50,INDEX([2]DS!$B36:$AK36,1,3*MONTH(I$5&amp;$A$3)-2),"")</f>
        <v>1593</v>
      </c>
      <c r="J10" s="672">
        <f>IF(T!$A$4&gt;=J$50,INDEX([2]DS!$B36:$AK36,1,3*MONTH(J$5&amp;$A$3)-2),"")</f>
        <v>1591</v>
      </c>
      <c r="K10" s="672">
        <f>IF(T!$A$4&gt;=K$50,INDEX([2]DS!$B36:$AK36,1,3*MONTH(K$5&amp;$A$3)-2),"")</f>
        <v>1594</v>
      </c>
      <c r="L10" s="675">
        <f>IF(T!$A$4&gt;=L$50,INDEX([2]DS!$B36:$AK36,1,3*MONTH(L$5&amp;$A$3)-2),"")</f>
        <v>1595</v>
      </c>
      <c r="M10" s="672" t="str">
        <f>IF(T!$A$4&gt;=M$50,INDEX([2]DS!$B36:$AK36,1,3*MONTH(M$5&amp;$A$3)-2),"")</f>
        <v/>
      </c>
      <c r="N10" s="672" t="str">
        <f>IF(T!$A$4&gt;=N$50,INDEX([2]DS!$B36:$AK36,1,3*MONTH(N$5&amp;$A$3)-2),"")</f>
        <v/>
      </c>
      <c r="O10" s="672" t="str">
        <f>IF(T!$A$4&gt;=O$50,INDEX([2]DS!$B36:$AK36,1,3*MONTH(O$5&amp;$A$3)-2),"")</f>
        <v/>
      </c>
      <c r="P10" s="687" t="str">
        <f>O10</f>
        <v/>
      </c>
    </row>
    <row r="11" spans="1:17" ht="14.1" customHeight="1" x14ac:dyDescent="0.2">
      <c r="A11" s="875"/>
      <c r="B11" s="569" t="s">
        <v>258</v>
      </c>
      <c r="C11" s="568" t="s">
        <v>251</v>
      </c>
      <c r="D11" s="676">
        <f>IF(T!$A$4&gt;=D$50,D10/D$42,"")</f>
        <v>5.5806156787923972E-4</v>
      </c>
      <c r="E11" s="684">
        <f>IF(T!$A$4&gt;=E$50,E10/E$42,"")</f>
        <v>5.588321811514892E-4</v>
      </c>
      <c r="F11" s="677">
        <f>IF(T!$A$4&gt;=F$50,F10/F$42,"")</f>
        <v>5.5946246649546806E-4</v>
      </c>
      <c r="G11" s="676">
        <f>IF(T!$A$4&gt;=G$50,G10/G$42,"")</f>
        <v>5.583151181122835E-4</v>
      </c>
      <c r="H11" s="388">
        <f>IF(T!$A$4&gt;=H$50,H10/H$42,"")</f>
        <v>5.5994111655000348E-4</v>
      </c>
      <c r="I11" s="678">
        <f>IF(T!$A$4&gt;=I$50,I10/I$42,"")</f>
        <v>5.6025167363317756E-4</v>
      </c>
      <c r="J11" s="388">
        <f>IF(T!$A$4&gt;=J$50,J10/J$42,"")</f>
        <v>5.5991770511868951E-4</v>
      </c>
      <c r="K11" s="388">
        <f>IF(T!$A$4&gt;=K$50,K10/K$42,"")</f>
        <v>5.6146787568946252E-4</v>
      </c>
      <c r="L11" s="678">
        <f>IF(T!$A$4&gt;=L$50,L10/L$42,"")</f>
        <v>5.618100215636423E-4</v>
      </c>
      <c r="M11" s="388" t="str">
        <f>IF(T!$A$4&gt;=M$50,M10/M$42,"")</f>
        <v/>
      </c>
      <c r="N11" s="388" t="str">
        <f>IF(T!$A$4&gt;=N$50,N10/N$42,"")</f>
        <v/>
      </c>
      <c r="O11" s="388" t="str">
        <f>IF(T!$A$4&gt;=O$50,O10/O$42,"")</f>
        <v/>
      </c>
      <c r="P11" s="685" t="str">
        <f>IF(T!$A$4&gt;=O$50,P10/P$42,"")</f>
        <v/>
      </c>
    </row>
    <row r="12" spans="1:17" ht="5.0999999999999996" customHeight="1" x14ac:dyDescent="0.2">
      <c r="A12" s="876"/>
      <c r="B12" s="579"/>
      <c r="C12" s="577"/>
      <c r="D12" s="547"/>
      <c r="E12" s="547"/>
      <c r="F12" s="578"/>
      <c r="G12" s="547"/>
      <c r="H12" s="549"/>
      <c r="I12" s="550"/>
      <c r="J12" s="549"/>
      <c r="K12" s="549"/>
      <c r="L12" s="550"/>
      <c r="M12" s="549"/>
      <c r="N12" s="549"/>
      <c r="O12" s="549"/>
      <c r="P12" s="591"/>
    </row>
    <row r="13" spans="1:17" ht="5.0999999999999996" customHeight="1" x14ac:dyDescent="0.2">
      <c r="A13" s="879" t="s">
        <v>7</v>
      </c>
      <c r="B13" s="519"/>
      <c r="C13" s="520"/>
      <c r="D13" s="499"/>
      <c r="E13" s="499"/>
      <c r="F13" s="521"/>
      <c r="G13" s="499"/>
      <c r="H13" s="499"/>
      <c r="I13" s="521"/>
      <c r="J13" s="499"/>
      <c r="K13" s="499"/>
      <c r="L13" s="521"/>
      <c r="M13" s="499"/>
      <c r="N13" s="499"/>
      <c r="O13" s="686"/>
      <c r="P13" s="589"/>
    </row>
    <row r="14" spans="1:17" ht="14.1" customHeight="1" x14ac:dyDescent="0.2">
      <c r="A14" s="875"/>
      <c r="B14" s="98" t="s">
        <v>259</v>
      </c>
      <c r="C14" s="568" t="s">
        <v>250</v>
      </c>
      <c r="D14" s="543">
        <f>IF(T!$A$4&gt;=D$50,INDEX([2]DS!$B37:$AK37,1,3*MONTH(D$5&amp;$A$3)-1)/1000,"")</f>
        <v>109.44037237872847</v>
      </c>
      <c r="E14" s="543">
        <f>IF(T!$A$4&gt;=E$50,INDEX([2]DS!$B37:$AK37,1,3*MONTH(E$5&amp;$A$3)-1)/1000,"")</f>
        <v>101.46819909431994</v>
      </c>
      <c r="F14" s="570">
        <f>IF(T!$A$4&gt;=F$50,INDEX([2]DS!$B37:$AK37,1,3*MONTH(F$5&amp;$A$3)-1)/1000,"")</f>
        <v>85.97057093222827</v>
      </c>
      <c r="G14" s="543">
        <f>IF(T!$A$4&gt;=G$50,INDEX([2]DS!$B37:$AK37,1,3*MONTH(G$5&amp;$A$3)-1)/1000,"")</f>
        <v>61.6787553775373</v>
      </c>
      <c r="H14" s="530">
        <f>IF(T!$A$4&gt;=H$50,INDEX([2]DS!$B37:$AK37,1,3*MONTH(H$5&amp;$A$3)-1)/1000,"")</f>
        <v>35.649345603170651</v>
      </c>
      <c r="I14" s="545">
        <f>IF(T!$A$4&gt;=I$50,INDEX([2]DS!$B37:$AK37,1,3*MONTH(I$5&amp;$A$3)-1)/1000,"")</f>
        <v>27.487439111932243</v>
      </c>
      <c r="J14" s="530">
        <f>IF(T!$A$4&gt;=J$50,INDEX([2]DS!$B37:$AK37,1,3*MONTH(J$5&amp;$A$3)-1)/1000,"")</f>
        <v>24.088636561259719</v>
      </c>
      <c r="K14" s="530">
        <f>IF(T!$A$4&gt;=K$50,INDEX([2]DS!$B37:$AK37,1,3*MONTH(K$5&amp;$A$3)-1)/1000,"")</f>
        <v>22.941962259085244</v>
      </c>
      <c r="L14" s="545">
        <f>IF(T!$A$4&gt;=L$50,INDEX([2]DS!$B37:$AK37,1,3*MONTH(L$5&amp;$A$3)-1)/1000,"")</f>
        <v>32.39212342452474</v>
      </c>
      <c r="M14" s="530" t="str">
        <f>IF(T!$A$4&gt;=M$50,INDEX([2]DS!$B37:$AK37,1,3*MONTH(M$5&amp;$A$3)-1)/1000,"")</f>
        <v/>
      </c>
      <c r="N14" s="530" t="str">
        <f>IF(T!$A$4&gt;=N$50,INDEX([2]DS!$B37:$AK37,1,3*MONTH(N$5&amp;$A$3)-1)/1000,"")</f>
        <v/>
      </c>
      <c r="O14" s="530" t="str">
        <f>IF(T!$A$4&gt;=O$50,INDEX([2]DS!$B37:$AK37,1,3*MONTH(O$5&amp;$A$3)-1)/1000,"")</f>
        <v/>
      </c>
      <c r="P14" s="590">
        <f>SUM(D14:O14)</f>
        <v>501.11740474278662</v>
      </c>
    </row>
    <row r="15" spans="1:17" ht="14.1" customHeight="1" x14ac:dyDescent="0.2">
      <c r="A15" s="875"/>
      <c r="B15" s="98" t="s">
        <v>259</v>
      </c>
      <c r="C15" s="568" t="s">
        <v>303</v>
      </c>
      <c r="D15" s="543">
        <f>IF(T!$A$4&gt;=D$50,INDEX([2]DS!$B37:$AK37,1,3*MONTH(D$5&amp;$A$3))/1000,"")</f>
        <v>1162.9244275710003</v>
      </c>
      <c r="E15" s="543">
        <f>IF(T!$A$4&gt;=E$50,INDEX([2]DS!$B37:$AK37,1,3*MONTH(E$5&amp;$A$3))/1000,"")</f>
        <v>1078.7178574569998</v>
      </c>
      <c r="F15" s="570">
        <f>IF(T!$A$4&gt;=F$50,INDEX([2]DS!$B37:$AK37,1,3*MONTH(F$5&amp;$A$3))/1000,"")</f>
        <v>913.84377809900013</v>
      </c>
      <c r="G15" s="543">
        <f>IF(T!$A$4&gt;=G$50,INDEX([2]DS!$B37:$AK37,1,3*MONTH(G$5&amp;$A$3))/1000,"")</f>
        <v>656.13119702499978</v>
      </c>
      <c r="H15" s="530">
        <f>IF(T!$A$4&gt;=H$50,INDEX([2]DS!$B37:$AK37,1,3*MONTH(H$5&amp;$A$3))/1000,"")</f>
        <v>381.52784663000011</v>
      </c>
      <c r="I15" s="545">
        <f>IF(T!$A$4&gt;=I$50,INDEX([2]DS!$B37:$AK37,1,3*MONTH(I$5&amp;$A$3))/1000,"")</f>
        <v>294.28688717999995</v>
      </c>
      <c r="J15" s="530">
        <f>IF(T!$A$4&gt;=J$50,INDEX([2]DS!$B37:$AK37,1,3*MONTH(J$5&amp;$A$3))/1000,"")</f>
        <v>257.07861575400005</v>
      </c>
      <c r="K15" s="530">
        <f>IF(T!$A$4&gt;=K$50,INDEX([2]DS!$B37:$AK37,1,3*MONTH(K$5&amp;$A$3))/1000,"")</f>
        <v>245.75075500999998</v>
      </c>
      <c r="L15" s="545">
        <f>IF(T!$A$4&gt;=L$50,INDEX([2]DS!$B37:$AK37,1,3*MONTH(L$5&amp;$A$3))/1000,"")</f>
        <v>346.47301228000009</v>
      </c>
      <c r="M15" s="530" t="str">
        <f>IF(T!$A$4&gt;=M$50,INDEX([2]DS!$B37:$AK37,1,3*MONTH(M$5&amp;$A$3))/1000,"")</f>
        <v/>
      </c>
      <c r="N15" s="530" t="str">
        <f>IF(T!$A$4&gt;=N$50,INDEX([2]DS!$B37:$AK37,1,3*MONTH(N$5&amp;$A$3))/1000,"")</f>
        <v/>
      </c>
      <c r="O15" s="530" t="str">
        <f>IF(T!$A$4&gt;=O$50,INDEX([2]DS!$B37:$AK37,1,3*MONTH(O$5&amp;$A$3))/1000,"")</f>
        <v/>
      </c>
      <c r="P15" s="590">
        <f t="shared" ref="P15" si="1">SUM(D15:O15)</f>
        <v>5336.7343770059997</v>
      </c>
    </row>
    <row r="16" spans="1:17" ht="14.1" customHeight="1" x14ac:dyDescent="0.2">
      <c r="A16" s="875"/>
      <c r="B16" s="732" t="s">
        <v>257</v>
      </c>
      <c r="C16" s="733" t="s">
        <v>251</v>
      </c>
      <c r="D16" s="734">
        <f>IF(T!$A$4&gt;=D$50,D14/D$40,"")</f>
        <v>0.10121365198166593</v>
      </c>
      <c r="E16" s="734">
        <f>IF(T!$A$4&gt;=E$50,E14/E$40,"")</f>
        <v>0.10250690627018599</v>
      </c>
      <c r="F16" s="735">
        <f>IF(T!$A$4&gt;=F$50,F14/F$40,"")</f>
        <v>9.9326733224239391E-2</v>
      </c>
      <c r="G16" s="734">
        <f>IF(T!$A$4&gt;=G$50,G14/G$40,"")</f>
        <v>9.9033230417021695E-2</v>
      </c>
      <c r="H16" s="736">
        <f>IF(T!$A$4&gt;=H$50,H14/H$40,"")</f>
        <v>8.8072706889896143E-2</v>
      </c>
      <c r="I16" s="737">
        <f>IF(T!$A$4&gt;=I$50,I14/I$40,"")</f>
        <v>8.7426034532749705E-2</v>
      </c>
      <c r="J16" s="736">
        <f>IF(T!$A$4&gt;=J$50,J14/J$40,"")</f>
        <v>8.0729763288151249E-2</v>
      </c>
      <c r="K16" s="736">
        <f>IF(T!$A$4&gt;=K$50,K14/K$40,"")</f>
        <v>8.267046632652604E-2</v>
      </c>
      <c r="L16" s="737">
        <f>IF(T!$A$4&gt;=L$50,L14/L$40,"")</f>
        <v>9.1772569729192496E-2</v>
      </c>
      <c r="M16" s="736" t="str">
        <f>IF(T!$A$4&gt;=M$50,M14/M$40,"")</f>
        <v/>
      </c>
      <c r="N16" s="736" t="str">
        <f>IF(T!$A$4&gt;=N$50,N14/N$40,"")</f>
        <v/>
      </c>
      <c r="O16" s="736" t="str">
        <f>IF(T!$A$4&gt;=O$50,O14/O$40,"")</f>
        <v/>
      </c>
      <c r="P16" s="738">
        <f t="shared" ref="P16" si="2">P14/P$40</f>
        <v>9.6229439096806604E-2</v>
      </c>
    </row>
    <row r="17" spans="1:16" ht="14.1" customHeight="1" x14ac:dyDescent="0.2">
      <c r="A17" s="875"/>
      <c r="B17" s="98" t="s">
        <v>0</v>
      </c>
      <c r="C17" s="568"/>
      <c r="D17" s="673">
        <f>IF(T!$A$4&gt;=D$50,INDEX([2]DS!$B37:$AK37,1,3*MONTH(D$5&amp;$A$3)-2),"")</f>
        <v>6845</v>
      </c>
      <c r="E17" s="673">
        <f>IF(T!$A$4&gt;=E$50,INDEX([2]DS!$B37:$AK37,1,3*MONTH(E$5&amp;$A$3)-2),"")</f>
        <v>6843</v>
      </c>
      <c r="F17" s="674">
        <f>IF(T!$A$4&gt;=F$50,INDEX([2]DS!$B37:$AK37,1,3*MONTH(F$5&amp;$A$3)-2),"")</f>
        <v>6746</v>
      </c>
      <c r="G17" s="673">
        <f>IF(T!$A$4&gt;=G$50,INDEX([2]DS!$B37:$AK37,1,3*MONTH(G$5&amp;$A$3)-2),"")</f>
        <v>6744</v>
      </c>
      <c r="H17" s="672">
        <f>IF(T!$A$4&gt;=H$50,INDEX([2]DS!$B37:$AK37,1,3*MONTH(H$5&amp;$A$3)-2),"")</f>
        <v>6746</v>
      </c>
      <c r="I17" s="675">
        <f>IF(T!$A$4&gt;=I$50,INDEX([2]DS!$B37:$AK37,1,3*MONTH(I$5&amp;$A$3)-2),"")</f>
        <v>6758</v>
      </c>
      <c r="J17" s="672">
        <f>IF(T!$A$4&gt;=J$50,INDEX([2]DS!$B37:$AK37,1,3*MONTH(J$5&amp;$A$3)-2),"")</f>
        <v>6768</v>
      </c>
      <c r="K17" s="672">
        <f>IF(T!$A$4&gt;=K$50,INDEX([2]DS!$B37:$AK37,1,3*MONTH(K$5&amp;$A$3)-2),"")</f>
        <v>6778</v>
      </c>
      <c r="L17" s="675">
        <f>IF(T!$A$4&gt;=L$50,INDEX([2]DS!$B37:$AK37,1,3*MONTH(L$5&amp;$A$3)-2),"")</f>
        <v>6792</v>
      </c>
      <c r="M17" s="672" t="str">
        <f>IF(T!$A$4&gt;=M$50,INDEX([2]DS!$B37:$AK37,1,3*MONTH(M$5&amp;$A$3)-2),"")</f>
        <v/>
      </c>
      <c r="N17" s="672" t="str">
        <f>IF(T!$A$4&gt;=N$50,INDEX([2]DS!$B37:$AK37,1,3*MONTH(N$5&amp;$A$3)-2),"")</f>
        <v/>
      </c>
      <c r="O17" s="672" t="str">
        <f>IF(T!$A$4&gt;=O$50,INDEX([2]DS!$B37:$AK37,1,3*MONTH(O$5&amp;$A$3)-2),"")</f>
        <v/>
      </c>
      <c r="P17" s="687" t="str">
        <f>O17</f>
        <v/>
      </c>
    </row>
    <row r="18" spans="1:16" ht="14.1" customHeight="1" x14ac:dyDescent="0.2">
      <c r="A18" s="875"/>
      <c r="B18" s="569" t="s">
        <v>258</v>
      </c>
      <c r="C18" s="568" t="s">
        <v>251</v>
      </c>
      <c r="D18" s="676">
        <f>IF(T!$A$4&gt;=D$50,D17/D$42,"")</f>
        <v>2.4024725988260349E-3</v>
      </c>
      <c r="E18" s="684">
        <f>IF(T!$A$4&gt;=E$50,E17/E$42,"")</f>
        <v>2.4020657133289199E-3</v>
      </c>
      <c r="F18" s="677">
        <f>IF(T!$A$4&gt;=F$50,F17/F$42,"")</f>
        <v>2.369198869415209E-3</v>
      </c>
      <c r="G18" s="676">
        <f>IF(T!$A$4&gt;=G$50,G17/G$42,"")</f>
        <v>2.3695891482374072E-3</v>
      </c>
      <c r="H18" s="388">
        <f>IF(T!$A$4&gt;=H$50,H17/H$42,"")</f>
        <v>2.3712258457290166E-3</v>
      </c>
      <c r="I18" s="678">
        <f>IF(T!$A$4&gt;=I$50,I17/I$42,"")</f>
        <v>2.3767613373590797E-3</v>
      </c>
      <c r="J18" s="388">
        <f>IF(T!$A$4&gt;=J$50,J17/J$42,"")</f>
        <v>2.3818497977644818E-3</v>
      </c>
      <c r="K18" s="388">
        <f>IF(T!$A$4&gt;=K$50,K17/K$42,"")</f>
        <v>2.3874713057861837E-3</v>
      </c>
      <c r="L18" s="678">
        <f>IF(T!$A$4&gt;=L$50,L17/L$42,"")</f>
        <v>2.392359665492325E-3</v>
      </c>
      <c r="M18" s="388" t="str">
        <f>IF(T!$A$4&gt;=M$50,M17/M$42,"")</f>
        <v/>
      </c>
      <c r="N18" s="388" t="str">
        <f>IF(T!$A$4&gt;=N$50,N17/N$42,"")</f>
        <v/>
      </c>
      <c r="O18" s="388" t="str">
        <f>IF(T!$A$4&gt;=O$50,O17/O$42,"")</f>
        <v/>
      </c>
      <c r="P18" s="685" t="str">
        <f>IF(T!$A$4&gt;=O$50,P17/P$42,"")</f>
        <v/>
      </c>
    </row>
    <row r="19" spans="1:16" ht="5.0999999999999996" customHeight="1" x14ac:dyDescent="0.2">
      <c r="A19" s="876"/>
      <c r="B19" s="579"/>
      <c r="C19" s="577"/>
      <c r="D19" s="547"/>
      <c r="E19" s="547"/>
      <c r="F19" s="578"/>
      <c r="G19" s="547"/>
      <c r="H19" s="549"/>
      <c r="I19" s="550"/>
      <c r="J19" s="549"/>
      <c r="K19" s="549"/>
      <c r="L19" s="550"/>
      <c r="M19" s="549"/>
      <c r="N19" s="549"/>
      <c r="O19" s="549"/>
      <c r="P19" s="591"/>
    </row>
    <row r="20" spans="1:16" ht="5.0999999999999996" customHeight="1" x14ac:dyDescent="0.2">
      <c r="A20" s="879" t="s">
        <v>8</v>
      </c>
      <c r="B20" s="519"/>
      <c r="C20" s="520"/>
      <c r="D20" s="499"/>
      <c r="E20" s="499"/>
      <c r="F20" s="521"/>
      <c r="G20" s="499"/>
      <c r="H20" s="499"/>
      <c r="I20" s="521"/>
      <c r="J20" s="499"/>
      <c r="K20" s="499"/>
      <c r="L20" s="521"/>
      <c r="M20" s="499"/>
      <c r="N20" s="499"/>
      <c r="O20" s="686"/>
      <c r="P20" s="589"/>
    </row>
    <row r="21" spans="1:16" ht="14.1" customHeight="1" x14ac:dyDescent="0.2">
      <c r="A21" s="875"/>
      <c r="B21" s="98" t="s">
        <v>259</v>
      </c>
      <c r="C21" s="568" t="s">
        <v>250</v>
      </c>
      <c r="D21" s="543">
        <f>IF(T!$A$4&gt;=D$50,INDEX([2]DS!$B38:$AK38,1,3*MONTH(D$5&amp;$A$3)-1)/1000,"")</f>
        <v>185.45573098381678</v>
      </c>
      <c r="E21" s="543">
        <f>IF(T!$A$4&gt;=E$50,INDEX([2]DS!$B38:$AK38,1,3*MONTH(E$5&amp;$A$3)-1)/1000,"")</f>
        <v>168.97767665120313</v>
      </c>
      <c r="F21" s="570">
        <f>IF(T!$A$4&gt;=F$50,INDEX([2]DS!$B38:$AK38,1,3*MONTH(F$5&amp;$A$3)-1)/1000,"")</f>
        <v>136.93737206553737</v>
      </c>
      <c r="G21" s="543">
        <f>IF(T!$A$4&gt;=G$50,INDEX([2]DS!$B38:$AK38,1,3*MONTH(G$5&amp;$A$3)-1)/1000,"")</f>
        <v>84.908576362727246</v>
      </c>
      <c r="H21" s="530">
        <f>IF(T!$A$4&gt;=H$50,INDEX([2]DS!$B38:$AK38,1,3*MONTH(H$5&amp;$A$3)-1)/1000,"")</f>
        <v>37.021409665043308</v>
      </c>
      <c r="I21" s="545">
        <f>IF(T!$A$4&gt;=I$50,INDEX([2]DS!$B38:$AK38,1,3*MONTH(I$5&amp;$A$3)-1)/1000,"")</f>
        <v>18.340041647020101</v>
      </c>
      <c r="J21" s="530">
        <f>IF(T!$A$4&gt;=J$50,INDEX([2]DS!$B38:$AK38,1,3*MONTH(J$5&amp;$A$3)-1)/1000,"")</f>
        <v>13.582468971809638</v>
      </c>
      <c r="K21" s="530">
        <f>IF(T!$A$4&gt;=K$50,INDEX([2]DS!$B38:$AK38,1,3*MONTH(K$5&amp;$A$3)-1)/1000,"")</f>
        <v>13.482332620699514</v>
      </c>
      <c r="L21" s="545">
        <f>IF(T!$A$4&gt;=L$50,INDEX([2]DS!$B38:$AK38,1,3*MONTH(L$5&amp;$A$3)-1)/1000,"")</f>
        <v>25.943329980122488</v>
      </c>
      <c r="M21" s="530" t="str">
        <f>IF(T!$A$4&gt;=M$50,INDEX([2]DS!$B38:$AK38,1,3*MONTH(M$5&amp;$A$3)-1)/1000,"")</f>
        <v/>
      </c>
      <c r="N21" s="530" t="str">
        <f>IF(T!$A$4&gt;=N$50,INDEX([2]DS!$B38:$AK38,1,3*MONTH(N$5&amp;$A$3)-1)/1000,"")</f>
        <v/>
      </c>
      <c r="O21" s="530" t="str">
        <f>IF(T!$A$4&gt;=O$50,INDEX([2]DS!$B38:$AK38,1,3*MONTH(O$5&amp;$A$3)-1)/1000,"")</f>
        <v/>
      </c>
      <c r="P21" s="590">
        <f>SUM(D21:O21)</f>
        <v>684.64893894797945</v>
      </c>
    </row>
    <row r="22" spans="1:16" ht="14.1" customHeight="1" x14ac:dyDescent="0.2">
      <c r="A22" s="875"/>
      <c r="B22" s="98" t="s">
        <v>259</v>
      </c>
      <c r="C22" s="568" t="s">
        <v>303</v>
      </c>
      <c r="D22" s="543">
        <f>IF(T!$A$4&gt;=D$50,INDEX([2]DS!$B38:$AK38,1,3*MONTH(D$5&amp;$A$3))/1000,"")</f>
        <v>1970.9617956427305</v>
      </c>
      <c r="E22" s="543">
        <f>IF(T!$A$4&gt;=E$50,INDEX([2]DS!$B38:$AK38,1,3*MONTH(E$5&amp;$A$3))/1000,"")</f>
        <v>1796.5965963848589</v>
      </c>
      <c r="F22" s="570">
        <f>IF(T!$A$4&gt;=F$50,INDEX([2]DS!$B38:$AK38,1,3*MONTH(F$5&amp;$A$3))/1000,"")</f>
        <v>1455.6892118568792</v>
      </c>
      <c r="G22" s="543">
        <f>IF(T!$A$4&gt;=G$50,INDEX([2]DS!$B38:$AK38,1,3*MONTH(G$5&amp;$A$3))/1000,"")</f>
        <v>903.30827032261004</v>
      </c>
      <c r="H22" s="530">
        <f>IF(T!$A$4&gt;=H$50,INDEX([2]DS!$B38:$AK38,1,3*MONTH(H$5&amp;$A$3))/1000,"")</f>
        <v>396.22632977909848</v>
      </c>
      <c r="I22" s="545">
        <f>IF(T!$A$4&gt;=I$50,INDEX([2]DS!$B38:$AK38,1,3*MONTH(I$5&amp;$A$3))/1000,"")</f>
        <v>196.31039852340263</v>
      </c>
      <c r="J22" s="530">
        <f>IF(T!$A$4&gt;=J$50,INDEX([2]DS!$B38:$AK38,1,3*MONTH(J$5&amp;$A$3))/1000,"")</f>
        <v>144.91134782842477</v>
      </c>
      <c r="K22" s="530">
        <f>IF(T!$A$4&gt;=K$50,INDEX([2]DS!$B38:$AK38,1,3*MONTH(K$5&amp;$A$3))/1000,"")</f>
        <v>144.42388025778556</v>
      </c>
      <c r="L22" s="545">
        <f>IF(T!$A$4&gt;=L$50,INDEX([2]DS!$B38:$AK38,1,3*MONTH(L$5&amp;$A$3))/1000,"")</f>
        <v>277.50072203007676</v>
      </c>
      <c r="M22" s="530" t="str">
        <f>IF(T!$A$4&gt;=M$50,INDEX([2]DS!$B38:$AK38,1,3*MONTH(M$5&amp;$A$3))/1000,"")</f>
        <v/>
      </c>
      <c r="N22" s="530" t="str">
        <f>IF(T!$A$4&gt;=N$50,INDEX([2]DS!$B38:$AK38,1,3*MONTH(N$5&amp;$A$3))/1000,"")</f>
        <v/>
      </c>
      <c r="O22" s="530" t="str">
        <f>IF(T!$A$4&gt;=O$50,INDEX([2]DS!$B38:$AK38,1,3*MONTH(O$5&amp;$A$3))/1000,"")</f>
        <v/>
      </c>
      <c r="P22" s="590">
        <f t="shared" ref="P22" si="3">SUM(D22:O22)</f>
        <v>7285.9285526258673</v>
      </c>
    </row>
    <row r="23" spans="1:16" ht="14.1" customHeight="1" x14ac:dyDescent="0.2">
      <c r="A23" s="875"/>
      <c r="B23" s="732" t="s">
        <v>257</v>
      </c>
      <c r="C23" s="733" t="s">
        <v>251</v>
      </c>
      <c r="D23" s="734">
        <f>IF(T!$A$4&gt;=D$50,D21/D$40,"")</f>
        <v>0.17151487523127137</v>
      </c>
      <c r="E23" s="734">
        <f>IF(T!$A$4&gt;=E$50,E21/E$40,"")</f>
        <v>0.17070746319383825</v>
      </c>
      <c r="F23" s="735">
        <f>IF(T!$A$4&gt;=F$50,F21/F$40,"")</f>
        <v>0.15821160283214028</v>
      </c>
      <c r="G23" s="734">
        <f>IF(T!$A$4&gt;=G$50,G21/G$40,"")</f>
        <v>0.13633171674494632</v>
      </c>
      <c r="H23" s="736">
        <f>IF(T!$A$4&gt;=H$50,H21/H$40,"")</f>
        <v>9.146242958777151E-2</v>
      </c>
      <c r="I23" s="737">
        <f>IF(T!$A$4&gt;=I$50,I21/I$40,"")</f>
        <v>5.8331993309206298E-2</v>
      </c>
      <c r="J23" s="736">
        <f>IF(T!$A$4&gt;=J$50,J21/J$40,"")</f>
        <v>4.5519782830976012E-2</v>
      </c>
      <c r="K23" s="736">
        <f>IF(T!$A$4&gt;=K$50,K21/K$40,"")</f>
        <v>4.8583059824412966E-2</v>
      </c>
      <c r="L23" s="737">
        <f>IF(T!$A$4&gt;=L$50,L21/L$40,"")</f>
        <v>7.3502006287294627E-2</v>
      </c>
      <c r="M23" s="736" t="str">
        <f>IF(T!$A$4&gt;=M$50,M21/M$40,"")</f>
        <v/>
      </c>
      <c r="N23" s="736" t="str">
        <f>IF(T!$A$4&gt;=N$50,N21/N$40,"")</f>
        <v/>
      </c>
      <c r="O23" s="736" t="str">
        <f>IF(T!$A$4&gt;=O$50,O21/O$40,"")</f>
        <v/>
      </c>
      <c r="P23" s="738">
        <f t="shared" ref="P23" si="4">P21/P$40</f>
        <v>0.13147294975117546</v>
      </c>
    </row>
    <row r="24" spans="1:16" ht="14.1" customHeight="1" x14ac:dyDescent="0.2">
      <c r="A24" s="875"/>
      <c r="B24" s="98" t="s">
        <v>0</v>
      </c>
      <c r="C24" s="568"/>
      <c r="D24" s="673">
        <f>IF(T!$A$4&gt;=D$50,INDEX([2]DS!$B38:$AK38,1,3*MONTH(D$5&amp;$A$3)-2),"")</f>
        <v>197927</v>
      </c>
      <c r="E24" s="673">
        <f>IF(T!$A$4&gt;=E$50,INDEX([2]DS!$B38:$AK38,1,3*MONTH(E$5&amp;$A$3)-2),"")</f>
        <v>197876</v>
      </c>
      <c r="F24" s="674">
        <f>IF(T!$A$4&gt;=F$50,INDEX([2]DS!$B38:$AK38,1,3*MONTH(F$5&amp;$A$3)-2),"")</f>
        <v>197840</v>
      </c>
      <c r="G24" s="673">
        <f>IF(T!$A$4&gt;=G$50,INDEX([2]DS!$B38:$AK38,1,3*MONTH(G$5&amp;$A$3)-2),"")</f>
        <v>197680</v>
      </c>
      <c r="H24" s="672">
        <f>IF(T!$A$4&gt;=H$50,INDEX([2]DS!$B38:$AK38,1,3*MONTH(H$5&amp;$A$3)-2),"")</f>
        <v>197545</v>
      </c>
      <c r="I24" s="675">
        <f>IF(T!$A$4&gt;=I$50,INDEX([2]DS!$B38:$AK38,1,3*MONTH(I$5&amp;$A$3)-2),"")</f>
        <v>197387</v>
      </c>
      <c r="J24" s="672">
        <f>IF(T!$A$4&gt;=J$50,INDEX([2]DS!$B38:$AK38,1,3*MONTH(J$5&amp;$A$3)-2),"")</f>
        <v>197112</v>
      </c>
      <c r="K24" s="672">
        <f>IF(T!$A$4&gt;=K$50,INDEX([2]DS!$B38:$AK38,1,3*MONTH(K$5&amp;$A$3)-2),"")</f>
        <v>198099</v>
      </c>
      <c r="L24" s="675">
        <f>IF(T!$A$4&gt;=L$50,INDEX([2]DS!$B38:$AK38,1,3*MONTH(L$5&amp;$A$3)-2),"")</f>
        <v>198280</v>
      </c>
      <c r="M24" s="672" t="str">
        <f>IF(T!$A$4&gt;=M$50,INDEX([2]DS!$B38:$AK38,1,3*MONTH(M$5&amp;$A$3)-2),"")</f>
        <v/>
      </c>
      <c r="N24" s="672" t="str">
        <f>IF(T!$A$4&gt;=N$50,INDEX([2]DS!$B38:$AK38,1,3*MONTH(N$5&amp;$A$3)-2),"")</f>
        <v/>
      </c>
      <c r="O24" s="672" t="str">
        <f>IF(T!$A$4&gt;=O$50,INDEX([2]DS!$B38:$AK38,1,3*MONTH(O$5&amp;$A$3)-2),"")</f>
        <v/>
      </c>
      <c r="P24" s="687" t="str">
        <f>O24</f>
        <v/>
      </c>
    </row>
    <row r="25" spans="1:16" ht="14.1" customHeight="1" x14ac:dyDescent="0.2">
      <c r="A25" s="875"/>
      <c r="B25" s="569" t="s">
        <v>258</v>
      </c>
      <c r="C25" s="568" t="s">
        <v>251</v>
      </c>
      <c r="D25" s="676">
        <f>IF(T!$A$4&gt;=D$50,D24/D$42,"")</f>
        <v>6.946883770165678E-2</v>
      </c>
      <c r="E25" s="684">
        <f>IF(T!$A$4&gt;=E$50,E24/E$42,"")</f>
        <v>6.9459470274831694E-2</v>
      </c>
      <c r="F25" s="677">
        <f>IF(T!$A$4&gt;=F$50,F24/F$42,"")</f>
        <v>6.9481515612971376E-2</v>
      </c>
      <c r="G25" s="676">
        <f>IF(T!$A$4&gt;=G$50,G24/G$42,"")</f>
        <v>6.9457352138726378E-2</v>
      </c>
      <c r="H25" s="388">
        <f>IF(T!$A$4&gt;=H$50,H24/H$42,"")</f>
        <v>6.943726796539261E-2</v>
      </c>
      <c r="I25" s="678">
        <f>IF(T!$A$4&gt;=I$50,I24/I$42,"")</f>
        <v>6.9420211615462663E-2</v>
      </c>
      <c r="J25" s="388">
        <f>IF(T!$A$4&gt;=J$50,J24/J$42,"")</f>
        <v>6.9369263790920885E-2</v>
      </c>
      <c r="K25" s="388">
        <f>IF(T!$A$4&gt;=K$50,K24/K$42,"")</f>
        <v>6.977805815947731E-2</v>
      </c>
      <c r="L25" s="678">
        <f>IF(T!$A$4&gt;=L$50,L24/L$42,"")</f>
        <v>6.9840558668112229E-2</v>
      </c>
      <c r="M25" s="388" t="str">
        <f>IF(T!$A$4&gt;=M$50,M24/M$42,"")</f>
        <v/>
      </c>
      <c r="N25" s="388" t="str">
        <f>IF(T!$A$4&gt;=N$50,N24/N$42,"")</f>
        <v/>
      </c>
      <c r="O25" s="388" t="str">
        <f>IF(T!$A$4&gt;=O$50,O24/O$42,"")</f>
        <v/>
      </c>
      <c r="P25" s="685" t="str">
        <f>IF(T!$A$4&gt;=O$50,P24/P$42,"")</f>
        <v/>
      </c>
    </row>
    <row r="26" spans="1:16" ht="5.0999999999999996" customHeight="1" x14ac:dyDescent="0.2">
      <c r="A26" s="876"/>
      <c r="B26" s="579"/>
      <c r="C26" s="577"/>
      <c r="D26" s="547"/>
      <c r="E26" s="547"/>
      <c r="F26" s="578"/>
      <c r="G26" s="547"/>
      <c r="H26" s="549"/>
      <c r="I26" s="550"/>
      <c r="J26" s="549"/>
      <c r="K26" s="549"/>
      <c r="L26" s="550"/>
      <c r="M26" s="549"/>
      <c r="N26" s="549"/>
      <c r="O26" s="549"/>
      <c r="P26" s="591"/>
    </row>
    <row r="27" spans="1:16" ht="5.0999999999999996" customHeight="1" x14ac:dyDescent="0.2">
      <c r="A27" s="879" t="s">
        <v>9</v>
      </c>
      <c r="B27" s="519"/>
      <c r="C27" s="520"/>
      <c r="D27" s="499"/>
      <c r="E27" s="499"/>
      <c r="F27" s="521"/>
      <c r="G27" s="499"/>
      <c r="H27" s="499"/>
      <c r="I27" s="521"/>
      <c r="J27" s="499"/>
      <c r="K27" s="499"/>
      <c r="L27" s="521"/>
      <c r="M27" s="499"/>
      <c r="N27" s="499"/>
      <c r="O27" s="686"/>
      <c r="P27" s="589"/>
    </row>
    <row r="28" spans="1:16" ht="14.1" customHeight="1" x14ac:dyDescent="0.2">
      <c r="A28" s="875"/>
      <c r="B28" s="98" t="s">
        <v>259</v>
      </c>
      <c r="C28" s="568" t="s">
        <v>250</v>
      </c>
      <c r="D28" s="543">
        <f>IF(T!$A$4&gt;=D$50,INDEX([2]DS!$B39:$AK39,1,3*MONTH(D$5&amp;$A$3)-1)/1000,"")</f>
        <v>380.09252846704175</v>
      </c>
      <c r="E28" s="543">
        <f>IF(T!$A$4&gt;=E$50,INDEX([2]DS!$B39:$AK39,1,3*MONTH(E$5&amp;$A$3)-1)/1000,"")</f>
        <v>345.72292906950554</v>
      </c>
      <c r="F28" s="570">
        <f>IF(T!$A$4&gt;=F$50,INDEX([2]DS!$B39:$AK39,1,3*MONTH(F$5&amp;$A$3)-1)/1000,"")</f>
        <v>279.45456243630036</v>
      </c>
      <c r="G28" s="543">
        <f>IF(T!$A$4&gt;=G$50,INDEX([2]DS!$B39:$AK39,1,3*MONTH(G$5&amp;$A$3)-1)/1000,"")</f>
        <v>174.77195921512549</v>
      </c>
      <c r="H28" s="530">
        <f>IF(T!$A$4&gt;=H$50,INDEX([2]DS!$B39:$AK39,1,3*MONTH(H$5&amp;$A$3)-1)/1000,"")</f>
        <v>77.136066298959577</v>
      </c>
      <c r="I28" s="545">
        <f>IF(T!$A$4&gt;=I$50,INDEX([2]DS!$B39:$AK39,1,3*MONTH(I$5&amp;$A$3)-1)/1000,"")</f>
        <v>39.043001396776461</v>
      </c>
      <c r="J28" s="530">
        <f>IF(T!$A$4&gt;=J$50,INDEX([2]DS!$B39:$AK39,1,3*MONTH(J$5&amp;$A$3)-1)/1000,"")</f>
        <v>29.129814545295432</v>
      </c>
      <c r="K28" s="530">
        <f>IF(T!$A$4&gt;=K$50,INDEX([2]DS!$B39:$AK39,1,3*MONTH(K$5&amp;$A$3)-1)/1000,"")</f>
        <v>28.914014484539642</v>
      </c>
      <c r="L28" s="545">
        <f>IF(T!$A$4&gt;=L$50,INDEX([2]DS!$B39:$AK39,1,3*MONTH(L$5&amp;$A$3)-1)/1000,"")</f>
        <v>53.366764975053222</v>
      </c>
      <c r="M28" s="530" t="str">
        <f>IF(T!$A$4&gt;=M$50,INDEX([2]DS!$B39:$AK39,1,3*MONTH(M$5&amp;$A$3)-1)/1000,"")</f>
        <v/>
      </c>
      <c r="N28" s="530" t="str">
        <f>IF(T!$A$4&gt;=N$50,INDEX([2]DS!$B39:$AK39,1,3*MONTH(N$5&amp;$A$3)-1)/1000,"")</f>
        <v/>
      </c>
      <c r="O28" s="530" t="str">
        <f>IF(T!$A$4&gt;=O$50,INDEX([2]DS!$B39:$AK39,1,3*MONTH(O$5&amp;$A$3)-1)/1000,"")</f>
        <v/>
      </c>
      <c r="P28" s="590">
        <f>SUM(D28:O28)</f>
        <v>1407.6316408885973</v>
      </c>
    </row>
    <row r="29" spans="1:16" ht="14.1" customHeight="1" x14ac:dyDescent="0.2">
      <c r="A29" s="875"/>
      <c r="B29" s="98" t="s">
        <v>259</v>
      </c>
      <c r="C29" s="568" t="s">
        <v>303</v>
      </c>
      <c r="D29" s="543">
        <f>IF(T!$A$4&gt;=D$50,INDEX([2]DS!$B39:$AK39,1,3*MONTH(D$5&amp;$A$3))/1000,"")</f>
        <v>4040.0918949251254</v>
      </c>
      <c r="E29" s="543">
        <f>IF(T!$A$4&gt;=E$50,INDEX([2]DS!$B39:$AK39,1,3*MONTH(E$5&amp;$A$3))/1000,"")</f>
        <v>3676.2133806149886</v>
      </c>
      <c r="F29" s="570">
        <f>IF(T!$A$4&gt;=F$50,INDEX([2]DS!$B39:$AK39,1,3*MONTH(F$5&amp;$A$3))/1000,"")</f>
        <v>2970.9536981429555</v>
      </c>
      <c r="G29" s="543">
        <f>IF(T!$A$4&gt;=G$50,INDEX([2]DS!$B39:$AK39,1,3*MONTH(G$5&amp;$A$3))/1000,"")</f>
        <v>1859.4300816773416</v>
      </c>
      <c r="H29" s="530">
        <f>IF(T!$A$4&gt;=H$50,INDEX([2]DS!$B39:$AK39,1,3*MONTH(H$5&amp;$A$3))/1000,"")</f>
        <v>825.57538601090027</v>
      </c>
      <c r="I29" s="545">
        <f>IF(T!$A$4&gt;=I$50,INDEX([2]DS!$B39:$AK39,1,3*MONTH(I$5&amp;$A$3))/1000,"")</f>
        <v>417.97597447660297</v>
      </c>
      <c r="J29" s="530">
        <f>IF(T!$A$4&gt;=J$50,INDEX([2]DS!$B39:$AK39,1,3*MONTH(J$5&amp;$A$3))/1000,"")</f>
        <v>310.81410196012069</v>
      </c>
      <c r="K29" s="530">
        <f>IF(T!$A$4&gt;=K$50,INDEX([2]DS!$B39:$AK39,1,3*MONTH(K$5&amp;$A$3))/1000,"")</f>
        <v>309.73479730122267</v>
      </c>
      <c r="L29" s="545">
        <f>IF(T!$A$4&gt;=L$50,INDEX([2]DS!$B39:$AK39,1,3*MONTH(L$5&amp;$A$3))/1000,"")</f>
        <v>570.83982296990575</v>
      </c>
      <c r="M29" s="530" t="str">
        <f>IF(T!$A$4&gt;=M$50,INDEX([2]DS!$B39:$AK39,1,3*MONTH(M$5&amp;$A$3))/1000,"")</f>
        <v/>
      </c>
      <c r="N29" s="530" t="str">
        <f>IF(T!$A$4&gt;=N$50,INDEX([2]DS!$B39:$AK39,1,3*MONTH(N$5&amp;$A$3))/1000,"")</f>
        <v/>
      </c>
      <c r="O29" s="530" t="str">
        <f>IF(T!$A$4&gt;=O$50,INDEX([2]DS!$B39:$AK39,1,3*MONTH(O$5&amp;$A$3))/1000,"")</f>
        <v/>
      </c>
      <c r="P29" s="590">
        <f t="shared" ref="P29" si="5">SUM(D29:O29)</f>
        <v>14981.629138079163</v>
      </c>
    </row>
    <row r="30" spans="1:16" ht="14.1" customHeight="1" x14ac:dyDescent="0.2">
      <c r="A30" s="875"/>
      <c r="B30" s="732" t="s">
        <v>257</v>
      </c>
      <c r="C30" s="733" t="s">
        <v>251</v>
      </c>
      <c r="D30" s="734">
        <f>IF(T!$A$4&gt;=D$50,D28/D$40,"")</f>
        <v>0.35152066884388633</v>
      </c>
      <c r="E30" s="734">
        <f>IF(T!$A$4&gt;=E$50,E28/E$40,"")</f>
        <v>0.34926201708418608</v>
      </c>
      <c r="F30" s="735">
        <f>IF(T!$A$4&gt;=F$50,F28/F$40,"")</f>
        <v>0.32286988989858412</v>
      </c>
      <c r="G30" s="734">
        <f>IF(T!$A$4&gt;=G$50,G28/G$40,"")</f>
        <v>0.28061901705768372</v>
      </c>
      <c r="H30" s="736">
        <f>IF(T!$A$4&gt;=H$50,H28/H$40,"")</f>
        <v>0.1905668124573833</v>
      </c>
      <c r="I30" s="737">
        <f>IF(T!$A$4&gt;=I$50,I28/I$40,"")</f>
        <v>0.1241794397243443</v>
      </c>
      <c r="J30" s="736">
        <f>IF(T!$A$4&gt;=J$50,J28/J$40,"")</f>
        <v>9.7624580240936051E-2</v>
      </c>
      <c r="K30" s="736">
        <f>IF(T!$A$4&gt;=K$50,K28/K$40,"")</f>
        <v>0.10419052362716814</v>
      </c>
      <c r="L30" s="737">
        <f>IF(T!$A$4&gt;=L$50,L28/L$40,"")</f>
        <v>0.15119740980569438</v>
      </c>
      <c r="M30" s="736" t="str">
        <f>IF(T!$A$4&gt;=M$50,M28/M$40,"")</f>
        <v/>
      </c>
      <c r="N30" s="736" t="str">
        <f>IF(T!$A$4&gt;=N$50,N28/N$40,"")</f>
        <v/>
      </c>
      <c r="O30" s="736" t="str">
        <f>IF(T!$A$4&gt;=O$50,O28/O$40,"")</f>
        <v/>
      </c>
      <c r="P30" s="738">
        <f t="shared" ref="P30" si="6">P28/P$40</f>
        <v>0.27030712159589393</v>
      </c>
    </row>
    <row r="31" spans="1:16" ht="14.1" customHeight="1" x14ac:dyDescent="0.2">
      <c r="A31" s="875"/>
      <c r="B31" s="98" t="s">
        <v>0</v>
      </c>
      <c r="C31" s="568"/>
      <c r="D31" s="673">
        <f>IF(T!$A$4&gt;=D$50,INDEX([2]DS!$B39:$AK39,1,3*MONTH(D$5&amp;$A$3)-2),"")</f>
        <v>2642786</v>
      </c>
      <c r="E31" s="673">
        <f>IF(T!$A$4&gt;=E$50,INDEX([2]DS!$B39:$AK39,1,3*MONTH(E$5&amp;$A$3)-2),"")</f>
        <v>2642487</v>
      </c>
      <c r="F31" s="674">
        <f>IF(T!$A$4&gt;=F$50,INDEX([2]DS!$B39:$AK39,1,3*MONTH(F$5&amp;$A$3)-2),"")</f>
        <v>2641197</v>
      </c>
      <c r="G31" s="673">
        <f>IF(T!$A$4&gt;=G$50,INDEX([2]DS!$B39:$AK39,1,3*MONTH(G$5&amp;$A$3)-2),"")</f>
        <v>2640050</v>
      </c>
      <c r="H31" s="672">
        <f>IF(T!$A$4&gt;=H$50,INDEX([2]DS!$B39:$AK39,1,3*MONTH(H$5&amp;$A$3)-2),"")</f>
        <v>2639058</v>
      </c>
      <c r="I31" s="675">
        <f>IF(T!$A$4&gt;=I$50,INDEX([2]DS!$B39:$AK39,1,3*MONTH(I$5&amp;$A$3)-2),"")</f>
        <v>2637627</v>
      </c>
      <c r="J31" s="672">
        <f>IF(T!$A$4&gt;=J$50,INDEX([2]DS!$B39:$AK39,1,3*MONTH(J$5&amp;$A$3)-2),"")</f>
        <v>2636018</v>
      </c>
      <c r="K31" s="672">
        <f>IF(T!$A$4&gt;=K$50,INDEX([2]DS!$B39:$AK39,1,3*MONTH(K$5&amp;$A$3)-2),"")</f>
        <v>2632516</v>
      </c>
      <c r="L31" s="675">
        <f>IF(T!$A$4&gt;=L$50,INDEX([2]DS!$B39:$AK39,1,3*MONTH(L$5&amp;$A$3)-2),"")</f>
        <v>2632371</v>
      </c>
      <c r="M31" s="672" t="str">
        <f>IF(T!$A$4&gt;=M$50,INDEX([2]DS!$B39:$AK39,1,3*MONTH(M$5&amp;$A$3)-2),"")</f>
        <v/>
      </c>
      <c r="N31" s="672" t="str">
        <f>IF(T!$A$4&gt;=N$50,INDEX([2]DS!$B39:$AK39,1,3*MONTH(N$5&amp;$A$3)-2),"")</f>
        <v/>
      </c>
      <c r="O31" s="672" t="str">
        <f>IF(T!$A$4&gt;=O$50,INDEX([2]DS!$B39:$AK39,1,3*MONTH(O$5&amp;$A$3)-2),"")</f>
        <v/>
      </c>
      <c r="P31" s="687" t="str">
        <f>O31</f>
        <v/>
      </c>
    </row>
    <row r="32" spans="1:16" ht="14.1" customHeight="1" x14ac:dyDescent="0.2">
      <c r="A32" s="875"/>
      <c r="B32" s="569" t="s">
        <v>258</v>
      </c>
      <c r="C32" s="568" t="s">
        <v>251</v>
      </c>
      <c r="D32" s="676">
        <f>IF(T!$A$4&gt;=D$50,D31/D$42,"")</f>
        <v>0.92757062813163793</v>
      </c>
      <c r="E32" s="684">
        <f>IF(T!$A$4&gt;=E$50,E31/E$42,"")</f>
        <v>0.92757963183068792</v>
      </c>
      <c r="F32" s="677">
        <f>IF(T!$A$4&gt;=F$50,F31/F$42,"")</f>
        <v>0.92758982305111792</v>
      </c>
      <c r="G32" s="676">
        <f>IF(T!$A$4&gt;=G$50,G31/G$42,"")</f>
        <v>0.92761474359492391</v>
      </c>
      <c r="H32" s="388">
        <f>IF(T!$A$4&gt;=H$50,H31/H$42,"")</f>
        <v>0.92763156507232836</v>
      </c>
      <c r="I32" s="678">
        <f>IF(T!$A$4&gt;=I$50,I31/I$42,"")</f>
        <v>0.92764277537354511</v>
      </c>
      <c r="J32" s="388">
        <f>IF(T!$A$4&gt;=J$50,J31/J$42,"")</f>
        <v>0.92768896870619599</v>
      </c>
      <c r="K32" s="388">
        <f>IF(T!$A$4&gt;=K$50,K31/K$42,"")</f>
        <v>0.927273002659047</v>
      </c>
      <c r="L32" s="678">
        <f>IF(T!$A$4&gt;=L$50,L31/L$42,"")</f>
        <v>0.9272052716448318</v>
      </c>
      <c r="M32" s="388" t="str">
        <f>IF(T!$A$4&gt;=M$50,M31/M$42,"")</f>
        <v/>
      </c>
      <c r="N32" s="388" t="str">
        <f>IF(T!$A$4&gt;=N$50,N31/N$42,"")</f>
        <v/>
      </c>
      <c r="O32" s="388" t="str">
        <f>IF(T!$A$4&gt;=O$50,O31/O$42,"")</f>
        <v/>
      </c>
      <c r="P32" s="685" t="str">
        <f>IF(T!$A$4&gt;=O$50,P31/P$42,"")</f>
        <v/>
      </c>
    </row>
    <row r="33" spans="1:16" ht="5.0999999999999996" customHeight="1" x14ac:dyDescent="0.2">
      <c r="A33" s="876"/>
      <c r="B33" s="579"/>
      <c r="C33" s="577"/>
      <c r="D33" s="547"/>
      <c r="E33" s="547"/>
      <c r="F33" s="578"/>
      <c r="G33" s="547"/>
      <c r="H33" s="549"/>
      <c r="I33" s="550"/>
      <c r="J33" s="549"/>
      <c r="K33" s="549"/>
      <c r="L33" s="550"/>
      <c r="M33" s="549"/>
      <c r="N33" s="549"/>
      <c r="O33" s="549"/>
      <c r="P33" s="591"/>
    </row>
    <row r="34" spans="1:16" ht="5.0999999999999996" customHeight="1" x14ac:dyDescent="0.2">
      <c r="A34" s="884" t="s">
        <v>178</v>
      </c>
      <c r="B34" s="519"/>
      <c r="C34" s="581"/>
      <c r="D34" s="582"/>
      <c r="E34" s="582"/>
      <c r="F34" s="583"/>
      <c r="G34" s="582"/>
      <c r="H34" s="582"/>
      <c r="I34" s="583"/>
      <c r="J34" s="582"/>
      <c r="K34" s="582"/>
      <c r="L34" s="583"/>
      <c r="M34" s="582"/>
      <c r="N34" s="582"/>
      <c r="O34" s="582"/>
      <c r="P34" s="592"/>
    </row>
    <row r="35" spans="1:16" ht="14.1" customHeight="1" x14ac:dyDescent="0.2">
      <c r="A35" s="885"/>
      <c r="B35" s="98" t="s">
        <v>259</v>
      </c>
      <c r="C35" s="568" t="s">
        <v>250</v>
      </c>
      <c r="D35" s="543">
        <f>IF(T!$A$4&gt;=D$50,INDEX([2]DS!$B40:$AK40,1,3*MONTH(D$5&amp;$A$3)-1)/1000,"")</f>
        <v>20.659968092408928</v>
      </c>
      <c r="E35" s="543">
        <f>IF(T!$A$4&gt;=E$50,INDEX([2]DS!$B40:$AK40,1,3*MONTH(E$5&amp;$A$3)-1)/1000,"")</f>
        <v>20.358369064683973</v>
      </c>
      <c r="F35" s="570">
        <f>IF(T!$A$4&gt;=F$50,INDEX([2]DS!$B40:$AK40,1,3*MONTH(F$5&amp;$A$3)-1)/1000,"")</f>
        <v>16.79553672233488</v>
      </c>
      <c r="G35" s="543">
        <f>IF(T!$A$4&gt;=G$50,INDEX([2]DS!$B40:$AK40,1,3*MONTH(G$5&amp;$A$3)-1)/1000,"")</f>
        <v>13.251335840089334</v>
      </c>
      <c r="H35" s="530">
        <f>IF(T!$A$4&gt;=H$50,INDEX([2]DS!$B40:$AK40,1,3*MONTH(H$5&amp;$A$3)-1)/1000,"")</f>
        <v>9.2838074360848868</v>
      </c>
      <c r="I35" s="545">
        <f>IF(T!$A$4&gt;=I$50,INDEX([2]DS!$B40:$AK40,1,3*MONTH(I$5&amp;$A$3)-1)/1000,"")</f>
        <v>7.1425826043619889</v>
      </c>
      <c r="J35" s="530">
        <f>IF(T!$A$4&gt;=J$50,INDEX([2]DS!$B40:$AK40,1,3*MONTH(J$5&amp;$A$3)-1)/1000,"")</f>
        <v>6.9072565002587893</v>
      </c>
      <c r="K35" s="530">
        <f>IF(T!$A$4&gt;=K$50,INDEX([2]DS!$B40:$AK40,1,3*MONTH(K$5&amp;$A$3)-1)/1000,"")</f>
        <v>6.4790765959707768</v>
      </c>
      <c r="L35" s="545">
        <f>IF(T!$A$4&gt;=L$50,INDEX([2]DS!$B40:$AK40,1,3*MONTH(L$5&amp;$A$3)-1)/1000,"")</f>
        <v>7.2868021695609935</v>
      </c>
      <c r="M35" s="530" t="str">
        <f>IF(T!$A$4&gt;=M$50,INDEX([2]DS!$B40:$AK40,1,3*MONTH(M$5&amp;$A$3)-1)/1000,"")</f>
        <v/>
      </c>
      <c r="N35" s="530" t="str">
        <f>IF(T!$A$4&gt;=N$50,INDEX([2]DS!$B40:$AK40,1,3*MONTH(N$5&amp;$A$3)-1)/1000,"")</f>
        <v/>
      </c>
      <c r="O35" s="530" t="str">
        <f>IF(T!$A$4&gt;=O$50,INDEX([2]DS!$B40:$AK40,1,3*MONTH(O$5&amp;$A$3)-1)/1000,"")</f>
        <v/>
      </c>
      <c r="P35" s="590">
        <f>SUM(D35:O35)</f>
        <v>108.16473502575455</v>
      </c>
    </row>
    <row r="36" spans="1:16" ht="14.1" customHeight="1" x14ac:dyDescent="0.2">
      <c r="A36" s="885"/>
      <c r="B36" s="98" t="s">
        <v>259</v>
      </c>
      <c r="C36" s="568" t="s">
        <v>303</v>
      </c>
      <c r="D36" s="543">
        <f>IF(T!$A$4&gt;=D$50,INDEX([2]DS!$B40:$AK40,1,3*MONTH(D$5&amp;$A$3))/1000,"")</f>
        <v>219.62695818</v>
      </c>
      <c r="E36" s="543">
        <f>IF(T!$A$4&gt;=E$50,INDEX([2]DS!$B40:$AK40,1,3*MONTH(E$5&amp;$A$3))/1000,"")</f>
        <v>216.47732603215218</v>
      </c>
      <c r="F36" s="570">
        <f>IF(T!$A$4&gt;=F$50,INDEX([2]DS!$B40:$AK40,1,3*MONTH(F$5&amp;$A$3))/1000,"")</f>
        <v>178.82983849000001</v>
      </c>
      <c r="G36" s="543">
        <f>IF(T!$A$4&gt;=G$50,INDEX([2]DS!$B40:$AK40,1,3*MONTH(G$5&amp;$A$3))/1000,"")</f>
        <v>141.00974815999996</v>
      </c>
      <c r="H36" s="530">
        <f>IF(T!$A$4&gt;=H$50,INDEX([2]DS!$B40:$AK40,1,3*MONTH(H$5&amp;$A$3))/1000,"")</f>
        <v>99.303309700000014</v>
      </c>
      <c r="I36" s="545">
        <f>IF(T!$A$4&gt;=I$50,INDEX([2]DS!$B40:$AK40,1,3*MONTH(I$5&amp;$A$3))/1000,"")</f>
        <v>76.709236539999992</v>
      </c>
      <c r="J36" s="530">
        <f>IF(T!$A$4&gt;=J$50,INDEX([2]DS!$B40:$AK40,1,3*MONTH(J$5&amp;$A$3))/1000,"")</f>
        <v>73.796232690000025</v>
      </c>
      <c r="K36" s="530">
        <f>IF(T!$A$4&gt;=K$50,INDEX([2]DS!$B40:$AK40,1,3*MONTH(K$5&amp;$A$3))/1000,"")</f>
        <v>69.558928849999972</v>
      </c>
      <c r="L36" s="545">
        <f>IF(T!$A$4&gt;=L$50,INDEX([2]DS!$B40:$AK40,1,3*MONTH(L$5&amp;$A$3))/1000,"")</f>
        <v>78.156489599999958</v>
      </c>
      <c r="M36" s="530" t="str">
        <f>IF(T!$A$4&gt;=M$50,INDEX([2]DS!$B40:$AK40,1,3*MONTH(M$5&amp;$A$3))/1000,"")</f>
        <v/>
      </c>
      <c r="N36" s="530" t="str">
        <f>IF(T!$A$4&gt;=N$50,INDEX([2]DS!$B40:$AK40,1,3*MONTH(N$5&amp;$A$3))/1000,"")</f>
        <v/>
      </c>
      <c r="O36" s="530" t="str">
        <f>IF(T!$A$4&gt;=O$50,INDEX([2]DS!$B40:$AK40,1,3*MONTH(O$5&amp;$A$3))/1000,"")</f>
        <v/>
      </c>
      <c r="P36" s="590">
        <f>SUM(D36:O36)</f>
        <v>1153.4680682421522</v>
      </c>
    </row>
    <row r="37" spans="1:16" ht="14.1" customHeight="1" x14ac:dyDescent="0.2">
      <c r="A37" s="885"/>
      <c r="B37" s="569" t="s">
        <v>257</v>
      </c>
      <c r="C37" s="576" t="s">
        <v>251</v>
      </c>
      <c r="D37" s="676">
        <f>IF(T!$A$4&gt;=D$50,D35/D$40,"")</f>
        <v>1.9106941752912325E-2</v>
      </c>
      <c r="E37" s="676">
        <f>IF(T!$A$4&gt;=E$50,E35/E$40,"")</f>
        <v>2.0566773118615787E-2</v>
      </c>
      <c r="F37" s="677">
        <f>IF(T!$A$4&gt;=F$50,F35/F$40,"")</f>
        <v>1.9404847231878602E-2</v>
      </c>
      <c r="G37" s="676">
        <f>IF(T!$A$4&gt;=G$50,G35/G$40,"")</f>
        <v>2.1276736009865037E-2</v>
      </c>
      <c r="H37" s="388">
        <f>IF(T!$A$4&gt;=H$50,H35/H$40,"")</f>
        <v>2.2935906320474524E-2</v>
      </c>
      <c r="I37" s="678">
        <f>IF(T!$A$4&gt;=I$50,I35/I$40,"")</f>
        <v>2.2717564589379919E-2</v>
      </c>
      <c r="J37" s="388">
        <f>IF(T!$A$4&gt;=J$50,J35/J$40,"")</f>
        <v>2.3148723291928616E-2</v>
      </c>
      <c r="K37" s="388">
        <f>IF(T!$A$4&gt;=K$50,K35/K$40,"")</f>
        <v>2.3347099847227364E-2</v>
      </c>
      <c r="L37" s="678">
        <f>IF(T!$A$4&gt;=L$50,L35/L$40,"")</f>
        <v>2.064478921139697E-2</v>
      </c>
      <c r="M37" s="388" t="str">
        <f>IF(T!$A$4&gt;=M$50,M35/M$40,"")</f>
        <v/>
      </c>
      <c r="N37" s="388" t="str">
        <f>IF(T!$A$4&gt;=N$50,N35/N$40,"")</f>
        <v/>
      </c>
      <c r="O37" s="388" t="str">
        <f>IF(T!$A$4&gt;=O$50,O35/O$40,"")</f>
        <v/>
      </c>
      <c r="P37" s="685">
        <f t="shared" ref="P37" si="7">P35/P$40</f>
        <v>2.0770844682446443E-2</v>
      </c>
    </row>
    <row r="38" spans="1:16" ht="5.0999999999999996" customHeight="1" thickBot="1" x14ac:dyDescent="0.25">
      <c r="A38" s="886"/>
      <c r="B38" s="584"/>
      <c r="C38" s="585"/>
      <c r="D38" s="586"/>
      <c r="E38" s="586"/>
      <c r="F38" s="586"/>
      <c r="G38" s="584"/>
      <c r="H38" s="586"/>
      <c r="I38" s="587"/>
      <c r="J38" s="586"/>
      <c r="K38" s="586"/>
      <c r="L38" s="586"/>
      <c r="M38" s="584"/>
      <c r="N38" s="586"/>
      <c r="O38" s="586"/>
      <c r="P38" s="593"/>
    </row>
    <row r="39" spans="1:16" ht="5.0999999999999996" customHeight="1" thickTop="1" x14ac:dyDescent="0.2">
      <c r="A39" s="887" t="s">
        <v>5</v>
      </c>
      <c r="B39" s="598"/>
      <c r="C39" s="599"/>
      <c r="D39" s="600"/>
      <c r="E39" s="600"/>
      <c r="F39" s="601"/>
      <c r="G39" s="600"/>
      <c r="H39" s="600"/>
      <c r="I39" s="601"/>
      <c r="J39" s="600"/>
      <c r="K39" s="600"/>
      <c r="L39" s="601"/>
      <c r="M39" s="600"/>
      <c r="N39" s="600"/>
      <c r="O39" s="600"/>
      <c r="P39" s="602"/>
    </row>
    <row r="40" spans="1:16" x14ac:dyDescent="0.2">
      <c r="A40" s="887"/>
      <c r="B40" s="564" t="s">
        <v>259</v>
      </c>
      <c r="C40" s="566" t="s">
        <v>250</v>
      </c>
      <c r="D40" s="522">
        <f>IF(T!$A$4&gt;=D$50,D7+D14+D21+D28+D35,"")</f>
        <v>1081.2807386749837</v>
      </c>
      <c r="E40" s="523">
        <f>IF(T!$A$4&gt;=E$50,E7+E14+E21+E28+E35,"")</f>
        <v>989.86695420181502</v>
      </c>
      <c r="F40" s="524">
        <f>IF(T!$A$4&gt;=F$50,F7+F14+F21+F28+F35,"")</f>
        <v>865.53305582034659</v>
      </c>
      <c r="G40" s="523">
        <f>IF(T!$A$4&gt;=G$50,G7+G14+G21+G28+G35,"")</f>
        <v>622.80867864061963</v>
      </c>
      <c r="H40" s="522">
        <f>IF(T!$A$4&gt;=H$50,H7+H14+H21+H28+H35,"")</f>
        <v>404.77177166517185</v>
      </c>
      <c r="I40" s="525">
        <f>IF(T!$A$4&gt;=I$50,I7+I14+I21+I28+I35,"")</f>
        <v>314.40793647841224</v>
      </c>
      <c r="J40" s="522">
        <f>IF(T!$A$4&gt;=J$50,J7+J14+J21+J28+J35,"")</f>
        <v>298.38606704790402</v>
      </c>
      <c r="K40" s="522">
        <f>IF(T!$A$4&gt;=K$50,K7+K14+K21+K28+K35,"")</f>
        <v>277.51098159372515</v>
      </c>
      <c r="L40" s="525">
        <f>IF(T!$A$4&gt;=L$50,L7+L14+L21+L28+L35,"")</f>
        <v>352.96084135062563</v>
      </c>
      <c r="M40" s="522" t="str">
        <f>IF(T!$A$4&gt;=M$50,M7+M14+M21+M28+M35,"")</f>
        <v/>
      </c>
      <c r="N40" s="522" t="str">
        <f>IF(T!$A$4&gt;=N$50,N7+N14+N21+N28+N35,"")</f>
        <v/>
      </c>
      <c r="O40" s="522" t="str">
        <f>IF(T!$A$4&gt;=O$50,O7+O14+O21+O28+O35,"")</f>
        <v/>
      </c>
      <c r="P40" s="595">
        <f>SUM(D40:O40)</f>
        <v>5207.5270254736042</v>
      </c>
    </row>
    <row r="41" spans="1:16" x14ac:dyDescent="0.2">
      <c r="A41" s="887"/>
      <c r="B41" s="739" t="s">
        <v>259</v>
      </c>
      <c r="C41" s="740" t="s">
        <v>303</v>
      </c>
      <c r="D41" s="741">
        <f>IF(T!$A$4&gt;=D$50,D8+D15+D22+D29+D36,"")</f>
        <v>11492.758327891857</v>
      </c>
      <c r="E41" s="741">
        <f>IF(T!$A$4&gt;=E$50,E8+E15+E22+E29+E36,"")</f>
        <v>10525.401374383</v>
      </c>
      <c r="F41" s="742">
        <f>IF(T!$A$4&gt;=F$50,F8+F15+F22+F29+F36,"")</f>
        <v>9201.9028527498376</v>
      </c>
      <c r="G41" s="741">
        <f>IF(T!$A$4&gt;=G$50,G8+G15+G22+G29+G36,"")</f>
        <v>6626.1086613249508</v>
      </c>
      <c r="H41" s="743">
        <f>IF(T!$A$4&gt;=H$50,H8+H15+H22+H29+H36,"")</f>
        <v>4332.1303739099976</v>
      </c>
      <c r="I41" s="744">
        <f>IF(T!$A$4&gt;=I$50,I8+I15+I22+I29+I36,"")</f>
        <v>3367.313609410005</v>
      </c>
      <c r="J41" s="743">
        <f>IF(T!$A$4&gt;=J$50,J8+J15+J22+J29+J36,"")</f>
        <v>3186.204207822545</v>
      </c>
      <c r="K41" s="743">
        <f>IF(T!$A$4&gt;=K$50,K8+K15+K22+K29+K36,"")</f>
        <v>2973.0213756390081</v>
      </c>
      <c r="L41" s="744">
        <f>IF(T!$A$4&gt;=L$50,L8+L15+L22+L29+L36,"")</f>
        <v>3775.5576242699826</v>
      </c>
      <c r="M41" s="743" t="str">
        <f>IF(T!$A$4&gt;=M$50,M8+M15+M22+M29+M36,"")</f>
        <v/>
      </c>
      <c r="N41" s="743" t="str">
        <f>IF(T!$A$4&gt;=N$50,N8+N15+N22+N29+N36,"")</f>
        <v/>
      </c>
      <c r="O41" s="743" t="str">
        <f>IF(T!$A$4&gt;=O$50,O8+O15+O22+O29+O36,"")</f>
        <v/>
      </c>
      <c r="P41" s="745">
        <f t="shared" ref="P41" si="8">SUM(D41:O41)</f>
        <v>55480.398407401182</v>
      </c>
    </row>
    <row r="42" spans="1:16" x14ac:dyDescent="0.2">
      <c r="A42" s="887"/>
      <c r="B42" s="564" t="s">
        <v>0</v>
      </c>
      <c r="C42" s="566"/>
      <c r="D42" s="679">
        <f>IF(T!$A$4&gt;=D$50,SUM(D10+D17+D24+D31),"")</f>
        <v>2849148</v>
      </c>
      <c r="E42" s="679">
        <f>IF(T!$A$4&gt;=E$50,SUM(E10+E17+E24+E31),"")</f>
        <v>2848798</v>
      </c>
      <c r="F42" s="680">
        <f>IF(T!$A$4&gt;=F$50,SUM(F10+F17+F24+F31),"")</f>
        <v>2847376</v>
      </c>
      <c r="G42" s="679">
        <f>IF(T!$A$4&gt;=G$50,SUM(G10+G17+G24+G31),"")</f>
        <v>2846063</v>
      </c>
      <c r="H42" s="681">
        <f>IF(T!$A$4&gt;=H$50,SUM(H10+H17+H24+H31),"")</f>
        <v>2844942</v>
      </c>
      <c r="I42" s="682">
        <f>IF(T!$A$4&gt;=I$50,SUM(I10+I17+I24+I31),"")</f>
        <v>2843365</v>
      </c>
      <c r="J42" s="681">
        <f>IF(T!$A$4&gt;=J$50,SUM(J10+J17+J24+J31),"")</f>
        <v>2841489</v>
      </c>
      <c r="K42" s="681">
        <f>IF(T!$A$4&gt;=K$50,SUM(K10+K17+K24+K31),"")</f>
        <v>2838987</v>
      </c>
      <c r="L42" s="682">
        <f>IF(T!$A$4&gt;=L$50,SUM(L10+L17+L24+L31),"")</f>
        <v>2839038</v>
      </c>
      <c r="M42" s="681" t="str">
        <f>IF(T!$A$4&gt;=M$50,SUM(M10+M17+M24+M31),"")</f>
        <v/>
      </c>
      <c r="N42" s="681" t="str">
        <f>IF(T!$A$4&gt;=N$50,SUM(N10+N17+N24+N31),"")</f>
        <v/>
      </c>
      <c r="O42" s="681" t="str">
        <f>IF(T!$A$4&gt;=O$50,SUM(O10+O17+O24+O31),"")</f>
        <v/>
      </c>
      <c r="P42" s="688" t="str">
        <f>O42</f>
        <v/>
      </c>
    </row>
    <row r="43" spans="1:16" ht="5.0999999999999996" customHeight="1" x14ac:dyDescent="0.2">
      <c r="A43" s="888"/>
      <c r="B43" s="609"/>
      <c r="C43" s="610"/>
      <c r="D43" s="604"/>
      <c r="E43" s="604"/>
      <c r="F43" s="605"/>
      <c r="G43" s="604"/>
      <c r="H43" s="606"/>
      <c r="I43" s="607"/>
      <c r="J43" s="606"/>
      <c r="K43" s="606"/>
      <c r="L43" s="607"/>
      <c r="M43" s="606"/>
      <c r="N43" s="606"/>
      <c r="O43" s="606"/>
      <c r="P43" s="608"/>
    </row>
    <row r="44" spans="1:16" ht="5.0999999999999996" customHeight="1" x14ac:dyDescent="0.2">
      <c r="B44" s="510"/>
      <c r="C44" s="580"/>
      <c r="G44" s="510"/>
      <c r="H44" s="505"/>
      <c r="I44" s="504"/>
      <c r="M44" s="510"/>
      <c r="N44" s="505"/>
      <c r="O44" s="505"/>
      <c r="P44" s="594"/>
    </row>
    <row r="45" spans="1:16" x14ac:dyDescent="0.2">
      <c r="P45" s="39"/>
    </row>
    <row r="46" spans="1:16" ht="5.0999999999999996" customHeight="1" x14ac:dyDescent="0.2">
      <c r="A46" s="39"/>
      <c r="B46" s="39"/>
      <c r="C46" s="764"/>
      <c r="D46" s="765"/>
      <c r="E46" s="39"/>
      <c r="F46" s="766"/>
      <c r="G46" s="39"/>
      <c r="H46" s="39"/>
      <c r="I46" s="39"/>
      <c r="J46" s="765"/>
      <c r="K46" s="39"/>
      <c r="L46" s="766"/>
      <c r="M46" s="39"/>
      <c r="N46" s="39"/>
      <c r="O46" s="39"/>
      <c r="P46" s="767"/>
    </row>
    <row r="47" spans="1:16" x14ac:dyDescent="0.2">
      <c r="A47" s="882" t="s">
        <v>304</v>
      </c>
      <c r="B47" s="882"/>
      <c r="C47" s="768" t="s">
        <v>305</v>
      </c>
      <c r="D47" s="772">
        <f>IF(T!$A$4&gt;=D$50,INDEX('[9]2015'!$B$6:$AW$6,1,4*D$50-3)/1000,"")</f>
        <v>32.793244577459717</v>
      </c>
      <c r="E47" s="774">
        <f>IF(T!$A$4&gt;=E$50,INDEX('[9]2015'!$B$6:$AW$6,1,4*E$50-3)/1000,"")</f>
        <v>26.878824805038349</v>
      </c>
      <c r="F47" s="775">
        <f>IF(T!$A$4&gt;=F$50,INDEX('[9]2015'!$B$6:$AW$6,1,4*F$50-3)/1000,"")</f>
        <v>20.451244841267822</v>
      </c>
      <c r="G47" s="774">
        <f>IF(T!$A$4&gt;=G$50,INDEX('[9]2015'!$B$6:$AW$6,1,4*G$50-3)/1000,"")</f>
        <v>15.537596976853051</v>
      </c>
      <c r="H47" s="774">
        <f>IF(T!$A$4&gt;=H$50,INDEX('[9]2015'!$B$6:$AW$6,1,4*H$50-3)/1000,"")</f>
        <v>11.702739657456808</v>
      </c>
      <c r="I47" s="774">
        <f>IF(T!$A$4&gt;=I$50,INDEX('[9]2015'!$B$6:$AW$6,1,4*I$50-3)/1000,"")</f>
        <v>9.6252015760092089</v>
      </c>
      <c r="J47" s="772">
        <f>IF(T!$A$4&gt;=J$50,INDEX('[9]2015'!$B$6:$AW$6,1,4*J$50-3)/1000,"")</f>
        <v>20.303423771116329</v>
      </c>
      <c r="K47" s="774">
        <f>IF(T!$A$4&gt;=K$50,INDEX('[9]2015'!$B$6:$AW$6,1,4*K$50-3)/1000,"")</f>
        <v>15.328584565608491</v>
      </c>
      <c r="L47" s="775">
        <f>IF(T!$A$4&gt;=L$50,INDEX('[9]2015'!$B$6:$AW$6,1,4*L$50-3)/1000,"")</f>
        <v>18.940350651885581</v>
      </c>
      <c r="M47" s="774" t="str">
        <f>IF(T!$A$4&gt;=M$50,INDEX('[9]2015'!$B$6:$AW$6,1,4*M$50-3)/1000,"")</f>
        <v/>
      </c>
      <c r="N47" s="774" t="str">
        <f>IF(T!$A$4&gt;=N$50,INDEX('[9]2015'!$B$6:$AW$6,1,4*N$50-3)/1000,"")</f>
        <v/>
      </c>
      <c r="O47" s="774" t="str">
        <f>IF(T!$A$4&gt;=O$50,INDEX('[9]2015'!$B$6:$AW$6,1,4*O$50-3)/1000,"")</f>
        <v/>
      </c>
      <c r="P47" s="769">
        <f>SUM(D47:O47)</f>
        <v>171.56121142269535</v>
      </c>
    </row>
    <row r="48" spans="1:16" x14ac:dyDescent="0.2">
      <c r="A48" s="883" t="s">
        <v>304</v>
      </c>
      <c r="B48" s="883"/>
      <c r="C48" s="770" t="s">
        <v>303</v>
      </c>
      <c r="D48" s="773">
        <f>IF(T!$A$4&gt;=D$50,INDEX('[9]2015'!$B$6:$AW$6,1,4*D$50-2)/1000,"")</f>
        <v>348.5541000000004</v>
      </c>
      <c r="E48" s="776">
        <f>IF(T!$A$4&gt;=E$50,INDEX('[9]2015'!$B$6:$AW$6,1,4*E$50-2)/1000,"")</f>
        <v>285.80650999999995</v>
      </c>
      <c r="F48" s="777">
        <f>IF(T!$A$4&gt;=F$50,INDEX('[9]2015'!$B$6:$AW$6,1,4*F$50-2)/1000,"")</f>
        <v>217.42712999999995</v>
      </c>
      <c r="G48" s="776">
        <f>IF(T!$A$4&gt;=G$50,INDEX('[9]2015'!$B$6:$AW$6,1,4*G$50-2)/1000,"")</f>
        <v>165.30567000000008</v>
      </c>
      <c r="H48" s="776">
        <f>IF(T!$A$4&gt;=H$50,INDEX('[9]2015'!$B$6:$AW$6,1,4*H$50-2)/1000,"")</f>
        <v>125.25032000000007</v>
      </c>
      <c r="I48" s="776">
        <f>IF(T!$A$4&gt;=I$50,INDEX('[9]2015'!$B$6:$AW$6,1,4*I$50-2)/1000,"")</f>
        <v>103.08605000000003</v>
      </c>
      <c r="J48" s="773">
        <f>IF(T!$A$4&gt;=J$50,INDEX('[9]2015'!$B$6:$AW$6,1,4*J$50-2)/1000,"")</f>
        <v>216.80252999999968</v>
      </c>
      <c r="K48" s="776">
        <f>IF(T!$A$4&gt;=K$50,INDEX('[9]2015'!$B$6:$AW$6,1,4*K$50-2)/1000,"")</f>
        <v>164.21767999999989</v>
      </c>
      <c r="L48" s="777">
        <f>IF(T!$A$4&gt;=L$50,INDEX('[9]2015'!$B$6:$AW$6,1,4*L$50-2)/1000,"")</f>
        <v>202.60146999999998</v>
      </c>
      <c r="M48" s="776" t="str">
        <f>IF(T!$A$4&gt;=M$50,INDEX('[9]2015'!$B$6:$AW$6,1,4*M$50-2)/1000,"")</f>
        <v/>
      </c>
      <c r="N48" s="776" t="str">
        <f>IF(T!$A$4&gt;=N$50,INDEX('[9]2015'!$B$6:$AW$6,1,4*N$50-2)/1000,"")</f>
        <v/>
      </c>
      <c r="O48" s="776" t="str">
        <f>IF(T!$A$4&gt;=O$50,INDEX('[9]2015'!$B$6:$AW$6,1,4*O$50-2)/1000,"")</f>
        <v/>
      </c>
      <c r="P48" s="771">
        <f>SUM(D48:O48)</f>
        <v>1829.0514600000004</v>
      </c>
    </row>
    <row r="49" spans="1:16" ht="5.0999999999999996" customHeight="1" x14ac:dyDescent="0.2">
      <c r="A49" s="39"/>
      <c r="B49" s="39"/>
      <c r="C49" s="764"/>
      <c r="D49" s="765"/>
      <c r="E49" s="39"/>
      <c r="F49" s="766"/>
      <c r="G49" s="39"/>
      <c r="H49" s="39"/>
      <c r="I49" s="39"/>
      <c r="J49" s="765"/>
      <c r="K49" s="39"/>
      <c r="L49" s="766"/>
      <c r="M49" s="39"/>
      <c r="N49" s="39"/>
      <c r="O49" s="39"/>
      <c r="P49" s="767"/>
    </row>
    <row r="50" spans="1:16" x14ac:dyDescent="0.2">
      <c r="D50" s="690">
        <v>1</v>
      </c>
      <c r="E50" s="690">
        <v>2</v>
      </c>
      <c r="F50" s="690">
        <v>3</v>
      </c>
      <c r="G50" s="690">
        <v>4</v>
      </c>
      <c r="H50" s="690">
        <v>5</v>
      </c>
      <c r="I50" s="690">
        <v>6</v>
      </c>
      <c r="J50" s="690">
        <v>7</v>
      </c>
      <c r="K50" s="690">
        <v>8</v>
      </c>
      <c r="L50" s="690">
        <v>9</v>
      </c>
      <c r="M50" s="690">
        <v>10</v>
      </c>
      <c r="N50" s="690">
        <v>11</v>
      </c>
      <c r="O50" s="690">
        <v>12</v>
      </c>
    </row>
  </sheetData>
  <mergeCells count="12">
    <mergeCell ref="A47:B47"/>
    <mergeCell ref="A48:B48"/>
    <mergeCell ref="A20:A26"/>
    <mergeCell ref="A27:A33"/>
    <mergeCell ref="A34:A38"/>
    <mergeCell ref="A39:A43"/>
    <mergeCell ref="O1:P1"/>
    <mergeCell ref="A2:P2"/>
    <mergeCell ref="A3:P3"/>
    <mergeCell ref="A6:A12"/>
    <mergeCell ref="A13:A19"/>
    <mergeCell ref="B5:C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7" t="s">
        <v>55</v>
      </c>
      <c r="P1" s="827"/>
    </row>
    <row r="2" spans="1:17" ht="15.95" customHeight="1" x14ac:dyDescent="0.25">
      <c r="A2" s="877" t="s">
        <v>188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" customHeight="1" x14ac:dyDescent="0.2">
      <c r="A6" s="879" t="s">
        <v>176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98" t="s">
        <v>151</v>
      </c>
      <c r="C7" s="568" t="s">
        <v>250</v>
      </c>
      <c r="D7" s="530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3">
        <f>IF(T!$A$4&gt;=E$42,(INDEX('[1]Přepravní soustava'!$C$13:$AL$13,1,MATCH(E$5,'[1]Přepravní soustava'!$C$1:$AL$1,0))+INDEX('[2]Z ZDS'!$C$31:$BB$31,1,MATCH(E$5,'[2]Z ZDS'!$C$1:$AX$1,0)))/1000,"")</f>
        <v>2481.910466691224</v>
      </c>
      <c r="F7" s="570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3">
        <f>IF(T!$A$4&gt;=G$42,(INDEX('[1]Přepravní soustava'!$C$13:$AL$13,1,MATCH(G$5,'[1]Přepravní soustava'!$C$1:$AL$1,0))+INDEX('[2]Z ZDS'!$C$31:$BB$31,1,MATCH(G$5,'[2]Z ZDS'!$C$1:$AX$1,0)))/1000,"")</f>
        <v>3359.6992668793901</v>
      </c>
      <c r="H7" s="530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5">
        <f>IF(T!$A$4&gt;=I$42,(INDEX('[1]Přepravní soustava'!$C$13:$AL$13,1,MATCH(I$5,'[1]Přepravní soustava'!$C$1:$AL$1,0))+INDEX('[2]Z ZDS'!$C$31:$BB$31,1,MATCH(I$5,'[2]Z ZDS'!$C$1:$AX$1,0)))/1000,"")</f>
        <v>3085.6129205509801</v>
      </c>
      <c r="J7" s="530">
        <f>IF(T!$A$4&gt;=J$42,(INDEX('[1]Přepravní soustava'!$C$13:$AL$13,1,MATCH(J$5,'[1]Přepravní soustava'!$C$1:$AL$1,0))+INDEX('[2]Z ZDS'!$C$31:$BB$31,1,MATCH(J$5,'[2]Z ZDS'!$C$1:$AX$1,0)))/1000,"")</f>
        <v>2758.9885849240659</v>
      </c>
      <c r="K7" s="530">
        <f>IF(T!$A$4&gt;=K$42,(INDEX('[1]Přepravní soustava'!$C$13:$AL$13,1,MATCH(K$5,'[1]Přepravní soustava'!$C$1:$AL$1,0))+INDEX('[2]Z ZDS'!$C$31:$BB$31,1,MATCH(K$5,'[2]Z ZDS'!$C$1:$AX$1,0)))/1000,"")</f>
        <v>2526.8667075603475</v>
      </c>
      <c r="L7" s="545">
        <f>IF(T!$A$4&gt;=L$42,(INDEX('[1]Přepravní soustava'!$C$13:$AL$13,1,MATCH(L$5,'[1]Přepravní soustava'!$C$1:$AL$1,0))+INDEX('[2]Z ZDS'!$C$31:$BB$31,1,MATCH(L$5,'[2]Z ZDS'!$C$1:$AX$1,0)))/1000,"")</f>
        <v>2822.6575416679966</v>
      </c>
      <c r="M7" s="530" t="str">
        <f>IF(T!$A$4&gt;=M$42,(INDEX('[1]Přepravní soustava'!$C$13:$AL$13,1,MATCH(M$5,'[1]Přepravní soustava'!$C$1:$AL$1,0))+INDEX('[2]Z ZDS'!$C$31:$BB$31,1,MATCH(M$5,'[2]Z ZDS'!$C$1:$AX$1,0)))/1000,"")</f>
        <v/>
      </c>
      <c r="N7" s="530" t="str">
        <f>IF(T!$A$4&gt;=N$42,(INDEX('[1]Přepravní soustava'!$C$13:$AL$13,1,MATCH(N$5,'[1]Přepravní soustava'!$C$1:$AL$1,0))+INDEX('[2]Z ZDS'!$C$31:$BB$31,1,MATCH(N$5,'[2]Z ZDS'!$C$1:$AX$1,0)))/1000,"")</f>
        <v/>
      </c>
      <c r="O7" s="530" t="str">
        <f>IF(T!$A$4&gt;=O$42,(INDEX('[1]Přepravní soustava'!$C$13:$AL$13,1,MATCH(O$5,'[1]Přepravní soustava'!$C$1:$AL$1,0))+INDEX('[2]Z ZDS'!$C$31:$BB$31,1,MATCH(O$5,'[2]Z ZDS'!$C$1:$AX$1,0)))/1000,"")</f>
        <v/>
      </c>
      <c r="P7" s="590">
        <f>SUM(D7:O7)</f>
        <v>27102.026188612064</v>
      </c>
    </row>
    <row r="8" spans="1:17" ht="18" customHeight="1" x14ac:dyDescent="0.2">
      <c r="A8" s="875"/>
      <c r="B8" s="98" t="s">
        <v>152</v>
      </c>
      <c r="C8" s="568" t="s">
        <v>250</v>
      </c>
      <c r="D8" s="530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3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70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3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30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5">
        <f>IF(T!$A$4&gt;=I$42,-(INDEX('[1]Přepravní soustava'!$C$22:$AL$22,1,MATCH(I$5,'[1]Přepravní soustava'!$C$1:$AL$1,0))+INDEX('[2]Do ZDS'!$C$32:$BB$32,1,MATCH(I$5,'[2]Do ZDS'!$C$1:$AX$1,0)))/1000,"")</f>
        <v>-2207.6789693017681</v>
      </c>
      <c r="J8" s="530">
        <f>IF(T!$A$4&gt;=J$42,-(INDEX('[1]Přepravní soustava'!$C$22:$AL$22,1,MATCH(J$5,'[1]Přepravní soustava'!$C$1:$AL$1,0))+INDEX('[2]Do ZDS'!$C$32:$BB$32,1,MATCH(J$5,'[2]Do ZDS'!$C$1:$AX$1,0)))/1000,"")</f>
        <v>-1962.725291978041</v>
      </c>
      <c r="K8" s="530">
        <f>IF(T!$A$4&gt;=K$42,-(INDEX('[1]Přepravní soustava'!$C$22:$AL$22,1,MATCH(K$5,'[1]Přepravní soustava'!$C$1:$AL$1,0))+INDEX('[2]Do ZDS'!$C$32:$BB$32,1,MATCH(K$5,'[2]Do ZDS'!$C$1:$AX$1,0)))/1000,"")</f>
        <v>-1586.7007068893549</v>
      </c>
      <c r="L8" s="545">
        <f>IF(T!$A$4&gt;=L$42,-(INDEX('[1]Přepravní soustava'!$C$22:$AL$22,1,MATCH(L$5,'[1]Přepravní soustava'!$C$1:$AL$1,0))+INDEX('[2]Do ZDS'!$C$32:$BB$32,1,MATCH(L$5,'[2]Do ZDS'!$C$1:$AX$1,0)))/1000,"")</f>
        <v>-2117.9895279574953</v>
      </c>
      <c r="M8" s="530" t="str">
        <f>IF(T!$A$4&gt;=M$42,-(INDEX('[1]Přepravní soustava'!$C$22:$AL$22,1,MATCH(M$5,'[1]Přepravní soustava'!$C$1:$AL$1,0))+INDEX('[2]Do ZDS'!$C$32:$BB$32,1,MATCH(M$5,'[2]Do ZDS'!$C$1:$AX$1,0)))/1000,"")</f>
        <v/>
      </c>
      <c r="N8" s="530" t="str">
        <f>IF(T!$A$4&gt;=N$42,-(INDEX('[1]Přepravní soustava'!$C$22:$AL$22,1,MATCH(N$5,'[1]Přepravní soustava'!$C$1:$AL$1,0))+INDEX('[2]Do ZDS'!$C$32:$BB$32,1,MATCH(N$5,'[2]Do ZDS'!$C$1:$AX$1,0)))/1000,"")</f>
        <v/>
      </c>
      <c r="O8" s="530" t="str">
        <f>IF(T!$A$4&gt;=O$42,-(INDEX('[1]Přepravní soustava'!$C$22:$AL$22,1,MATCH(O$5,'[1]Přepravní soustava'!$C$1:$AL$1,0))+INDEX('[2]Do ZDS'!$C$32:$BB$32,1,MATCH(O$5,'[2]Do ZDS'!$C$1:$AX$1,0)))/1000,"")</f>
        <v/>
      </c>
      <c r="P8" s="590">
        <f t="shared" ref="P8:P34" si="0">SUM(D8:O8)</f>
        <v>-21286.236948913236</v>
      </c>
    </row>
    <row r="9" spans="1:17" ht="18" customHeight="1" x14ac:dyDescent="0.2">
      <c r="A9" s="875"/>
      <c r="B9" s="757" t="s">
        <v>153</v>
      </c>
      <c r="C9" s="758" t="s">
        <v>250</v>
      </c>
      <c r="D9" s="759">
        <f>IF(T!$A$4&gt;=D$42,D7+D8,"")</f>
        <v>438.636603516381</v>
      </c>
      <c r="E9" s="759">
        <f>IF(T!$A$4&gt;=E$42,E7+E8,"")</f>
        <v>267.99208555172618</v>
      </c>
      <c r="F9" s="760">
        <f>IF(T!$A$4&gt;=F$42,F7+F8,"")</f>
        <v>334.61263391546436</v>
      </c>
      <c r="G9" s="759">
        <f>IF(T!$A$4&gt;=G$42,G7+G8,"")</f>
        <v>642.47210476351529</v>
      </c>
      <c r="H9" s="761">
        <f>IF(T!$A$4&gt;=H$42,H7+H8,"")</f>
        <v>813.04455337501076</v>
      </c>
      <c r="I9" s="762">
        <f>IF(T!$A$4&gt;=I$42,I7+I8,"")</f>
        <v>877.93395124921199</v>
      </c>
      <c r="J9" s="761">
        <f>IF(T!$A$4&gt;=J$42,J7+J8,"")</f>
        <v>796.26329294602488</v>
      </c>
      <c r="K9" s="761">
        <f>IF(T!$A$4&gt;=K$42,K7+K8,"")</f>
        <v>940.16600067099262</v>
      </c>
      <c r="L9" s="762">
        <f>IF(T!$A$4&gt;=L$42,L7+L8,"")</f>
        <v>704.66801371050133</v>
      </c>
      <c r="M9" s="761" t="str">
        <f>IF(T!$A$4&gt;=M$42,M7+M8,"")</f>
        <v/>
      </c>
      <c r="N9" s="761" t="str">
        <f>IF(T!$A$4&gt;=N$42,N7+N8,"")</f>
        <v/>
      </c>
      <c r="O9" s="761" t="str">
        <f>IF(T!$A$4&gt;=O$42,O7+O8,"")</f>
        <v/>
      </c>
      <c r="P9" s="763">
        <f t="shared" si="0"/>
        <v>5815.7892396988282</v>
      </c>
    </row>
    <row r="10" spans="1:17" ht="18" customHeight="1" x14ac:dyDescent="0.2">
      <c r="A10" s="875"/>
      <c r="B10" s="98" t="s">
        <v>151</v>
      </c>
      <c r="C10" s="568" t="s">
        <v>303</v>
      </c>
      <c r="D10" s="543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3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70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3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30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5">
        <f>IF(T!$A$4&gt;=I$42,(INDEX('[1]Přepravní soustava'!$C$13:$AL$13,1,MATCH(I$5,'[1]Přepravní soustava'!$C$1:$AL$1,0)+1)+INDEX('[2]Z ZDS'!$C$31:$BB$31,1,MATCH(I$5,'[2]Z ZDS'!$C$1:$AX$1,0)+1))/1000,"")</f>
        <v>33002.955940426</v>
      </c>
      <c r="J10" s="530">
        <f>IF(T!$A$4&gt;=J$42,(INDEX('[1]Přepravní soustava'!$C$13:$AL$13,1,MATCH(J$5,'[1]Přepravní soustava'!$C$1:$AL$1,0)+1)+INDEX('[2]Z ZDS'!$C$31:$BB$31,1,MATCH(J$5,'[2]Z ZDS'!$C$1:$AX$1,0)+1))/1000,"")</f>
        <v>29461.640454332999</v>
      </c>
      <c r="K10" s="530">
        <f>IF(T!$A$4&gt;=K$42,(INDEX('[1]Přepravní soustava'!$C$13:$AL$13,1,MATCH(K$5,'[1]Přepravní soustava'!$C$1:$AL$1,0)+1)+INDEX('[2]Z ZDS'!$C$31:$BB$31,1,MATCH(K$5,'[2]Z ZDS'!$C$1:$AX$1,0)+1))/1000,"")</f>
        <v>27012.324774560999</v>
      </c>
      <c r="L10" s="545">
        <f>IF(T!$A$4&gt;=L$42,(INDEX('[1]Přepravní soustava'!$C$13:$AL$13,1,MATCH(L$5,'[1]Přepravní soustava'!$C$1:$AL$1,0)+1)+INDEX('[2]Z ZDS'!$C$31:$BB$31,1,MATCH(L$5,'[2]Z ZDS'!$C$1:$AX$1,0)+1))/1000,"")</f>
        <v>30150.124858183</v>
      </c>
      <c r="M10" s="530" t="str">
        <f>IF(T!$A$4&gt;=M$42,(INDEX('[1]Přepravní soustava'!$C$13:$AL$13,1,MATCH(M$5,'[1]Přepravní soustava'!$C$1:$AL$1,0)+1)+INDEX('[2]Z ZDS'!$C$31:$BB$31,1,MATCH(M$5,'[2]Z ZDS'!$C$1:$AX$1,0)+1))/1000,"")</f>
        <v/>
      </c>
      <c r="N10" s="530" t="str">
        <f>IF(T!$A$4&gt;=N$42,(INDEX('[1]Přepravní soustava'!$C$13:$AL$13,1,MATCH(N$5,'[1]Přepravní soustava'!$C$1:$AL$1,0)+1)+INDEX('[2]Z ZDS'!$C$31:$BB$31,1,MATCH(N$5,'[2]Z ZDS'!$C$1:$AX$1,0)+1))/1000,"")</f>
        <v/>
      </c>
      <c r="O10" s="530" t="str">
        <f>IF(T!$A$4&gt;=O$42,(INDEX('[1]Přepravní soustava'!$C$13:$AL$13,1,MATCH(O$5,'[1]Přepravní soustava'!$C$1:$AL$1,0)+1)+INDEX('[2]Z ZDS'!$C$31:$BB$31,1,MATCH(O$5,'[2]Z ZDS'!$C$1:$AX$1,0)+1))/1000,"")</f>
        <v/>
      </c>
      <c r="P10" s="590">
        <f t="shared" si="0"/>
        <v>288988.51750169694</v>
      </c>
    </row>
    <row r="11" spans="1:17" ht="18" customHeight="1" x14ac:dyDescent="0.2">
      <c r="A11" s="875"/>
      <c r="B11" s="98" t="s">
        <v>152</v>
      </c>
      <c r="C11" s="568" t="s">
        <v>303</v>
      </c>
      <c r="D11" s="543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3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70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3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30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5">
        <f>IF(T!$A$4&gt;=I$42,-(INDEX('[1]Přepravní soustava'!$C$22:$AL$22,1,MATCH(I$5,'[1]Přepravní soustava'!$C$1:$AL$1,0)+1)+INDEX('[2]Do ZDS'!$C$32:$BB$32,1,MATCH(I$5,'[2]Do ZDS'!$C$1:$AX$1,0)+1))/1000,"")</f>
        <v>-23609.495381262001</v>
      </c>
      <c r="J11" s="530">
        <f>IF(T!$A$4&gt;=J$42,-(INDEX('[1]Přepravní soustava'!$C$22:$AL$22,1,MATCH(J$5,'[1]Přepravní soustava'!$C$1:$AL$1,0)+1)+INDEX('[2]Do ZDS'!$C$32:$BB$32,1,MATCH(J$5,'[2]Do ZDS'!$C$1:$AX$1,0)+1))/1000,"")</f>
        <v>-20952.435529431106</v>
      </c>
      <c r="K11" s="530">
        <f>IF(T!$A$4&gt;=K$42,-(INDEX('[1]Přepravní soustava'!$C$22:$AL$22,1,MATCH(K$5,'[1]Přepravní soustava'!$C$1:$AL$1,0)+1)+INDEX('[2]Do ZDS'!$C$32:$BB$32,1,MATCH(K$5,'[2]Do ZDS'!$C$1:$AX$1,0)+1))/1000,"")</f>
        <v>-16960.0314063552</v>
      </c>
      <c r="L11" s="545">
        <f>IF(T!$A$4&gt;=L$42,-(INDEX('[1]Přepravní soustava'!$C$22:$AL$22,1,MATCH(L$5,'[1]Přepravní soustava'!$C$1:$AL$1,0)+1)+INDEX('[2]Do ZDS'!$C$32:$BB$32,1,MATCH(L$5,'[2]Do ZDS'!$C$1:$AX$1,0)+1))/1000,"")</f>
        <v>-22618.074816473403</v>
      </c>
      <c r="M11" s="530" t="str">
        <f>IF(T!$A$4&gt;=M$42,-(INDEX('[1]Přepravní soustava'!$C$22:$AL$22,1,MATCH(M$5,'[1]Přepravní soustava'!$C$1:$AL$1,0)+1)+INDEX('[2]Do ZDS'!$C$32:$BB$32,1,MATCH(M$5,'[2]Do ZDS'!$C$1:$AX$1,0)+1))/1000,"")</f>
        <v/>
      </c>
      <c r="N11" s="530" t="str">
        <f>IF(T!$A$4&gt;=N$42,-(INDEX('[1]Přepravní soustava'!$C$22:$AL$22,1,MATCH(N$5,'[1]Přepravní soustava'!$C$1:$AL$1,0)+1)+INDEX('[2]Do ZDS'!$C$32:$BB$32,1,MATCH(N$5,'[2]Do ZDS'!$C$1:$AX$1,0)+1))/1000,"")</f>
        <v/>
      </c>
      <c r="O11" s="530" t="str">
        <f>IF(T!$A$4&gt;=O$42,-(INDEX('[1]Přepravní soustava'!$C$22:$AL$22,1,MATCH(O$5,'[1]Přepravní soustava'!$C$1:$AL$1,0)+1)+INDEX('[2]Do ZDS'!$C$32:$BB$32,1,MATCH(O$5,'[2]Do ZDS'!$C$1:$AX$1,0)+1))/1000,"")</f>
        <v/>
      </c>
      <c r="P11" s="590">
        <f t="shared" si="0"/>
        <v>-226964.26484650464</v>
      </c>
    </row>
    <row r="12" spans="1:17" ht="18" customHeight="1" x14ac:dyDescent="0.2">
      <c r="A12" s="875"/>
      <c r="B12" s="611" t="s">
        <v>153</v>
      </c>
      <c r="C12" s="568" t="s">
        <v>303</v>
      </c>
      <c r="D12" s="543">
        <f>IF(T!$A$4&gt;=D$42,D10+D11,"")</f>
        <v>4633.513772353388</v>
      </c>
      <c r="E12" s="543">
        <f>IF(T!$A$4&gt;=E$42,E10+E11,"")</f>
        <v>2830.2355777027078</v>
      </c>
      <c r="F12" s="570">
        <f>IF(T!$A$4&gt;=F$42,F10+F11,"")</f>
        <v>3546.6825392079918</v>
      </c>
      <c r="G12" s="543">
        <f>IF(T!$A$4&gt;=G$42,G10+G11,"")</f>
        <v>6830.3887158149992</v>
      </c>
      <c r="H12" s="530">
        <f>IF(T!$A$4&gt;=H$42,H10+H11,"")</f>
        <v>8696.4231561319903</v>
      </c>
      <c r="I12" s="545">
        <f>IF(T!$A$4&gt;=I$42,I10+I11,"")</f>
        <v>9393.4605591639993</v>
      </c>
      <c r="J12" s="530">
        <f>IF(T!$A$4&gt;=J$42,J10+J11,"")</f>
        <v>8509.2049249018928</v>
      </c>
      <c r="K12" s="530">
        <f>IF(T!$A$4&gt;=K$42,K10+K11,"")</f>
        <v>10052.293368205799</v>
      </c>
      <c r="L12" s="545">
        <f>IF(T!$A$4&gt;=L$42,L10+L11,"")</f>
        <v>7532.0500417095973</v>
      </c>
      <c r="M12" s="530" t="str">
        <f>IF(T!$A$4&gt;=M$42,M10+M11,"")</f>
        <v/>
      </c>
      <c r="N12" s="530" t="str">
        <f>IF(T!$A$4&gt;=N$42,N10+N11,"")</f>
        <v/>
      </c>
      <c r="O12" s="530" t="str">
        <f>IF(T!$A$4&gt;=O$42,O10+O11,"")</f>
        <v/>
      </c>
      <c r="P12" s="590">
        <f t="shared" si="0"/>
        <v>62024.252655192366</v>
      </c>
    </row>
    <row r="13" spans="1:17" ht="9" customHeight="1" x14ac:dyDescent="0.2">
      <c r="A13" s="876"/>
      <c r="B13" s="514"/>
      <c r="C13" s="502"/>
      <c r="D13" s="547"/>
      <c r="E13" s="547"/>
      <c r="F13" s="578"/>
      <c r="G13" s="547"/>
      <c r="H13" s="549"/>
      <c r="I13" s="550"/>
      <c r="J13" s="549"/>
      <c r="K13" s="549"/>
      <c r="L13" s="550"/>
      <c r="M13" s="549"/>
      <c r="N13" s="549"/>
      <c r="O13" s="549"/>
      <c r="P13" s="591"/>
    </row>
    <row r="14" spans="1:17" ht="9" customHeight="1" x14ac:dyDescent="0.2">
      <c r="A14" s="879" t="s">
        <v>182</v>
      </c>
      <c r="B14" s="519"/>
      <c r="C14" s="520"/>
      <c r="D14" s="499"/>
      <c r="E14" s="499"/>
      <c r="F14" s="521"/>
      <c r="G14" s="499"/>
      <c r="H14" s="499"/>
      <c r="I14" s="521"/>
      <c r="J14" s="499"/>
      <c r="K14" s="499"/>
      <c r="L14" s="521"/>
      <c r="M14" s="499"/>
      <c r="N14" s="499"/>
      <c r="O14" s="499"/>
      <c r="P14" s="590"/>
    </row>
    <row r="15" spans="1:17" ht="18" customHeight="1" x14ac:dyDescent="0.2">
      <c r="A15" s="875"/>
      <c r="B15" s="98" t="s">
        <v>158</v>
      </c>
      <c r="C15" s="568" t="s">
        <v>250</v>
      </c>
      <c r="D15" s="530">
        <f>IF(T!$A$4&gt;=D$42,INDEX('[1]Přepravní soustava'!$C$41:$AL$41,1,MATCH(D$5,'[1]Přepravní soustava'!$C$1:$AL$1,0))/1000,"")</f>
        <v>663.07631100000003</v>
      </c>
      <c r="E15" s="543">
        <f>IF(T!$A$4&gt;=E$42,INDEX('[1]Přepravní soustava'!$C$41:$AL$41,1,MATCH(E$5,'[1]Přepravní soustava'!$C$1:$AL$1,0))/1000,"")</f>
        <v>730.844382</v>
      </c>
      <c r="F15" s="570">
        <f>IF(T!$A$4&gt;=F$42,INDEX('[1]Přepravní soustava'!$C$41:$AL$41,1,MATCH(F$5,'[1]Přepravní soustava'!$C$1:$AL$1,0))/1000,"")</f>
        <v>531.26270799999998</v>
      </c>
      <c r="G15" s="543">
        <f>IF(T!$A$4&gt;=G$42,INDEX('[1]Přepravní soustava'!$C$41:$AL$41,1,MATCH(G$5,'[1]Přepravní soustava'!$C$1:$AL$1,0))/1000,"")</f>
        <v>40.534314999999999</v>
      </c>
      <c r="H15" s="530">
        <f>IF(T!$A$4&gt;=H$42,INDEX('[1]Přepravní soustava'!$C$41:$AL$41,1,MATCH(H$5,'[1]Přepravní soustava'!$C$1:$AL$1,0))/1000,"")</f>
        <v>0.36129300000000003</v>
      </c>
      <c r="I15" s="545">
        <f>IF(T!$A$4&gt;=I$42,INDEX('[1]Přepravní soustava'!$C$41:$AL$41,1,MATCH(I$5,'[1]Přepravní soustava'!$C$1:$AL$1,0))/1000,"")</f>
        <v>0.13611899999999999</v>
      </c>
      <c r="J15" s="530">
        <f>IF(T!$A$4&gt;=J$42,INDEX('[1]Přepravní soustava'!$C$41:$AL$41,1,MATCH(J$5,'[1]Přepravní soustava'!$C$1:$AL$1,0))/1000,"")</f>
        <v>0.27523999999999998</v>
      </c>
      <c r="K15" s="530">
        <f>IF(T!$A$4&gt;=K$42,INDEX('[1]Přepravní soustava'!$C$41:$AL$41,1,MATCH(K$5,'[1]Přepravní soustava'!$C$1:$AL$1,0))/1000,"")</f>
        <v>0</v>
      </c>
      <c r="L15" s="545">
        <f>IF(T!$A$4&gt;=L$42,INDEX('[1]Přepravní soustava'!$C$41:$AL$41,1,MATCH(L$5,'[1]Přepravní soustava'!$C$1:$AL$1,0))/1000,"")</f>
        <v>0.26440799999999998</v>
      </c>
      <c r="M15" s="530" t="str">
        <f>IF(T!$A$4&gt;=M$42,INDEX('[1]Přepravní soustava'!$C$41:$AL$41,1,MATCH(M$5,'[1]Přepravní soustava'!$C$1:$AL$1,0))/1000,"")</f>
        <v/>
      </c>
      <c r="N15" s="530" t="str">
        <f>IF(T!$A$4&gt;=N$42,INDEX('[1]Přepravní soustava'!$C$41:$AL$41,1,MATCH(N$5,'[1]Přepravní soustava'!$C$1:$AL$1,0))/1000,"")</f>
        <v/>
      </c>
      <c r="O15" s="530" t="str">
        <f>IF(T!$A$4&gt;=O$42,INDEX('[1]Přepravní soustava'!$C$41:$AL$41,1,MATCH(O$5,'[1]Přepravní soustava'!$C$1:$AL$1,0))/1000,"")</f>
        <v/>
      </c>
      <c r="P15" s="590">
        <f t="shared" si="0"/>
        <v>1966.754776</v>
      </c>
    </row>
    <row r="16" spans="1:17" ht="18" customHeight="1" x14ac:dyDescent="0.2">
      <c r="A16" s="875"/>
      <c r="B16" s="98" t="s">
        <v>159</v>
      </c>
      <c r="C16" s="568" t="s">
        <v>250</v>
      </c>
      <c r="D16" s="543">
        <f>IF(T!$A$4&gt;=D$42,-INDEX('[1]Přepravní soustava'!$C$45:$AL$45,1,MATCH(D$5,'[1]Přepravní soustava'!$C$1:$AL$1,0))/1000,"")</f>
        <v>-16.494135</v>
      </c>
      <c r="E16" s="543">
        <f>IF(T!$A$4&gt;=E$42,-INDEX('[1]Přepravní soustava'!$C$45:$AL$45,1,MATCH(E$5,'[1]Přepravní soustava'!$C$1:$AL$1,0))/1000,"")</f>
        <v>-9.5552060000000001</v>
      </c>
      <c r="F16" s="570">
        <f>IF(T!$A$4&gt;=F$42,-INDEX('[1]Přepravní soustava'!$C$45:$AL$45,1,MATCH(F$5,'[1]Přepravní soustava'!$C$1:$AL$1,0))/1000,"")</f>
        <v>-9.0375149999999991</v>
      </c>
      <c r="G16" s="543">
        <f>IF(T!$A$4&gt;=G$42,-INDEX('[1]Přepravní soustava'!$C$45:$AL$45,1,MATCH(G$5,'[1]Přepravní soustava'!$C$1:$AL$1,0))/1000,"")</f>
        <v>-52.046067999999998</v>
      </c>
      <c r="H16" s="530">
        <f>IF(T!$A$4&gt;=H$42,-INDEX('[1]Přepravní soustava'!$C$45:$AL$45,1,MATCH(H$5,'[1]Přepravní soustava'!$C$1:$AL$1,0))/1000,"")</f>
        <v>-406.77318200000002</v>
      </c>
      <c r="I16" s="545">
        <f>IF(T!$A$4&gt;=I$42,-INDEX('[1]Přepravní soustava'!$C$45:$AL$45,1,MATCH(I$5,'[1]Přepravní soustava'!$C$1:$AL$1,0))/1000,"")</f>
        <v>-560.69673699999998</v>
      </c>
      <c r="J16" s="530">
        <f>IF(T!$A$4&gt;=J$42,-INDEX('[1]Přepravní soustava'!$C$45:$AL$45,1,MATCH(J$5,'[1]Přepravní soustava'!$C$1:$AL$1,0))/1000,"")</f>
        <v>-503.12326200000001</v>
      </c>
      <c r="K16" s="530">
        <f>IF(T!$A$4&gt;=K$42,-INDEX('[1]Přepravní soustava'!$C$45:$AL$45,1,MATCH(K$5,'[1]Přepravní soustava'!$C$1:$AL$1,0))/1000,"")</f>
        <v>-663.18025499999999</v>
      </c>
      <c r="L16" s="545">
        <f>IF(T!$A$4&gt;=L$42,-INDEX('[1]Přepravní soustava'!$C$45:$AL$45,1,MATCH(L$5,'[1]Přepravní soustava'!$C$1:$AL$1,0))/1000,"")</f>
        <v>-350.663657</v>
      </c>
      <c r="M16" s="530" t="str">
        <f>IF(T!$A$4&gt;=M$42,-INDEX('[1]Přepravní soustava'!$C$45:$AL$45,1,MATCH(M$5,'[1]Přepravní soustava'!$C$1:$AL$1,0))/1000,"")</f>
        <v/>
      </c>
      <c r="N16" s="530" t="str">
        <f>IF(T!$A$4&gt;=N$42,-INDEX('[1]Přepravní soustava'!$C$45:$AL$45,1,MATCH(N$5,'[1]Přepravní soustava'!$C$1:$AL$1,0))/1000,"")</f>
        <v/>
      </c>
      <c r="O16" s="530" t="str">
        <f>IF(T!$A$4&gt;=O$42,-INDEX('[1]Přepravní soustava'!$C$45:$AL$45,1,MATCH(O$5,'[1]Přepravní soustava'!$C$1:$AL$1,0))/1000,"")</f>
        <v/>
      </c>
      <c r="P16" s="590">
        <f t="shared" si="0"/>
        <v>-2571.570017</v>
      </c>
    </row>
    <row r="17" spans="1:19" ht="18" customHeight="1" x14ac:dyDescent="0.2">
      <c r="A17" s="875"/>
      <c r="B17" s="611" t="s">
        <v>160</v>
      </c>
      <c r="C17" s="568" t="s">
        <v>250</v>
      </c>
      <c r="D17" s="543">
        <f>IF(T!$A$4&gt;=D$42,D15+D16,"")</f>
        <v>646.582176</v>
      </c>
      <c r="E17" s="543">
        <f>IF(T!$A$4&gt;=E$42,E15+E16,"")</f>
        <v>721.289176</v>
      </c>
      <c r="F17" s="570">
        <f>IF(T!$A$4&gt;=F$42,F15+F16,"")</f>
        <v>522.22519299999999</v>
      </c>
      <c r="G17" s="543">
        <f>IF(T!$A$4&gt;=G$42,G15+G16,"")</f>
        <v>-11.511752999999999</v>
      </c>
      <c r="H17" s="530">
        <f>IF(T!$A$4&gt;=H$42,H15+H16,"")</f>
        <v>-406.41188900000003</v>
      </c>
      <c r="I17" s="545">
        <f>IF(T!$A$4&gt;=I$42,I15+I16,"")</f>
        <v>-560.56061799999998</v>
      </c>
      <c r="J17" s="530">
        <f>IF(T!$A$4&gt;=J$42,J15+J16,"")</f>
        <v>-502.84802200000001</v>
      </c>
      <c r="K17" s="530">
        <f>IF(T!$A$4&gt;=K$42,K15+K16,"")</f>
        <v>-663.18025499999999</v>
      </c>
      <c r="L17" s="545">
        <f>IF(T!$A$4&gt;=L$42,L15+L16,"")</f>
        <v>-350.399249</v>
      </c>
      <c r="M17" s="530" t="str">
        <f>IF(T!$A$4&gt;=M$42,M15+M16,"")</f>
        <v/>
      </c>
      <c r="N17" s="530" t="str">
        <f>IF(T!$A$4&gt;=N$42,N15+N16,"")</f>
        <v/>
      </c>
      <c r="O17" s="530" t="str">
        <f>IF(T!$A$4&gt;=O$42,O15+O16,"")</f>
        <v/>
      </c>
      <c r="P17" s="590">
        <f>SUM(D17:O17)</f>
        <v>-604.81524099999979</v>
      </c>
      <c r="R17" s="66"/>
      <c r="S17" s="66"/>
    </row>
    <row r="18" spans="1:19" ht="18" customHeight="1" x14ac:dyDescent="0.2">
      <c r="A18" s="875"/>
      <c r="B18" s="757" t="s">
        <v>298</v>
      </c>
      <c r="C18" s="758" t="s">
        <v>250</v>
      </c>
      <c r="D18" s="759">
        <f>IF(T!$A$4&gt;=D$42,'[10]Stav zásob ČR'!C3,"")</f>
        <v>1506.0067398421697</v>
      </c>
      <c r="E18" s="759">
        <f>IF(T!$A$4&gt;=E$42,'[10]Stav zásob ČR'!D3,"")</f>
        <v>784.71756384216962</v>
      </c>
      <c r="F18" s="760">
        <f>IF(T!$A$4&gt;=F$42,'[10]Stav zásob ČR'!E3,"")</f>
        <v>262.49237084216952</v>
      </c>
      <c r="G18" s="759">
        <f>IF(T!$A$4&gt;=G$42,'[10]Stav zásob ČR'!F3,"")</f>
        <v>274.00412384216952</v>
      </c>
      <c r="H18" s="761">
        <f>IF(T!$A$4&gt;=H$42,'[10]Stav zásob ČR'!G3,"")</f>
        <v>680.41601284216961</v>
      </c>
      <c r="I18" s="762">
        <f>IF(T!$A$4&gt;=I$42,'[10]Stav zásob ČR'!H3,"")</f>
        <v>1240.9766308421695</v>
      </c>
      <c r="J18" s="761">
        <f>IF(T!$A$4&gt;=J$42,'[10]Stav zásob ČR'!I3,"")</f>
        <v>1743.8246528421696</v>
      </c>
      <c r="K18" s="761">
        <f>IF(T!$A$4&gt;=K$42,'[10]Stav zásob ČR'!J3,"")</f>
        <v>2407.0049078421694</v>
      </c>
      <c r="L18" s="762">
        <f>IF(T!$A$4&gt;=L$42,'[10]Stav zásob ČR'!K3,"")</f>
        <v>2757.4041568421703</v>
      </c>
      <c r="M18" s="761" t="str">
        <f>IF(T!$A$4&gt;=M$42,'[10]Stav zásob ČR'!L3,"")</f>
        <v/>
      </c>
      <c r="N18" s="761" t="str">
        <f>IF(T!$A$4&gt;=N$42,'[10]Stav zásob ČR'!M3,"")</f>
        <v/>
      </c>
      <c r="O18" s="761" t="str">
        <f>IF(T!$A$4&gt;=O$42,'[10]Stav zásob ČR'!N3,"")</f>
        <v/>
      </c>
      <c r="P18" s="763">
        <f>INDEX(D18:O18,,T!$A$4)</f>
        <v>2757.4041568421703</v>
      </c>
    </row>
    <row r="19" spans="1:19" ht="18" customHeight="1" x14ac:dyDescent="0.2">
      <c r="A19" s="875"/>
      <c r="B19" s="98" t="s">
        <v>158</v>
      </c>
      <c r="C19" s="568" t="s">
        <v>303</v>
      </c>
      <c r="D19" s="543">
        <f>IF(T!$A$4&gt;=D$42,INDEX('[1]Přepravní soustava'!$C$41:$AL$41,1,MATCH(D$5,'[1]Přepravní soustava'!$C$1:$AL$1,0)+1)/1000,"")</f>
        <v>7059.919245</v>
      </c>
      <c r="E19" s="543">
        <f>IF(T!$A$4&gt;=E$42,INDEX('[1]Přepravní soustava'!$C$41:$AL$41,1,MATCH(E$5,'[1]Přepravní soustava'!$C$1:$AL$1,0)+1)/1000,"")</f>
        <v>7781.4639450000004</v>
      </c>
      <c r="F19" s="570">
        <f>IF(T!$A$4&gt;=F$42,INDEX('[1]Přepravní soustava'!$C$41:$AL$41,1,MATCH(F$5,'[1]Přepravní soustava'!$C$1:$AL$1,0)+1)/1000,"")</f>
        <v>5653.0803719999994</v>
      </c>
      <c r="G19" s="543">
        <f>IF(T!$A$4&gt;=G$42,INDEX('[1]Přepravní soustava'!$C$41:$AL$41,1,MATCH(G$5,'[1]Přepravní soustava'!$C$1:$AL$1,0)+1)/1000,"")</f>
        <v>432.63230599999997</v>
      </c>
      <c r="H19" s="530">
        <f>IF(T!$A$4&gt;=H$42,INDEX('[1]Přepravní soustava'!$C$41:$AL$41,1,MATCH(H$5,'[1]Přepravní soustava'!$C$1:$AL$1,0)+1)/1000,"")</f>
        <v>3.8729299999999998</v>
      </c>
      <c r="I19" s="545">
        <f>IF(T!$A$4&gt;=I$42,INDEX('[1]Přepravní soustava'!$C$41:$AL$41,1,MATCH(I$5,'[1]Přepravní soustava'!$C$1:$AL$1,0)+1)/1000,"")</f>
        <v>1.4613450000000001</v>
      </c>
      <c r="J19" s="530">
        <f>IF(T!$A$4&gt;=J$42,INDEX('[1]Přepravní soustava'!$C$41:$AL$41,1,MATCH(J$5,'[1]Přepravní soustava'!$C$1:$AL$1,0)+1)/1000,"")</f>
        <v>2.9395630000000001</v>
      </c>
      <c r="K19" s="530">
        <f>IF(T!$A$4&gt;=K$42,INDEX('[1]Přepravní soustava'!$C$41:$AL$41,1,MATCH(K$5,'[1]Přepravní soustava'!$C$1:$AL$1,0)+1)/1000,"")</f>
        <v>0</v>
      </c>
      <c r="L19" s="545">
        <f>IF(T!$A$4&gt;=L$42,INDEX('[1]Přepravní soustava'!$C$41:$AL$41,1,MATCH(L$5,'[1]Přepravní soustava'!$C$1:$AL$1,0)+1)/1000,"")</f>
        <v>2.8285170000000002</v>
      </c>
      <c r="M19" s="530" t="str">
        <f>IF(T!$A$4&gt;=M$42,INDEX('[1]Přepravní soustava'!$C$41:$AL$41,1,MATCH(M$5,'[1]Přepravní soustava'!$C$1:$AL$1,0)+1)/1000,"")</f>
        <v/>
      </c>
      <c r="N19" s="530" t="str">
        <f>IF(T!$A$4&gt;=N$42,INDEX('[1]Přepravní soustava'!$C$41:$AL$41,1,MATCH(N$5,'[1]Přepravní soustava'!$C$1:$AL$1,0)+1)/1000,"")</f>
        <v/>
      </c>
      <c r="O19" s="530" t="str">
        <f>IF(T!$A$4&gt;=O$42,INDEX('[1]Přepravní soustava'!$C$41:$AL$41,1,MATCH(O$5,'[1]Přepravní soustava'!$C$1:$AL$1,0)+1)/1000,"")</f>
        <v/>
      </c>
      <c r="P19" s="590">
        <f t="shared" si="0"/>
        <v>20938.198223000003</v>
      </c>
    </row>
    <row r="20" spans="1:19" ht="18" customHeight="1" x14ac:dyDescent="0.2">
      <c r="A20" s="875"/>
      <c r="B20" s="98" t="s">
        <v>159</v>
      </c>
      <c r="C20" s="568" t="s">
        <v>303</v>
      </c>
      <c r="D20" s="543">
        <f>IF(T!$A$4&gt;=D$42,-INDEX('[1]Přepravní soustava'!$C$45:$AL$45,1,MATCH(D$5,'[1]Přepravní soustava'!$C$1:$AL$1,0)+1)/1000,"")</f>
        <v>-175.246745</v>
      </c>
      <c r="E20" s="543">
        <f>IF(T!$A$4&gt;=E$42,-INDEX('[1]Přepravní soustava'!$C$45:$AL$45,1,MATCH(E$5,'[1]Přepravní soustava'!$C$1:$AL$1,0)+1)/1000,"")</f>
        <v>-101.32244299999999</v>
      </c>
      <c r="F20" s="570">
        <f>IF(T!$A$4&gt;=F$42,-INDEX('[1]Přepravní soustava'!$C$45:$AL$45,1,MATCH(F$5,'[1]Přepravní soustava'!$C$1:$AL$1,0)+1)/1000,"")</f>
        <v>-95.956741000000008</v>
      </c>
      <c r="G20" s="543">
        <f>IF(T!$A$4&gt;=G$42,-INDEX('[1]Přepravní soustava'!$C$45:$AL$45,1,MATCH(G$5,'[1]Přepravní soustava'!$C$1:$AL$1,0)+1)/1000,"")</f>
        <v>-553.96945600000004</v>
      </c>
      <c r="H20" s="530">
        <f>IF(T!$A$4&gt;=H$42,-INDEX('[1]Přepravní soustava'!$C$45:$AL$45,1,MATCH(H$5,'[1]Přepravní soustava'!$C$1:$AL$1,0)+1)/1000,"")</f>
        <v>-4350.3506279999992</v>
      </c>
      <c r="I20" s="545">
        <f>IF(T!$A$4&gt;=I$42,-INDEX('[1]Přepravní soustava'!$C$45:$AL$45,1,MATCH(I$5,'[1]Přepravní soustava'!$C$1:$AL$1,0)+1)/1000,"")</f>
        <v>-6007.5311279999996</v>
      </c>
      <c r="J20" s="530">
        <f>IF(T!$A$4&gt;=J$42,-INDEX('[1]Přepravní soustava'!$C$45:$AL$45,1,MATCH(J$5,'[1]Přepravní soustava'!$C$1:$AL$1,0)+1)/1000,"")</f>
        <v>-5376.3324070000008</v>
      </c>
      <c r="K20" s="530">
        <f>IF(T!$A$4&gt;=K$42,-INDEX('[1]Přepravní soustava'!$C$45:$AL$45,1,MATCH(K$5,'[1]Přepravní soustava'!$C$1:$AL$1,0)+1)/1000,"")</f>
        <v>-7095.650619</v>
      </c>
      <c r="L20" s="545">
        <f>IF(T!$A$4&gt;=L$42,-INDEX('[1]Přepravní soustava'!$C$45:$AL$45,1,MATCH(L$5,'[1]Přepravní soustava'!$C$1:$AL$1,0)+1)/1000,"")</f>
        <v>-3748.1244029999998</v>
      </c>
      <c r="M20" s="530" t="str">
        <f>IF(T!$A$4&gt;=M$42,-INDEX('[1]Přepravní soustava'!$C$45:$AL$45,1,MATCH(M$5,'[1]Přepravní soustava'!$C$1:$AL$1,0)+1)/1000,"")</f>
        <v/>
      </c>
      <c r="N20" s="530" t="str">
        <f>IF(T!$A$4&gt;=N$42,-INDEX('[1]Přepravní soustava'!$C$45:$AL$45,1,MATCH(N$5,'[1]Přepravní soustava'!$C$1:$AL$1,0)+1)/1000,"")</f>
        <v/>
      </c>
      <c r="O20" s="530" t="str">
        <f>IF(T!$A$4&gt;=O$42,-INDEX('[1]Přepravní soustava'!$C$45:$AL$45,1,MATCH(O$5,'[1]Přepravní soustava'!$C$1:$AL$1,0)+1)/1000,"")</f>
        <v/>
      </c>
      <c r="P20" s="590">
        <f t="shared" si="0"/>
        <v>-27504.484570000001</v>
      </c>
    </row>
    <row r="21" spans="1:19" ht="18" customHeight="1" x14ac:dyDescent="0.2">
      <c r="A21" s="875"/>
      <c r="B21" s="611" t="s">
        <v>160</v>
      </c>
      <c r="C21" s="568" t="s">
        <v>303</v>
      </c>
      <c r="D21" s="543">
        <f>IF(T!$A$4&gt;=D$42,D19+D20,"")</f>
        <v>6884.6724999999997</v>
      </c>
      <c r="E21" s="543">
        <f>IF(T!$A$4&gt;=E$42,E19+E20,"")</f>
        <v>7680.1415020000004</v>
      </c>
      <c r="F21" s="570">
        <f>IF(T!$A$4&gt;=F$42,F19+F20,"")</f>
        <v>5557.1236309999995</v>
      </c>
      <c r="G21" s="543">
        <f>IF(T!$A$4&gt;=G$42,G19+G20,"")</f>
        <v>-121.33715000000007</v>
      </c>
      <c r="H21" s="530">
        <f>IF(T!$A$4&gt;=H$42,H19+H20,"")</f>
        <v>-4346.4776979999988</v>
      </c>
      <c r="I21" s="545">
        <f>IF(T!$A$4&gt;=I$42,I19+I20,"")</f>
        <v>-6006.0697829999999</v>
      </c>
      <c r="J21" s="530">
        <f>IF(T!$A$4&gt;=J$42,J19+J20,"")</f>
        <v>-5373.3928440000009</v>
      </c>
      <c r="K21" s="530">
        <f>IF(T!$A$4&gt;=K$42,K19+K20,"")</f>
        <v>-7095.650619</v>
      </c>
      <c r="L21" s="545">
        <f>IF(T!$A$4&gt;=L$42,L19+L20,"")</f>
        <v>-3745.2958859999999</v>
      </c>
      <c r="M21" s="530" t="str">
        <f>IF(T!$A$4&gt;=M$42,M19+M20,"")</f>
        <v/>
      </c>
      <c r="N21" s="530" t="str">
        <f>IF(T!$A$4&gt;=N$42,N19+N20,"")</f>
        <v/>
      </c>
      <c r="O21" s="530" t="str">
        <f>IF(T!$A$4&gt;=O$42,O19+O20,"")</f>
        <v/>
      </c>
      <c r="P21" s="590">
        <f t="shared" si="0"/>
        <v>-6566.2863470000002</v>
      </c>
    </row>
    <row r="22" spans="1:19" ht="18" customHeight="1" x14ac:dyDescent="0.2">
      <c r="A22" s="875"/>
      <c r="B22" s="611" t="s">
        <v>298</v>
      </c>
      <c r="C22" s="568" t="s">
        <v>303</v>
      </c>
      <c r="D22" s="543">
        <f>IF(T!$A$4&gt;=D$42,'[10]Stav zásob ČR'!C4,"")</f>
        <v>16158.764895715989</v>
      </c>
      <c r="E22" s="543">
        <f>IF(T!$A$4&gt;=E$42,'[10]Stav zásob ČR'!D4,"")</f>
        <v>8478.6233937159905</v>
      </c>
      <c r="F22" s="570">
        <f>IF(T!$A$4&gt;=F$42,'[10]Stav zásob ČR'!E4,"")</f>
        <v>2921.4997627159905</v>
      </c>
      <c r="G22" s="543">
        <f>IF(T!$A$4&gt;=G$42,'[10]Stav zásob ČR'!F4,"")</f>
        <v>3042.8369127159904</v>
      </c>
      <c r="H22" s="530">
        <f>IF(T!$A$4&gt;=H$42,'[10]Stav zásob ČR'!G4,"")</f>
        <v>7389.314610715991</v>
      </c>
      <c r="I22" s="545">
        <f>IF(T!$A$4&gt;=I$42,'[10]Stav zásob ČR'!H4,"")</f>
        <v>13395.384393715993</v>
      </c>
      <c r="J22" s="530">
        <f>IF(T!$A$4&gt;=J$42,'[10]Stav zásob ČR'!I4,"")</f>
        <v>18768.777237715993</v>
      </c>
      <c r="K22" s="530">
        <f>IF(T!$A$4&gt;=K$42,'[10]Stav zásob ČR'!J4,"")</f>
        <v>25864.427856715996</v>
      </c>
      <c r="L22" s="545">
        <f>IF(T!$A$4&gt;=L$42,'[10]Stav zásob ČR'!K4,"")</f>
        <v>29609.723742405993</v>
      </c>
      <c r="M22" s="530" t="str">
        <f>IF(T!$A$4&gt;=M$42,'[10]Stav zásob ČR'!L4,"")</f>
        <v/>
      </c>
      <c r="N22" s="530" t="str">
        <f>IF(T!$A$4&gt;=N$42,'[10]Stav zásob ČR'!M4,"")</f>
        <v/>
      </c>
      <c r="O22" s="530" t="str">
        <f>IF(T!$A$4&gt;=O$42,'[10]Stav zásob ČR'!N4,"")</f>
        <v/>
      </c>
      <c r="P22" s="590">
        <f>INDEX(D22:O22,,T!$A$4)</f>
        <v>29609.723742405993</v>
      </c>
    </row>
    <row r="23" spans="1:19" ht="9" customHeight="1" x14ac:dyDescent="0.2">
      <c r="A23" s="876"/>
      <c r="B23" s="514"/>
      <c r="C23" s="502"/>
      <c r="D23" s="547"/>
      <c r="E23" s="547"/>
      <c r="F23" s="578"/>
      <c r="G23" s="547"/>
      <c r="H23" s="549"/>
      <c r="I23" s="550"/>
      <c r="J23" s="549"/>
      <c r="K23" s="549"/>
      <c r="L23" s="550"/>
      <c r="M23" s="549"/>
      <c r="N23" s="549"/>
      <c r="O23" s="549"/>
      <c r="P23" s="591"/>
    </row>
    <row r="24" spans="1:19" ht="9" customHeight="1" x14ac:dyDescent="0.2">
      <c r="A24" s="507"/>
      <c r="B24" s="465"/>
      <c r="C24" s="520"/>
      <c r="D24" s="499"/>
      <c r="E24" s="499"/>
      <c r="F24" s="521"/>
      <c r="G24" s="499"/>
      <c r="H24" s="499"/>
      <c r="I24" s="521"/>
      <c r="J24" s="499"/>
      <c r="K24" s="499"/>
      <c r="L24" s="521"/>
      <c r="M24" s="499"/>
      <c r="N24" s="499"/>
      <c r="O24" s="499"/>
      <c r="P24" s="590"/>
    </row>
    <row r="25" spans="1:19" ht="18" customHeight="1" x14ac:dyDescent="0.2">
      <c r="A25" s="820" t="s">
        <v>261</v>
      </c>
      <c r="B25" s="820"/>
      <c r="C25" s="568" t="s">
        <v>250</v>
      </c>
      <c r="D25" s="530">
        <f>IF(T!$A$4&gt;=D$42,INDEX('[3]Poklady MZ'!$C$17:$Z$17,1,MATCH(D$5,'[3]Poklady MZ'!$C$1:$Z$1,0))/1000,"")</f>
        <v>14.180403000000002</v>
      </c>
      <c r="E25" s="543">
        <f>IF(T!$A$4&gt;=E$42,INDEX('[3]Poklady MZ'!$C$17:$Z$17,1,MATCH(E$5,'[3]Poklady MZ'!$C$1:$Z$1,0))/1000,"")</f>
        <v>13.270028</v>
      </c>
      <c r="F25" s="570">
        <f>IF(T!$A$4&gt;=F$42,INDEX('[3]Poklady MZ'!$C$17:$Z$17,1,MATCH(F$5,'[3]Poklady MZ'!$C$1:$Z$1,0))/1000,"")</f>
        <v>14.707849999999999</v>
      </c>
      <c r="G25" s="543">
        <f>IF(T!$A$4&gt;=G$42,INDEX('[3]Poklady MZ'!$C$17:$Z$17,1,MATCH(G$5,'[3]Poklady MZ'!$C$1:$Z$1,0))/1000,"")</f>
        <v>13.986095999999998</v>
      </c>
      <c r="H25" s="530">
        <f>IF(T!$A$4&gt;=H$42,INDEX('[3]Poklady MZ'!$C$17:$Z$17,1,MATCH(H$5,'[3]Poklady MZ'!$C$1:$Z$1,0))/1000,"")</f>
        <v>14.309644999999996</v>
      </c>
      <c r="I25" s="545">
        <f>IF(T!$A$4&gt;=I$42,INDEX('[3]Poklady MZ'!$C$17:$Z$17,1,MATCH(I$5,'[3]Poklady MZ'!$C$1:$Z$1,0))/1000,"")</f>
        <v>13.031152000000001</v>
      </c>
      <c r="J25" s="530">
        <f>IF(T!$A$4&gt;=J$42,INDEX('[3]Poklady MZ'!$C$17:$Z$17,1,MATCH(J$5,'[3]Poklady MZ'!$C$1:$Z$1,0))/1000,"")</f>
        <v>13.117135999999999</v>
      </c>
      <c r="K25" s="530">
        <f>IF(T!$A$4&gt;=K$42,INDEX('[3]Poklady MZ'!$C$17:$Z$17,1,MATCH(K$5,'[3]Poklady MZ'!$C$1:$Z$1,0))/1000,"")</f>
        <v>12.971734</v>
      </c>
      <c r="L25" s="545">
        <f>IF(T!$A$4&gt;=L$42,INDEX('[3]Poklady MZ'!$C$17:$Z$17,1,MATCH(L$5,'[3]Poklady MZ'!$C$1:$Z$1,0))/1000,"")</f>
        <v>12.490767999999997</v>
      </c>
      <c r="M25" s="530" t="str">
        <f>IF(T!$A$4&gt;=M$42,INDEX('[3]Poklady MZ'!$C$17:$Z$17,1,MATCH(M$5,'[3]Poklady MZ'!$C$1:$Z$1,0))/1000,"")</f>
        <v/>
      </c>
      <c r="N25" s="530" t="str">
        <f>IF(T!$A$4&gt;=N$42,INDEX('[3]Poklady MZ'!$C$17:$Z$17,1,MATCH(N$5,'[3]Poklady MZ'!$C$1:$Z$1,0))/1000,"")</f>
        <v/>
      </c>
      <c r="O25" s="530" t="str">
        <f>IF(T!$A$4&gt;=O$42,INDEX('[3]Poklady MZ'!$C$17:$Z$17,1,MATCH(O$5,'[3]Poklady MZ'!$C$1:$Z$1,0))/1000,"")</f>
        <v/>
      </c>
      <c r="P25" s="590">
        <f t="shared" si="0"/>
        <v>122.064812</v>
      </c>
    </row>
    <row r="26" spans="1:19" ht="18" customHeight="1" x14ac:dyDescent="0.2">
      <c r="A26" s="820" t="s">
        <v>261</v>
      </c>
      <c r="B26" s="820"/>
      <c r="C26" s="568" t="s">
        <v>303</v>
      </c>
      <c r="D26" s="543">
        <f>IF(T!$A$4&gt;=D$42,INDEX('[3]Poklady MZ'!$C$17:$Z$17,1,MATCH(D$5,'[3]Poklady MZ'!$C$1:$Z$1,0)+1)/1000,"")</f>
        <v>154.08155320000003</v>
      </c>
      <c r="E26" s="543">
        <f>IF(T!$A$4&gt;=E$42,INDEX('[3]Poklady MZ'!$C$17:$Z$17,1,MATCH(E$5,'[3]Poklady MZ'!$C$1:$Z$1,0)+1)/1000,"")</f>
        <v>144.12608200000003</v>
      </c>
      <c r="F26" s="570">
        <f>IF(T!$A$4&gt;=F$42,INDEX('[3]Poklady MZ'!$C$17:$Z$17,1,MATCH(F$5,'[3]Poklady MZ'!$C$1:$Z$1,0)+1)/1000,"")</f>
        <v>159.14952839489999</v>
      </c>
      <c r="G26" s="543">
        <f>IF(T!$A$4&gt;=G$42,INDEX('[3]Poklady MZ'!$C$17:$Z$17,1,MATCH(G$5,'[3]Poklady MZ'!$C$1:$Z$1,0)+1)/1000,"")</f>
        <v>151.93253561999998</v>
      </c>
      <c r="H26" s="530">
        <f>IF(T!$A$4&gt;=H$42,INDEX('[3]Poklady MZ'!$C$17:$Z$17,1,MATCH(H$5,'[3]Poklady MZ'!$C$1:$Z$1,0)+1)/1000,"")</f>
        <v>156.03802252</v>
      </c>
      <c r="I26" s="545">
        <f>IF(T!$A$4&gt;=I$42,INDEX('[3]Poklady MZ'!$C$17:$Z$17,1,MATCH(I$5,'[3]Poklady MZ'!$C$1:$Z$1,0)+1)/1000,"")</f>
        <v>142.2199755</v>
      </c>
      <c r="J26" s="530">
        <f>IF(T!$A$4&gt;=J$42,INDEX('[3]Poklady MZ'!$C$17:$Z$17,1,MATCH(J$5,'[3]Poklady MZ'!$C$1:$Z$1,0)+1)/1000,"")</f>
        <v>143.09325754400001</v>
      </c>
      <c r="K26" s="530">
        <f>IF(T!$A$4&gt;=K$42,INDEX('[3]Poklady MZ'!$C$17:$Z$17,1,MATCH(K$5,'[3]Poklady MZ'!$C$1:$Z$1,0)+1)/1000,"")</f>
        <v>141.49217164999999</v>
      </c>
      <c r="L26" s="545">
        <f>IF(T!$A$4&gt;=L$42,INDEX('[3]Poklady MZ'!$C$17:$Z$17,1,MATCH(L$5,'[3]Poklady MZ'!$C$1:$Z$1,0)+1)/1000,"")</f>
        <v>135.65991910379998</v>
      </c>
      <c r="M26" s="530" t="str">
        <f>IF(T!$A$4&gt;=M$42,INDEX('[3]Poklady MZ'!$C$17:$Z$17,1,MATCH(M$5,'[3]Poklady MZ'!$C$1:$Z$1,0)+1)/1000,"")</f>
        <v/>
      </c>
      <c r="N26" s="530" t="str">
        <f>IF(T!$A$4&gt;=N$42,INDEX('[3]Poklady MZ'!$C$17:$Z$17,1,MATCH(N$5,'[3]Poklady MZ'!$C$1:$Z$1,0)+1)/1000,"")</f>
        <v/>
      </c>
      <c r="O26" s="530" t="str">
        <f>IF(T!$A$4&gt;=O$42,INDEX('[3]Poklady MZ'!$C$17:$Z$17,1,MATCH(O$5,'[3]Poklady MZ'!$C$1:$Z$1,0)+1)/1000,"")</f>
        <v/>
      </c>
      <c r="P26" s="590">
        <f t="shared" si="0"/>
        <v>1327.7930455327</v>
      </c>
    </row>
    <row r="27" spans="1:19" ht="9" customHeight="1" x14ac:dyDescent="0.2">
      <c r="A27" s="506"/>
      <c r="B27" s="613"/>
      <c r="C27" s="573"/>
      <c r="D27" s="547"/>
      <c r="E27" s="547"/>
      <c r="F27" s="578"/>
      <c r="G27" s="547"/>
      <c r="H27" s="549"/>
      <c r="I27" s="550"/>
      <c r="J27" s="549"/>
      <c r="K27" s="549"/>
      <c r="L27" s="550"/>
      <c r="M27" s="549"/>
      <c r="N27" s="549"/>
      <c r="O27" s="549"/>
      <c r="P27" s="591"/>
    </row>
    <row r="28" spans="1:19" ht="9" customHeight="1" x14ac:dyDescent="0.2">
      <c r="A28" s="507"/>
      <c r="B28" s="465"/>
      <c r="C28" s="520"/>
      <c r="D28" s="499"/>
      <c r="E28" s="499"/>
      <c r="F28" s="521"/>
      <c r="G28" s="499"/>
      <c r="H28" s="499"/>
      <c r="I28" s="521"/>
      <c r="J28" s="499"/>
      <c r="K28" s="499"/>
      <c r="L28" s="521"/>
      <c r="M28" s="499"/>
      <c r="N28" s="499"/>
      <c r="O28" s="499"/>
      <c r="P28" s="590"/>
    </row>
    <row r="29" spans="1:19" ht="18" customHeight="1" x14ac:dyDescent="0.2">
      <c r="A29" s="820" t="s">
        <v>260</v>
      </c>
      <c r="B29" s="820"/>
      <c r="C29" s="568" t="s">
        <v>250</v>
      </c>
      <c r="D29" s="530">
        <f>IF(T!$A$4&gt;=D$42,-INDEX('[1]Přepravní soustava'!$C$49:$AL$49,1,MATCH(D$5,'[1]Přepravní soustava'!$C$1:$AL$1,0))/1000,"")</f>
        <v>-18.117960132158839</v>
      </c>
      <c r="E29" s="543">
        <f>IF(T!$A$4&gt;=E$42,-INDEX('[1]Přepravní soustava'!$C$49:$AL$49,1,MATCH(E$5,'[1]Přepravní soustava'!$C$1:$AL$1,0))/1000,"")</f>
        <v>-12.684402622247585</v>
      </c>
      <c r="F29" s="570">
        <f>IF(T!$A$4&gt;=F$42,-INDEX('[1]Přepravní soustava'!$C$49:$AL$49,1,MATCH(F$5,'[1]Přepravní soustava'!$C$1:$AL$1,0))/1000,"")</f>
        <v>-6.0139529915014425</v>
      </c>
      <c r="G29" s="543">
        <f>IF(T!$A$4&gt;=G$42,-INDEX('[1]Přepravní soustava'!$C$49:$AL$49,1,MATCH(G$5,'[1]Přepravní soustava'!$C$1:$AL$1,0))/1000,"")</f>
        <v>-22.13701290711484</v>
      </c>
      <c r="H29" s="530">
        <f>IF(T!$A$4&gt;=H$42,-INDEX('[1]Přepravní soustava'!$C$49:$AL$49,1,MATCH(H$5,'[1]Přepravní soustava'!$C$1:$AL$1,0))/1000,"")</f>
        <v>-16.169176930368703</v>
      </c>
      <c r="I29" s="545">
        <f>IF(T!$A$4&gt;=I$42,-INDEX('[1]Přepravní soustava'!$C$49:$AL$49,1,MATCH(I$5,'[1]Přepravní soustava'!$C$1:$AL$1,0))/1000,"")</f>
        <v>-15.995512653756887</v>
      </c>
      <c r="J29" s="530">
        <f>IF(T!$A$4&gt;=J$42,-INDEX('[1]Přepravní soustava'!$C$49:$AL$49,1,MATCH(J$5,'[1]Přepravní soustava'!$C$1:$AL$1,0))/1000,"")</f>
        <v>-8.1451462685563012</v>
      </c>
      <c r="K29" s="530">
        <f>IF(T!$A$4&gt;=K$42,-INDEX('[1]Přepravní soustava'!$C$49:$AL$49,1,MATCH(K$5,'[1]Přepravní soustava'!$C$1:$AL$1,0))/1000,"")</f>
        <v>-12.446211500637698</v>
      </c>
      <c r="L29" s="545">
        <f>IF(T!$A$4&gt;=L$42,-INDEX('[1]Přepravní soustava'!$C$49:$AL$49,1,MATCH(L$5,'[1]Přepravní soustava'!$C$1:$AL$1,0))/1000,"")</f>
        <v>-13.798279558220063</v>
      </c>
      <c r="M29" s="530" t="str">
        <f>IF(T!$A$4&gt;=M$42,-INDEX('[1]Přepravní soustava'!$C$49:$AL$49,1,MATCH(M$5,'[1]Přepravní soustava'!$C$1:$AL$1,0))/1000,"")</f>
        <v/>
      </c>
      <c r="N29" s="530" t="str">
        <f>IF(T!$A$4&gt;=N$42,-INDEX('[1]Přepravní soustava'!$C$49:$AL$49,1,MATCH(N$5,'[1]Přepravní soustava'!$C$1:$AL$1,0))/1000,"")</f>
        <v/>
      </c>
      <c r="O29" s="530" t="str">
        <f>IF(T!$A$4&gt;=O$42,-INDEX('[1]Přepravní soustava'!$C$49:$AL$49,1,MATCH(O$5,'[1]Přepravní soustava'!$C$1:$AL$1,0))/1000,"")</f>
        <v/>
      </c>
      <c r="P29" s="590">
        <f t="shared" si="0"/>
        <v>-125.50765556456237</v>
      </c>
    </row>
    <row r="30" spans="1:19" ht="18" customHeight="1" x14ac:dyDescent="0.2">
      <c r="A30" s="820" t="s">
        <v>260</v>
      </c>
      <c r="B30" s="820"/>
      <c r="C30" s="568" t="s">
        <v>303</v>
      </c>
      <c r="D30" s="543">
        <f>IF(T!$A$4&gt;=D$42,-INDEX('[1]Přepravní soustava'!$C$49:$AL$49,1,MATCH(D$5,'[1]Přepravní soustava'!$C$1:$AL$1,0)+1)/1000,"")</f>
        <v>-179.50949799999512</v>
      </c>
      <c r="E30" s="543">
        <f>IF(T!$A$4&gt;=E$42,-INDEX('[1]Přepravní soustava'!$C$49:$AL$49,1,MATCH(E$5,'[1]Přepravní soustava'!$C$1:$AL$1,0)+1)/1000,"")</f>
        <v>-129.10178000000303</v>
      </c>
      <c r="F30" s="570">
        <f>IF(T!$A$4&gt;=F$42,-INDEX('[1]Přepravní soustava'!$C$49:$AL$49,1,MATCH(F$5,'[1]Přepravní soustava'!$C$1:$AL$1,0)+1)/1000,"")</f>
        <v>-61.052843999995297</v>
      </c>
      <c r="G30" s="543">
        <f>IF(T!$A$4&gt;=G$42,-INDEX('[1]Přepravní soustava'!$C$49:$AL$49,1,MATCH(G$5,'[1]Přepravní soustava'!$C$1:$AL$1,0)+1)/1000,"")</f>
        <v>-234.87534299999791</v>
      </c>
      <c r="H30" s="530">
        <f>IF(T!$A$4&gt;=H$42,-INDEX('[1]Přepravní soustava'!$C$49:$AL$49,1,MATCH(H$5,'[1]Přepravní soustava'!$C$1:$AL$1,0)+1)/1000,"")</f>
        <v>-173.85355899999476</v>
      </c>
      <c r="I30" s="545">
        <f>IF(T!$A$4&gt;=I$42,-INDEX('[1]Přepravní soustava'!$C$49:$AL$49,1,MATCH(I$5,'[1]Přepravní soustava'!$C$1:$AL$1,0)+1)/1000,"")</f>
        <v>-162.29760973799975</v>
      </c>
      <c r="J30" s="530">
        <f>IF(T!$A$4&gt;=J$42,-INDEX('[1]Přepravní soustava'!$C$49:$AL$49,1,MATCH(J$5,'[1]Přepravní soustava'!$C$1:$AL$1,0)+1)/1000,"")</f>
        <v>-92.700816999996078</v>
      </c>
      <c r="K30" s="530">
        <f>IF(T!$A$4&gt;=K$42,-INDEX('[1]Přepravní soustava'!$C$49:$AL$49,1,MATCH(K$5,'[1]Přepravní soustava'!$C$1:$AL$1,0)+1)/1000,"")</f>
        <v>-125.44286900000181</v>
      </c>
      <c r="L30" s="545">
        <f>IF(T!$A$4&gt;=L$42,-INDEX('[1]Přepravní soustava'!$C$49:$AL$49,1,MATCH(L$5,'[1]Přepravní soustava'!$C$1:$AL$1,0)+1)/1000,"")</f>
        <v>-146.85614100000029</v>
      </c>
      <c r="M30" s="530" t="str">
        <f>IF(T!$A$4&gt;=M$42,-INDEX('[1]Přepravní soustava'!$C$49:$AL$49,1,MATCH(M$5,'[1]Přepravní soustava'!$C$1:$AL$1,0)+1)/1000,"")</f>
        <v/>
      </c>
      <c r="N30" s="530" t="str">
        <f>IF(T!$A$4&gt;=N$42,-INDEX('[1]Přepravní soustava'!$C$49:$AL$49,1,MATCH(N$5,'[1]Přepravní soustava'!$C$1:$AL$1,0)+1)/1000,"")</f>
        <v/>
      </c>
      <c r="O30" s="530" t="str">
        <f>IF(T!$A$4&gt;=O$42,-INDEX('[1]Přepravní soustava'!$C$49:$AL$49,1,MATCH(O$5,'[1]Přepravní soustava'!$C$1:$AL$1,0)+1)/1000,"")</f>
        <v/>
      </c>
      <c r="P30" s="590">
        <f t="shared" si="0"/>
        <v>-1305.690460737984</v>
      </c>
    </row>
    <row r="31" spans="1:19" ht="9" customHeight="1" x14ac:dyDescent="0.2">
      <c r="A31" s="506"/>
      <c r="B31" s="613"/>
      <c r="C31" s="573"/>
      <c r="D31" s="547"/>
      <c r="E31" s="547"/>
      <c r="F31" s="578"/>
      <c r="G31" s="547"/>
      <c r="H31" s="549"/>
      <c r="I31" s="550"/>
      <c r="J31" s="549"/>
      <c r="K31" s="549"/>
      <c r="L31" s="550"/>
      <c r="M31" s="549"/>
      <c r="N31" s="549"/>
      <c r="O31" s="549"/>
      <c r="P31" s="591"/>
    </row>
    <row r="32" spans="1:19" ht="9" customHeight="1" x14ac:dyDescent="0.2">
      <c r="A32" s="889"/>
      <c r="B32" s="614"/>
      <c r="C32" s="599"/>
      <c r="D32" s="600"/>
      <c r="E32" s="600"/>
      <c r="F32" s="601"/>
      <c r="G32" s="600"/>
      <c r="H32" s="600"/>
      <c r="I32" s="601"/>
      <c r="J32" s="600"/>
      <c r="K32" s="600"/>
      <c r="L32" s="601"/>
      <c r="M32" s="600"/>
      <c r="N32" s="600"/>
      <c r="O32" s="600"/>
      <c r="P32" s="595"/>
    </row>
    <row r="33" spans="1:16" ht="18" customHeight="1" x14ac:dyDescent="0.2">
      <c r="A33" s="887"/>
      <c r="B33" s="615" t="s">
        <v>85</v>
      </c>
      <c r="C33" s="566" t="s">
        <v>250</v>
      </c>
      <c r="D33" s="522">
        <f>IF(T!$A$4&gt;=D$42,D9+D17+D25+D29,"")</f>
        <v>1081.281222384222</v>
      </c>
      <c r="E33" s="523">
        <f>IF(T!$A$4&gt;=E$42,E9+E17+E25+E29,"")</f>
        <v>989.8668869294786</v>
      </c>
      <c r="F33" s="524">
        <f>IF(T!$A$4&gt;=F$42,F9+F17+F25+F29,"")</f>
        <v>865.53172392396289</v>
      </c>
      <c r="G33" s="523">
        <f>IF(T!$A$4&gt;=G$42,G9+G17+G25+G29,"")</f>
        <v>622.80943485640046</v>
      </c>
      <c r="H33" s="522">
        <f>IF(T!$A$4&gt;=H$42,H9+H17+H25+H29,"")</f>
        <v>404.77313244464204</v>
      </c>
      <c r="I33" s="525">
        <f>IF(T!$A$4&gt;=I$42,I9+I17+I25+I29,"")</f>
        <v>314.40897259545517</v>
      </c>
      <c r="J33" s="522">
        <f>IF(T!$A$4&gt;=J$42,J9+J17+J25+J29,"")</f>
        <v>298.38726067746859</v>
      </c>
      <c r="K33" s="522">
        <f>IF(T!$A$4&gt;=K$42,K9+K17+K25+K29,"")</f>
        <v>277.51126817035498</v>
      </c>
      <c r="L33" s="525">
        <f>IF(T!$A$4&gt;=L$42,L9+L17+L25+L29,"")</f>
        <v>352.96125315228124</v>
      </c>
      <c r="M33" s="522" t="str">
        <f>IF(T!$A$4&gt;=M$42,M9+M17+M25+M29,"")</f>
        <v/>
      </c>
      <c r="N33" s="522" t="str">
        <f>IF(T!$A$4&gt;=N$42,N9+N17+N25+N29,"")</f>
        <v/>
      </c>
      <c r="O33" s="522" t="str">
        <f>IF(T!$A$4&gt;=O$42,O9+O17+O25+O29,"")</f>
        <v/>
      </c>
      <c r="P33" s="595">
        <f t="shared" si="0"/>
        <v>5207.5311551342666</v>
      </c>
    </row>
    <row r="34" spans="1:16" ht="18" customHeight="1" x14ac:dyDescent="0.2">
      <c r="A34" s="887"/>
      <c r="B34" s="615" t="s">
        <v>85</v>
      </c>
      <c r="C34" s="566" t="s">
        <v>303</v>
      </c>
      <c r="D34" s="523">
        <f>IF(T!$A$4&gt;=D$42,D12+D21+D26+D30,"")</f>
        <v>11492.758327553393</v>
      </c>
      <c r="E34" s="523">
        <f>IF(T!$A$4&gt;=E$42,E12+E21+E26+E30,"")</f>
        <v>10525.401381702706</v>
      </c>
      <c r="F34" s="524">
        <f>IF(T!$A$4&gt;=F$42,F12+F21+F26+F30,"")</f>
        <v>9201.9028546028949</v>
      </c>
      <c r="G34" s="523">
        <f>IF(T!$A$4&gt;=G$42,G12+G21+G26+G30,"")</f>
        <v>6626.1087584350007</v>
      </c>
      <c r="H34" s="522">
        <f>IF(T!$A$4&gt;=H$42,H12+H21+H26+H30,"")</f>
        <v>4332.1299216519965</v>
      </c>
      <c r="I34" s="525">
        <f>IF(T!$A$4&gt;=I$42,I12+I21+I26+I30,"")</f>
        <v>3367.3131419259998</v>
      </c>
      <c r="J34" s="522">
        <f>IF(T!$A$4&gt;=J$42,J12+J21+J26+J30,"")</f>
        <v>3186.2045214458958</v>
      </c>
      <c r="K34" s="522">
        <f>IF(T!$A$4&gt;=K$42,K12+K21+K26+K30,"")</f>
        <v>2972.6920518557972</v>
      </c>
      <c r="L34" s="525">
        <f>IF(T!$A$4&gt;=L$42,L12+L21+L26+L30,"")</f>
        <v>3775.5579338133971</v>
      </c>
      <c r="M34" s="522" t="str">
        <f>IF(T!$A$4&gt;=M$42,M12+M21+M26+M30,"")</f>
        <v/>
      </c>
      <c r="N34" s="522" t="str">
        <f>IF(T!$A$4&gt;=N$42,N12+N21+N26+N30,"")</f>
        <v/>
      </c>
      <c r="O34" s="522" t="str">
        <f>IF(T!$A$4&gt;=O$42,O12+O21+O26+O30,"")</f>
        <v/>
      </c>
      <c r="P34" s="595">
        <f t="shared" si="0"/>
        <v>55480.068892987088</v>
      </c>
    </row>
    <row r="35" spans="1:16" ht="9" customHeight="1" x14ac:dyDescent="0.2">
      <c r="A35" s="888"/>
      <c r="B35" s="616"/>
      <c r="C35" s="603"/>
      <c r="D35" s="604"/>
      <c r="E35" s="604"/>
      <c r="F35" s="605"/>
      <c r="G35" s="604"/>
      <c r="H35" s="606"/>
      <c r="I35" s="607"/>
      <c r="J35" s="606"/>
      <c r="K35" s="606"/>
      <c r="L35" s="607"/>
      <c r="M35" s="606"/>
      <c r="N35" s="606"/>
      <c r="O35" s="606"/>
      <c r="P35" s="608"/>
    </row>
    <row r="36" spans="1:16" x14ac:dyDescent="0.2">
      <c r="A36" s="39"/>
      <c r="B36" s="505"/>
      <c r="C36" s="580"/>
      <c r="G36" s="510"/>
      <c r="H36" s="505"/>
      <c r="I36" s="504"/>
      <c r="M36" s="510"/>
      <c r="N36" s="505"/>
      <c r="O36" s="505"/>
      <c r="P36" s="612"/>
    </row>
    <row r="37" spans="1:16" x14ac:dyDescent="0.2">
      <c r="P37" s="594"/>
    </row>
    <row r="42" spans="1:16" x14ac:dyDescent="0.2">
      <c r="E42" s="690">
        <v>2</v>
      </c>
      <c r="F42" s="690">
        <v>3</v>
      </c>
      <c r="G42" s="690">
        <v>4</v>
      </c>
      <c r="H42" s="690">
        <v>5</v>
      </c>
      <c r="I42" s="690">
        <v>6</v>
      </c>
      <c r="J42" s="690">
        <v>7</v>
      </c>
      <c r="K42" s="690">
        <v>8</v>
      </c>
      <c r="L42" s="690">
        <v>9</v>
      </c>
      <c r="M42" s="690">
        <v>10</v>
      </c>
      <c r="N42" s="690">
        <v>11</v>
      </c>
      <c r="O42" s="690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7" t="s">
        <v>56</v>
      </c>
      <c r="Q1" s="827"/>
    </row>
    <row r="2" spans="1:18" ht="15" customHeight="1" x14ac:dyDescent="0.25">
      <c r="A2" s="890" t="s">
        <v>48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</row>
    <row r="3" spans="1:18" ht="15" customHeight="1" x14ac:dyDescent="0.25">
      <c r="A3" s="893">
        <f>T!$I$21</f>
        <v>2015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4"/>
      <c r="P5" s="891" t="s">
        <v>78</v>
      </c>
      <c r="Q5" s="54"/>
    </row>
    <row r="6" spans="1:18" ht="15" customHeight="1" thickBot="1" x14ac:dyDescent="0.25">
      <c r="A6" s="118" t="s">
        <v>128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2"/>
      <c r="Q6" s="111" t="s">
        <v>79</v>
      </c>
      <c r="R6" s="16"/>
    </row>
    <row r="7" spans="1:18" ht="15" customHeight="1" x14ac:dyDescent="0.2">
      <c r="A7" s="637" t="s">
        <v>6</v>
      </c>
      <c r="B7" s="638">
        <f>IF(T!$A$4&gt;=MONTH(B$6&amp;$A$3),'[11]Podklady MZ'!B3,"")</f>
        <v>281</v>
      </c>
      <c r="C7" s="639">
        <f>IF(T!$A$4&gt;=MONTH(C$6&amp;$A$3),'[11]Podklady MZ'!C3,"")</f>
        <v>10</v>
      </c>
      <c r="D7" s="639">
        <f>IF(T!$A$4&gt;=MONTH(D$6&amp;$A$3),'[11]Podklady MZ'!D3,"")</f>
        <v>3</v>
      </c>
      <c r="E7" s="639">
        <f>IF(T!$A$4&gt;=MONTH(E$6&amp;$A$3),'[11]Podklady MZ'!E3,"")</f>
        <v>2</v>
      </c>
      <c r="F7" s="639">
        <f>IF(T!$A$4&gt;=MONTH(F$6&amp;$A$3),'[11]Podklady MZ'!F3,"")</f>
        <v>1</v>
      </c>
      <c r="G7" s="639">
        <f>IF(T!$A$4&gt;=MONTH(G$6&amp;$A$3),'[11]Podklady MZ'!G3,"")</f>
        <v>3</v>
      </c>
      <c r="H7" s="639">
        <f>IF(T!$A$4&gt;=MONTH(H$6&amp;$A$3),'[11]Podklady MZ'!H3,"")</f>
        <v>6</v>
      </c>
      <c r="I7" s="639">
        <f>IF(T!$A$4&gt;=MONTH(I$6&amp;$A$3),'[11]Podklady MZ'!I3,"")</f>
        <v>2</v>
      </c>
      <c r="J7" s="639">
        <f>IF(T!$A$4&gt;=MONTH(J$6&amp;$A$3),'[11]Podklady MZ'!J3,"")</f>
        <v>2</v>
      </c>
      <c r="K7" s="639" t="str">
        <f>IF(T!$A$4&gt;=MONTH(K$6&amp;$A$3),'[11]Podklady MZ'!K3,"")</f>
        <v/>
      </c>
      <c r="L7" s="639" t="str">
        <f>IF(T!$A$4&gt;=MONTH(L$6&amp;$A$3),'[11]Podklady MZ'!L3,"")</f>
        <v/>
      </c>
      <c r="M7" s="640" t="str">
        <f>IF(T!$A$4&gt;=MONTH(M$6&amp;$A$3),'[11]Podklady MZ'!M3,"")</f>
        <v/>
      </c>
      <c r="N7" s="641">
        <f>SUM(B7:M7)</f>
        <v>310</v>
      </c>
      <c r="O7" s="53"/>
      <c r="P7" s="642">
        <f>'5'!D11</f>
        <v>1595</v>
      </c>
      <c r="Q7" s="643">
        <f>N7/P7</f>
        <v>0.19435736677115986</v>
      </c>
    </row>
    <row r="8" spans="1:18" ht="15" customHeight="1" x14ac:dyDescent="0.2">
      <c r="A8" s="637" t="s">
        <v>7</v>
      </c>
      <c r="B8" s="638">
        <f>IF(T!$A$4&gt;=MONTH(B$6&amp;$A$3),'[11]Podklady MZ'!B4,"")</f>
        <v>1043</v>
      </c>
      <c r="C8" s="639">
        <f>IF(T!$A$4&gt;=MONTH(C$6&amp;$A$3),'[11]Podklady MZ'!C4,"")</f>
        <v>27</v>
      </c>
      <c r="D8" s="639">
        <f>IF(T!$A$4&gt;=MONTH(D$6&amp;$A$3),'[11]Podklady MZ'!D4,"")</f>
        <v>19</v>
      </c>
      <c r="E8" s="639">
        <f>IF(T!$A$4&gt;=MONTH(E$6&amp;$A$3),'[11]Podklady MZ'!E4,"")</f>
        <v>33</v>
      </c>
      <c r="F8" s="639">
        <f>IF(T!$A$4&gt;=MONTH(F$6&amp;$A$3),'[11]Podklady MZ'!F4,"")</f>
        <v>20</v>
      </c>
      <c r="G8" s="639">
        <f>IF(T!$A$4&gt;=MONTH(G$6&amp;$A$3),'[11]Podklady MZ'!G4,"")</f>
        <v>18</v>
      </c>
      <c r="H8" s="639">
        <f>IF(T!$A$4&gt;=MONTH(H$6&amp;$A$3),'[11]Podklady MZ'!H4,"")</f>
        <v>59</v>
      </c>
      <c r="I8" s="639">
        <f>IF(T!$A$4&gt;=MONTH(I$6&amp;$A$3),'[11]Podklady MZ'!I4,"")</f>
        <v>19</v>
      </c>
      <c r="J8" s="639">
        <f>IF(T!$A$4&gt;=MONTH(J$6&amp;$A$3),'[11]Podklady MZ'!J4,"")</f>
        <v>28</v>
      </c>
      <c r="K8" s="639" t="str">
        <f>IF(T!$A$4&gt;=MONTH(K$6&amp;$A$3),'[11]Podklady MZ'!K4,"")</f>
        <v/>
      </c>
      <c r="L8" s="639" t="str">
        <f>IF(T!$A$4&gt;=MONTH(L$6&amp;$A$3),'[11]Podklady MZ'!L4,"")</f>
        <v/>
      </c>
      <c r="M8" s="640" t="str">
        <f>IF(T!$A$4&gt;=MONTH(M$6&amp;$A$3),'[11]Podklady MZ'!M4,"")</f>
        <v/>
      </c>
      <c r="N8" s="641">
        <f t="shared" ref="N8:N10" si="0">SUM(B8:M8)</f>
        <v>1266</v>
      </c>
      <c r="O8" s="53"/>
      <c r="P8" s="642">
        <f>'5'!D12</f>
        <v>6792</v>
      </c>
      <c r="Q8" s="643">
        <f>N8/P8</f>
        <v>0.18639575971731448</v>
      </c>
    </row>
    <row r="9" spans="1:18" ht="15" customHeight="1" x14ac:dyDescent="0.2">
      <c r="A9" s="637" t="s">
        <v>8</v>
      </c>
      <c r="B9" s="638">
        <f>IF(T!$A$4&gt;=MONTH(B$6&amp;$A$3),'[11]Podklady MZ'!B5,"")</f>
        <v>10986</v>
      </c>
      <c r="C9" s="639">
        <f>IF(T!$A$4&gt;=MONTH(C$6&amp;$A$3),'[11]Podklady MZ'!C5,"")</f>
        <v>829</v>
      </c>
      <c r="D9" s="639">
        <f>IF(T!$A$4&gt;=MONTH(D$6&amp;$A$3),'[11]Podklady MZ'!D5,"")</f>
        <v>873</v>
      </c>
      <c r="E9" s="639">
        <f>IF(T!$A$4&gt;=MONTH(E$6&amp;$A$3),'[11]Podklady MZ'!E5,"")</f>
        <v>840</v>
      </c>
      <c r="F9" s="639">
        <f>IF(T!$A$4&gt;=MONTH(F$6&amp;$A$3),'[11]Podklady MZ'!F5,"")</f>
        <v>1284</v>
      </c>
      <c r="G9" s="639">
        <f>IF(T!$A$4&gt;=MONTH(G$6&amp;$A$3),'[11]Podklady MZ'!G5,"")</f>
        <v>725</v>
      </c>
      <c r="H9" s="639">
        <f>IF(T!$A$4&gt;=MONTH(H$6&amp;$A$3),'[11]Podklady MZ'!H5,"")</f>
        <v>1062</v>
      </c>
      <c r="I9" s="639">
        <f>IF(T!$A$4&gt;=MONTH(I$6&amp;$A$3),'[11]Podklady MZ'!I5,"")</f>
        <v>982</v>
      </c>
      <c r="J9" s="639">
        <f>IF(T!$A$4&gt;=MONTH(J$6&amp;$A$3),'[11]Podklady MZ'!J5,"")</f>
        <v>857</v>
      </c>
      <c r="K9" s="639" t="str">
        <f>IF(T!$A$4&gt;=MONTH(K$6&amp;$A$3),'[11]Podklady MZ'!K5,"")</f>
        <v/>
      </c>
      <c r="L9" s="639" t="str">
        <f>IF(T!$A$4&gt;=MONTH(L$6&amp;$A$3),'[11]Podklady MZ'!L5,"")</f>
        <v/>
      </c>
      <c r="M9" s="640" t="str">
        <f>IF(T!$A$4&gt;=MONTH(M$6&amp;$A$3),'[11]Podklady MZ'!M5,"")</f>
        <v/>
      </c>
      <c r="N9" s="641">
        <f t="shared" si="0"/>
        <v>18438</v>
      </c>
      <c r="O9" s="53"/>
      <c r="P9" s="642">
        <f>'5'!D13</f>
        <v>198280</v>
      </c>
      <c r="Q9" s="643">
        <f t="shared" ref="Q9:Q10" si="1">N9/P9</f>
        <v>9.2989711519063947E-2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>
        <f>IF(T!$A$4&gt;=MONTH(G$6&amp;$A$3),'[11]Podklady MZ'!G6,"")</f>
        <v>11609</v>
      </c>
      <c r="H10" s="113">
        <f>IF(T!$A$4&gt;=MONTH(H$6&amp;$A$3),'[11]Podklady MZ'!H6,"")</f>
        <v>11190</v>
      </c>
      <c r="I10" s="113">
        <f>IF(T!$A$4&gt;=MONTH(I$6&amp;$A$3),'[11]Podklady MZ'!I6,"")</f>
        <v>11846</v>
      </c>
      <c r="J10" s="113">
        <f>IF(T!$A$4&gt;=MONTH(J$6&amp;$A$3),'[11]Podklady MZ'!J6,"")</f>
        <v>12336</v>
      </c>
      <c r="K10" s="113" t="str">
        <f>IF(T!$A$4&gt;=MONTH(K$6&amp;$A$3),'[11]Podklady MZ'!K6,"")</f>
        <v/>
      </c>
      <c r="L10" s="113" t="str">
        <f>IF(T!$A$4&gt;=MONTH(L$6&amp;$A$3),'[11]Podklady MZ'!L6,"")</f>
        <v/>
      </c>
      <c r="M10" s="114" t="str">
        <f>IF(T!$A$4&gt;=MONTH(M$6&amp;$A$3),'[11]Podklady MZ'!M6,"")</f>
        <v/>
      </c>
      <c r="N10" s="115">
        <f t="shared" si="0"/>
        <v>116934</v>
      </c>
      <c r="O10" s="53"/>
      <c r="P10" s="116">
        <f>'5'!D14</f>
        <v>2632371</v>
      </c>
      <c r="Q10" s="117">
        <f t="shared" si="1"/>
        <v>4.4421550001880437E-2</v>
      </c>
    </row>
    <row r="11" spans="1:18" ht="15" customHeight="1" x14ac:dyDescent="0.2">
      <c r="A11" s="491" t="s">
        <v>2</v>
      </c>
      <c r="B11" s="492">
        <f>IF(T!$A$4&gt;=MONTH(B$6&amp;$A$3),SUM(B7:B10),"")</f>
        <v>29874</v>
      </c>
      <c r="C11" s="493">
        <f>IF(T!$A$4&gt;=MONTH(C$6&amp;$A$3),SUM(C7:C10),"")</f>
        <v>11404</v>
      </c>
      <c r="D11" s="493">
        <f>IF(T!$A$4&gt;=MONTH(D$6&amp;$A$3),SUM(D7:D10),"")</f>
        <v>11848</v>
      </c>
      <c r="E11" s="493">
        <f>IF(T!$A$4&gt;=MONTH(E$6&amp;$A$3),SUM(E7:E10),"")</f>
        <v>12085</v>
      </c>
      <c r="F11" s="493">
        <f>IF(T!$A$4&gt;=MONTH(F$6&amp;$A$3),SUM(F7:F10),"")</f>
        <v>20993</v>
      </c>
      <c r="G11" s="493">
        <f>IF(T!$A$4&gt;=MONTH(G$6&amp;$A$3),SUM(G7:G10),"")</f>
        <v>12355</v>
      </c>
      <c r="H11" s="493">
        <f>IF(T!$A$4&gt;=MONTH(H$6&amp;$A$3),SUM(H7:H10),"")</f>
        <v>12317</v>
      </c>
      <c r="I11" s="493">
        <f>IF(T!$A$4&gt;=MONTH(I$6&amp;$A$3),SUM(I7:I10),"")</f>
        <v>12849</v>
      </c>
      <c r="J11" s="493">
        <f>IF(T!$A$4&gt;=MONTH(J$6&amp;$A$3),SUM(J7:J10),"")</f>
        <v>13223</v>
      </c>
      <c r="K11" s="493" t="str">
        <f>IF(T!$A$4&gt;=MONTH(K$6&amp;$A$3),SUM(K7:K10),"")</f>
        <v/>
      </c>
      <c r="L11" s="493" t="str">
        <f>IF(T!$A$4&gt;=MONTH(L$6&amp;$A$3),SUM(L7:L10),"")</f>
        <v/>
      </c>
      <c r="M11" s="494" t="str">
        <f>IF(T!$A$4&gt;=MONTH(M$6&amp;$A$3),SUM(M7:M10),"")</f>
        <v/>
      </c>
      <c r="N11" s="495">
        <f>SUM(B11:M11)</f>
        <v>136948</v>
      </c>
      <c r="P11" s="490">
        <f>'5'!D15</f>
        <v>2839038</v>
      </c>
      <c r="Q11" s="496">
        <f>N11/P11</f>
        <v>4.8237466353039306E-2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7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6" t="s">
        <v>57</v>
      </c>
      <c r="O1" s="856"/>
      <c r="T1" s="75">
        <f>A31</f>
        <v>2014</v>
      </c>
      <c r="U1" s="689">
        <f>A27</f>
        <v>2015</v>
      </c>
      <c r="V1" s="689">
        <f>A27</f>
        <v>2015</v>
      </c>
      <c r="W1" s="689" t="s">
        <v>315</v>
      </c>
    </row>
    <row r="2" spans="1:23" ht="15.75" x14ac:dyDescent="0.25">
      <c r="A2" s="890" t="str">
        <f>"Porovnání denní spotřeby zemního plynu v ČR mezi roky "&amp;A31&amp;" a "&amp;A27</f>
        <v>Porovnání denní spotřeby zemního plynu v ČR mezi roky 2014 a 2015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902" t="s">
        <v>196</v>
      </c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902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905">
        <f>T!$I$21</f>
        <v>2015</v>
      </c>
      <c r="B27" s="903" t="s">
        <v>197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10.480260882570418</v>
      </c>
      <c r="J27" s="185">
        <f>'[8]Podklady MZ'!J4</f>
        <v>9.6253675587711207</v>
      </c>
      <c r="K27" s="185">
        <f>'[8]Podklady MZ'!K4</f>
        <v>8.9519744586098362</v>
      </c>
      <c r="L27" s="185">
        <f>'[8]Podklady MZ'!L4</f>
        <v>11.765359870469158</v>
      </c>
      <c r="M27" s="185">
        <f>'[8]Podklady MZ'!M4</f>
        <v>21.463514610468653</v>
      </c>
      <c r="N27" s="185">
        <f>'[8]Podklady MZ'!N4</f>
        <v>30.666666666666654</v>
      </c>
      <c r="O27" s="186">
        <f>'[8]Podklady MZ'!O4</f>
        <v>34.838709677419359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906"/>
      <c r="B28" s="904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112.2437871833333</v>
      </c>
      <c r="J28" s="188">
        <f>'[8]Podklady MZ'!J5</f>
        <v>102.78078850322584</v>
      </c>
      <c r="K28" s="188">
        <f>'[8]Podklady MZ'!K5</f>
        <v>95.903887767741921</v>
      </c>
      <c r="L28" s="188">
        <f>'[8]Podklady MZ'!L5</f>
        <v>125.85194273333333</v>
      </c>
      <c r="M28" s="188">
        <f>'[8]Podklady MZ'!M5</f>
        <v>227.51325487096778</v>
      </c>
      <c r="N28" s="188">
        <f>'[8]Podklady MZ'!N5</f>
        <v>325.66666666666663</v>
      </c>
      <c r="O28" s="189">
        <f>'[8]Podklady MZ'!O5</f>
        <v>370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906"/>
      <c r="B29" s="908" t="s">
        <v>129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0.16364182324992455</v>
      </c>
      <c r="J29" s="185">
        <f>'[8]Podklady MZ'!J6</f>
        <v>2.8467161555886154E-2</v>
      </c>
      <c r="K29" s="185">
        <f>'[8]Podklady MZ'!K6</f>
        <v>0.19659042148390893</v>
      </c>
      <c r="L29" s="185">
        <f>'[8]Podklady MZ'!L6</f>
        <v>0.42902119788235332</v>
      </c>
      <c r="M29" s="185">
        <f>'[8]Podklady MZ'!M6</f>
        <v>1.192339692760644</v>
      </c>
      <c r="N29" s="185">
        <f>'[8]Podklady MZ'!N6</f>
        <v>1.41</v>
      </c>
      <c r="O29" s="186">
        <f>'[8]Podklady MZ'!O6</f>
        <v>1.48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7"/>
      <c r="B30" s="909"/>
      <c r="C30" s="160" t="s">
        <v>202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1.7526069426100241</v>
      </c>
      <c r="J30" s="188">
        <f>'[8]Podklady MZ'!J7</f>
        <v>0.30397564490890416</v>
      </c>
      <c r="K30" s="188">
        <f>'[8]Podklady MZ'!K7</f>
        <v>2.106103609363259</v>
      </c>
      <c r="L30" s="188">
        <f>'[8]Podklady MZ'!L7</f>
        <v>4.5891627473969443</v>
      </c>
      <c r="M30" s="188">
        <f>'[8]Podklady MZ'!M7</f>
        <v>12.638800743262831</v>
      </c>
      <c r="N30" s="188">
        <f>'[8]Podklady MZ'!N7</f>
        <v>14.973586956521745</v>
      </c>
      <c r="O30" s="189">
        <f>'[8]Podklady MZ'!O7</f>
        <v>15.718148148148146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896">
        <f>A27-1</f>
        <v>2014</v>
      </c>
      <c r="B31" s="898" t="s">
        <v>197</v>
      </c>
      <c r="C31" s="172" t="s">
        <v>198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896"/>
      <c r="B32" s="899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896"/>
      <c r="B33" s="900" t="s">
        <v>129</v>
      </c>
      <c r="C33" s="164" t="s">
        <v>199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897"/>
      <c r="B34" s="901"/>
      <c r="C34" s="168" t="s">
        <v>202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895" t="s">
        <v>308</v>
      </c>
      <c r="B38" s="895"/>
      <c r="C38" s="895"/>
      <c r="D38" s="895"/>
      <c r="E38" s="895"/>
      <c r="F38" s="895"/>
      <c r="G38" s="895"/>
      <c r="H38" s="895"/>
      <c r="I38" s="895"/>
      <c r="J38" s="895"/>
      <c r="K38" s="895"/>
      <c r="L38" s="895"/>
      <c r="M38" s="895"/>
      <c r="N38" s="895"/>
      <c r="O38" s="895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895"/>
      <c r="B39" s="895"/>
      <c r="C39" s="895"/>
      <c r="D39" s="895"/>
      <c r="E39" s="895"/>
      <c r="F39" s="895"/>
      <c r="G39" s="644"/>
      <c r="H39" s="644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>
        <f>IF(T!$A$4&gt;=MONTH(S153),VLOOKUP(S153,'[8]Podklady MZ'!$R$2:$S$367,2,FALSE),NA())</f>
        <v>11.138553848757228</v>
      </c>
      <c r="V153" s="176">
        <f>INDEX([5]PT!$AF$16:$AF$381,DATE(2016,MONTH(S153),DAY(S153))-DATE(2016,1,1)+1,1)</f>
        <v>18.2</v>
      </c>
      <c r="W153" s="176" t="e">
        <f>IF(T!$A$4&lt;MONTH(S153),VLOOKUP(S153,'[8]Podklady MZ'!$R$2:$S$367,2,FALSE),NA())</f>
        <v>#N/A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>
        <f>IF(T!$A$4&gt;=MONTH(S154),VLOOKUP(S154,'[8]Podklady MZ'!$R$2:$S$367,2,FALSE),NA())</f>
        <v>11.003023012763272</v>
      </c>
      <c r="V154" s="176">
        <f>INDEX([5]PT!$AF$16:$AF$381,DATE(2016,MONTH(S154),DAY(S154))-DATE(2016,1,1)+1,1)</f>
        <v>19.600000000000001</v>
      </c>
      <c r="W154" s="176" t="e">
        <f>IF(T!$A$4&lt;MONTH(S154),VLOOKUP(S154,'[8]Podklady MZ'!$R$2:$S$367,2,FALSE),NA())</f>
        <v>#N/A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>
        <f>IF(T!$A$4&gt;=MONTH(S155),VLOOKUP(S155,'[8]Podklady MZ'!$R$2:$S$367,2,FALSE),NA())</f>
        <v>10.573388433417819</v>
      </c>
      <c r="V155" s="176">
        <f>INDEX([5]PT!$AF$16:$AF$381,DATE(2016,MONTH(S155),DAY(S155))-DATE(2016,1,1)+1,1)</f>
        <v>22.1</v>
      </c>
      <c r="W155" s="176" t="e">
        <f>IF(T!$A$4&lt;MONTH(S155),VLOOKUP(S155,'[8]Podklady MZ'!$R$2:$S$367,2,FALSE),NA())</f>
        <v>#N/A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>
        <f>IF(T!$A$4&gt;=MONTH(S156),VLOOKUP(S156,'[8]Podklady MZ'!$R$2:$S$367,2,FALSE),NA())</f>
        <v>10.746849399797272</v>
      </c>
      <c r="V156" s="176">
        <f>INDEX([5]PT!$AF$16:$AF$381,DATE(2016,MONTH(S156),DAY(S156))-DATE(2016,1,1)+1,1)</f>
        <v>18.100000000000001</v>
      </c>
      <c r="W156" s="176" t="e">
        <f>IF(T!$A$4&lt;MONTH(S156),VLOOKUP(S156,'[8]Podklady MZ'!$R$2:$S$367,2,FALSE),NA())</f>
        <v>#N/A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>
        <f>IF(T!$A$4&gt;=MONTH(S157),VLOOKUP(S157,'[8]Podklady MZ'!$R$2:$S$367,2,FALSE),NA())</f>
        <v>10.160940166784341</v>
      </c>
      <c r="V157" s="176">
        <f>INDEX([5]PT!$AF$16:$AF$381,DATE(2016,MONTH(S157),DAY(S157))-DATE(2016,1,1)+1,1)</f>
        <v>19</v>
      </c>
      <c r="W157" s="176" t="e">
        <f>IF(T!$A$4&lt;MONTH(S157),VLOOKUP(S157,'[8]Podklady MZ'!$R$2:$S$367,2,FALSE),NA())</f>
        <v>#N/A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>
        <f>IF(T!$A$4&gt;=MONTH(S158),VLOOKUP(S158,'[8]Podklady MZ'!$R$2:$S$367,2,FALSE),NA())</f>
        <v>8.219274334229274</v>
      </c>
      <c r="V158" s="176">
        <f>INDEX([5]PT!$AF$16:$AF$381,DATE(2016,MONTH(S158),DAY(S158))-DATE(2016,1,1)+1,1)</f>
        <v>22</v>
      </c>
      <c r="W158" s="176" t="e">
        <f>IF(T!$A$4&lt;MONTH(S158),VLOOKUP(S158,'[8]Podklady MZ'!$R$2:$S$367,2,FALSE),NA())</f>
        <v>#N/A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>
        <f>IF(T!$A$4&gt;=MONTH(S159),VLOOKUP(S159,'[8]Podklady MZ'!$R$2:$S$367,2,FALSE),NA())</f>
        <v>8.7818334472753126</v>
      </c>
      <c r="V159" s="176">
        <f>INDEX([5]PT!$AF$16:$AF$381,DATE(2016,MONTH(S159),DAY(S159))-DATE(2016,1,1)+1,1)</f>
        <v>21.1</v>
      </c>
      <c r="W159" s="176" t="e">
        <f>IF(T!$A$4&lt;MONTH(S159),VLOOKUP(S159,'[8]Podklady MZ'!$R$2:$S$367,2,FALSE),NA())</f>
        <v>#N/A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>
        <f>IF(T!$A$4&gt;=MONTH(S160),VLOOKUP(S160,'[8]Podklady MZ'!$R$2:$S$367,2,FALSE),NA())</f>
        <v>10.694449652365083</v>
      </c>
      <c r="V160" s="176">
        <f>INDEX([5]PT!$AF$16:$AF$381,DATE(2016,MONTH(S160),DAY(S160))-DATE(2016,1,1)+1,1)</f>
        <v>17.3</v>
      </c>
      <c r="W160" s="176" t="e">
        <f>IF(T!$A$4&lt;MONTH(S160),VLOOKUP(S160,'[8]Podklady MZ'!$R$2:$S$367,2,FALSE),NA())</f>
        <v>#N/A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>
        <f>IF(T!$A$4&gt;=MONTH(S161),VLOOKUP(S161,'[8]Podklady MZ'!$R$2:$S$367,2,FALSE),NA())</f>
        <v>11.318170860413256</v>
      </c>
      <c r="V161" s="176">
        <f>INDEX([5]PT!$AF$16:$AF$381,DATE(2016,MONTH(S161),DAY(S161))-DATE(2016,1,1)+1,1)</f>
        <v>13.5</v>
      </c>
      <c r="W161" s="176" t="e">
        <f>IF(T!$A$4&lt;MONTH(S161),VLOOKUP(S161,'[8]Podklady MZ'!$R$2:$S$367,2,FALSE),NA())</f>
        <v>#N/A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>
        <f>IF(T!$A$4&gt;=MONTH(S162),VLOOKUP(S162,'[8]Podklady MZ'!$R$2:$S$367,2,FALSE),NA())</f>
        <v>10.856343232966216</v>
      </c>
      <c r="V162" s="176">
        <f>INDEX([5]PT!$AF$16:$AF$381,DATE(2016,MONTH(S162),DAY(S162))-DATE(2016,1,1)+1,1)</f>
        <v>15.6</v>
      </c>
      <c r="W162" s="176" t="e">
        <f>IF(T!$A$4&lt;MONTH(S162),VLOOKUP(S162,'[8]Podklady MZ'!$R$2:$S$367,2,FALSE),NA())</f>
        <v>#N/A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>
        <f>IF(T!$A$4&gt;=MONTH(S163),VLOOKUP(S163,'[8]Podklady MZ'!$R$2:$S$367,2,FALSE),NA())</f>
        <v>10.592796184617917</v>
      </c>
      <c r="V163" s="176">
        <f>INDEX([5]PT!$AF$16:$AF$381,DATE(2016,MONTH(S163),DAY(S163))-DATE(2016,1,1)+1,1)</f>
        <v>18.399999999999999</v>
      </c>
      <c r="W163" s="176" t="e">
        <f>IF(T!$A$4&lt;MONTH(S163),VLOOKUP(S163,'[8]Podklady MZ'!$R$2:$S$367,2,FALSE),NA())</f>
        <v>#N/A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>
        <f>IF(T!$A$4&gt;=MONTH(S164),VLOOKUP(S164,'[8]Podklady MZ'!$R$2:$S$367,2,FALSE),NA())</f>
        <v>9.7578283784183615</v>
      </c>
      <c r="V164" s="176">
        <f>INDEX([5]PT!$AF$16:$AF$381,DATE(2016,MONTH(S164),DAY(S164))-DATE(2016,1,1)+1,1)</f>
        <v>22.2</v>
      </c>
      <c r="W164" s="176" t="e">
        <f>IF(T!$A$4&lt;MONTH(S164),VLOOKUP(S164,'[8]Podklady MZ'!$R$2:$S$367,2,FALSE),NA())</f>
        <v>#N/A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>
        <f>IF(T!$A$4&gt;=MONTH(S165),VLOOKUP(S165,'[8]Podklady MZ'!$R$2:$S$367,2,FALSE),NA())</f>
        <v>8.0874519176162973</v>
      </c>
      <c r="V165" s="176">
        <f>INDEX([5]PT!$AF$16:$AF$381,DATE(2016,MONTH(S165),DAY(S165))-DATE(2016,1,1)+1,1)</f>
        <v>21</v>
      </c>
      <c r="W165" s="176" t="e">
        <f>IF(T!$A$4&lt;MONTH(S165),VLOOKUP(S165,'[8]Podklady MZ'!$R$2:$S$367,2,FALSE),NA())</f>
        <v>#N/A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>
        <f>IF(T!$A$4&gt;=MONTH(S166),VLOOKUP(S166,'[8]Podklady MZ'!$R$2:$S$367,2,FALSE),NA())</f>
        <v>8.3527232431608116</v>
      </c>
      <c r="V166" s="176">
        <f>INDEX([5]PT!$AF$16:$AF$381,DATE(2016,MONTH(S166),DAY(S166))-DATE(2016,1,1)+1,1)</f>
        <v>19.5</v>
      </c>
      <c r="W166" s="176" t="e">
        <f>IF(T!$A$4&lt;MONTH(S166),VLOOKUP(S166,'[8]Podklady MZ'!$R$2:$S$367,2,FALSE),NA())</f>
        <v>#N/A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>
        <f>IF(T!$A$4&gt;=MONTH(S167),VLOOKUP(S167,'[8]Podklady MZ'!$R$2:$S$367,2,FALSE),NA())</f>
        <v>10.533784697160701</v>
      </c>
      <c r="V167" s="176">
        <f>INDEX([5]PT!$AF$16:$AF$381,DATE(2016,MONTH(S167),DAY(S167))-DATE(2016,1,1)+1,1)</f>
        <v>16</v>
      </c>
      <c r="W167" s="176" t="e">
        <f>IF(T!$A$4&lt;MONTH(S167),VLOOKUP(S167,'[8]Podklady MZ'!$R$2:$S$367,2,FALSE),NA())</f>
        <v>#N/A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>
        <f>IF(T!$A$4&gt;=MONTH(S168),VLOOKUP(S168,'[8]Podklady MZ'!$R$2:$S$367,2,FALSE),NA())</f>
        <v>11.051272942360116</v>
      </c>
      <c r="V168" s="176">
        <f>INDEX([5]PT!$AF$16:$AF$381,DATE(2016,MONTH(S168),DAY(S168))-DATE(2016,1,1)+1,1)</f>
        <v>14.5</v>
      </c>
      <c r="W168" s="176" t="e">
        <f>IF(T!$A$4&lt;MONTH(S168),VLOOKUP(S168,'[8]Podklady MZ'!$R$2:$S$367,2,FALSE),NA())</f>
        <v>#N/A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>
        <f>IF(T!$A$4&gt;=MONTH(S169),VLOOKUP(S169,'[8]Podklady MZ'!$R$2:$S$367,2,FALSE),NA())</f>
        <v>11.171552968152533</v>
      </c>
      <c r="V169" s="176">
        <f>INDEX([5]PT!$AF$16:$AF$381,DATE(2016,MONTH(S169),DAY(S169))-DATE(2016,1,1)+1,1)</f>
        <v>12.3</v>
      </c>
      <c r="W169" s="176" t="e">
        <f>IF(T!$A$4&lt;MONTH(S169),VLOOKUP(S169,'[8]Podklady MZ'!$R$2:$S$367,2,FALSE),NA())</f>
        <v>#N/A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>
        <f>IF(T!$A$4&gt;=MONTH(S170),VLOOKUP(S170,'[8]Podklady MZ'!$R$2:$S$367,2,FALSE),NA())</f>
        <v>11.287807611347086</v>
      </c>
      <c r="V170" s="176">
        <f>INDEX([5]PT!$AF$16:$AF$381,DATE(2016,MONTH(S170),DAY(S170))-DATE(2016,1,1)+1,1)</f>
        <v>15</v>
      </c>
      <c r="W170" s="176" t="e">
        <f>IF(T!$A$4&lt;MONTH(S170),VLOOKUP(S170,'[8]Podklady MZ'!$R$2:$S$367,2,FALSE),NA())</f>
        <v>#N/A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>
        <f>IF(T!$A$4&gt;=MONTH(S171),VLOOKUP(S171,'[8]Podklady MZ'!$R$2:$S$367,2,FALSE),NA())</f>
        <v>11.221964926447567</v>
      </c>
      <c r="V171" s="176">
        <f>INDEX([5]PT!$AF$16:$AF$381,DATE(2016,MONTH(S171),DAY(S171))-DATE(2016,1,1)+1,1)</f>
        <v>11.9</v>
      </c>
      <c r="W171" s="176" t="e">
        <f>IF(T!$A$4&lt;MONTH(S171),VLOOKUP(S171,'[8]Podklady MZ'!$R$2:$S$367,2,FALSE),NA())</f>
        <v>#N/A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>
        <f>IF(T!$A$4&gt;=MONTH(S172),VLOOKUP(S172,'[8]Podklady MZ'!$R$2:$S$367,2,FALSE),NA())</f>
        <v>9.6320657383782624</v>
      </c>
      <c r="V172" s="176">
        <f>INDEX([5]PT!$AF$16:$AF$381,DATE(2016,MONTH(S172),DAY(S172))-DATE(2016,1,1)+1,1)</f>
        <v>11</v>
      </c>
      <c r="W172" s="176" t="e">
        <f>IF(T!$A$4&lt;MONTH(S172),VLOOKUP(S172,'[8]Podklady MZ'!$R$2:$S$367,2,FALSE),NA())</f>
        <v>#N/A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>
        <f>IF(T!$A$4&gt;=MONTH(S173),VLOOKUP(S173,'[8]Podklady MZ'!$R$2:$S$367,2,FALSE),NA())</f>
        <v>10.068684557840834</v>
      </c>
      <c r="V173" s="176">
        <f>INDEX([5]PT!$AF$16:$AF$381,DATE(2016,MONTH(S173),DAY(S173))-DATE(2016,1,1)+1,1)</f>
        <v>12.5</v>
      </c>
      <c r="W173" s="176" t="e">
        <f>IF(T!$A$4&lt;MONTH(S173),VLOOKUP(S173,'[8]Podklady MZ'!$R$2:$S$367,2,FALSE),NA())</f>
        <v>#N/A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>
        <f>IF(T!$A$4&gt;=MONTH(S174),VLOOKUP(S174,'[8]Podklady MZ'!$R$2:$S$367,2,FALSE),NA())</f>
        <v>11.900793448201846</v>
      </c>
      <c r="V174" s="176">
        <f>INDEX([5]PT!$AF$16:$AF$381,DATE(2016,MONTH(S174),DAY(S174))-DATE(2016,1,1)+1,1)</f>
        <v>13.7</v>
      </c>
      <c r="W174" s="176" t="e">
        <f>IF(T!$A$4&lt;MONTH(S174),VLOOKUP(S174,'[8]Podklady MZ'!$R$2:$S$367,2,FALSE),NA())</f>
        <v>#N/A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>
        <f>IF(T!$A$4&gt;=MONTH(S175),VLOOKUP(S175,'[8]Podklady MZ'!$R$2:$S$367,2,FALSE),NA())</f>
        <v>12.514668333493278</v>
      </c>
      <c r="V175" s="176">
        <f>INDEX([5]PT!$AF$16:$AF$381,DATE(2016,MONTH(S175),DAY(S175))-DATE(2016,1,1)+1,1)</f>
        <v>12</v>
      </c>
      <c r="W175" s="176" t="e">
        <f>IF(T!$A$4&lt;MONTH(S175),VLOOKUP(S175,'[8]Podklady MZ'!$R$2:$S$367,2,FALSE),NA())</f>
        <v>#N/A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>
        <f>IF(T!$A$4&gt;=MONTH(S176),VLOOKUP(S176,'[8]Podklady MZ'!$R$2:$S$367,2,FALSE),NA())</f>
        <v>12.524604969460771</v>
      </c>
      <c r="V176" s="176">
        <f>INDEX([5]PT!$AF$16:$AF$381,DATE(2016,MONTH(S176),DAY(S176))-DATE(2016,1,1)+1,1)</f>
        <v>12.8</v>
      </c>
      <c r="W176" s="176" t="e">
        <f>IF(T!$A$4&lt;MONTH(S176),VLOOKUP(S176,'[8]Podklady MZ'!$R$2:$S$367,2,FALSE),NA())</f>
        <v>#N/A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>
        <f>IF(T!$A$4&gt;=MONTH(S177),VLOOKUP(S177,'[8]Podklady MZ'!$R$2:$S$367,2,FALSE),NA())</f>
        <v>11.591579537906711</v>
      </c>
      <c r="V177" s="176">
        <f>INDEX([5]PT!$AF$16:$AF$381,DATE(2016,MONTH(S177),DAY(S177))-DATE(2016,1,1)+1,1)</f>
        <v>15.3</v>
      </c>
      <c r="W177" s="176" t="e">
        <f>IF(T!$A$4&lt;MONTH(S177),VLOOKUP(S177,'[8]Podklady MZ'!$R$2:$S$367,2,FALSE),NA())</f>
        <v>#N/A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>
        <f>IF(T!$A$4&gt;=MONTH(S178),VLOOKUP(S178,'[8]Podklady MZ'!$R$2:$S$367,2,FALSE),NA())</f>
        <v>10.491096429598116</v>
      </c>
      <c r="V178" s="176">
        <f>INDEX([5]PT!$AF$16:$AF$381,DATE(2016,MONTH(S178),DAY(S178))-DATE(2016,1,1)+1,1)</f>
        <v>18.2</v>
      </c>
      <c r="W178" s="176" t="e">
        <f>IF(T!$A$4&lt;MONTH(S178),VLOOKUP(S178,'[8]Podklady MZ'!$R$2:$S$367,2,FALSE),NA())</f>
        <v>#N/A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>
        <f>IF(T!$A$4&gt;=MONTH(S179),VLOOKUP(S179,'[8]Podklady MZ'!$R$2:$S$367,2,FALSE),NA())</f>
        <v>8.9860592689411707</v>
      </c>
      <c r="V179" s="176">
        <f>INDEX([5]PT!$AF$16:$AF$381,DATE(2016,MONTH(S179),DAY(S179))-DATE(2016,1,1)+1,1)</f>
        <v>17.2</v>
      </c>
      <c r="W179" s="176" t="e">
        <f>IF(T!$A$4&lt;MONTH(S179),VLOOKUP(S179,'[8]Podklady MZ'!$R$2:$S$367,2,FALSE),NA())</f>
        <v>#N/A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>
        <f>IF(T!$A$4&gt;=MONTH(S180),VLOOKUP(S180,'[8]Podklady MZ'!$R$2:$S$367,2,FALSE),NA())</f>
        <v>9.2388504465816332</v>
      </c>
      <c r="V180" s="176">
        <f>INDEX([5]PT!$AF$16:$AF$381,DATE(2016,MONTH(S180),DAY(S180))-DATE(2016,1,1)+1,1)</f>
        <v>16.2</v>
      </c>
      <c r="W180" s="176" t="e">
        <f>IF(T!$A$4&lt;MONTH(S180),VLOOKUP(S180,'[8]Podklady MZ'!$R$2:$S$367,2,FALSE),NA())</f>
        <v>#N/A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>
        <f>IF(T!$A$4&gt;=MONTH(S181),VLOOKUP(S181,'[8]Podklady MZ'!$R$2:$S$367,2,FALSE),NA())</f>
        <v>11.076462548321208</v>
      </c>
      <c r="V181" s="176">
        <f>INDEX([5]PT!$AF$16:$AF$381,DATE(2016,MONTH(S181),DAY(S181))-DATE(2016,1,1)+1,1)</f>
        <v>16.8</v>
      </c>
      <c r="W181" s="176" t="e">
        <f>IF(T!$A$4&lt;MONTH(S181),VLOOKUP(S181,'[8]Podklady MZ'!$R$2:$S$367,2,FALSE),NA())</f>
        <v>#N/A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>
        <f>IF(T!$A$4&gt;=MONTH(S182),VLOOKUP(S182,'[8]Podklady MZ'!$R$2:$S$367,2,FALSE),NA())</f>
        <v>10.832951940338289</v>
      </c>
      <c r="V182" s="176">
        <f>INDEX([5]PT!$AF$16:$AF$381,DATE(2016,MONTH(S182),DAY(S182))-DATE(2016,1,1)+1,1)</f>
        <v>19.399999999999999</v>
      </c>
      <c r="W182" s="176" t="e">
        <f>IF(T!$A$4&lt;MONTH(S182),VLOOKUP(S182,'[8]Podklady MZ'!$R$2:$S$367,2,FALSE),NA())</f>
        <v>#N/A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>
        <f>IF(T!$A$4&gt;=MONTH(S183),VLOOKUP(S183,'[8]Podklady MZ'!$R$2:$S$367,2,FALSE),NA())</f>
        <v>10.568222416653482</v>
      </c>
      <c r="V183" s="176">
        <f>INDEX([5]PT!$AF$16:$AF$381,DATE(2016,MONTH(S183),DAY(S183))-DATE(2016,1,1)+1,1)</f>
        <v>21.2</v>
      </c>
      <c r="W183" s="176" t="e">
        <f>IF(T!$A$4&lt;MONTH(S183),VLOOKUP(S183,'[8]Podklady MZ'!$R$2:$S$367,2,FALSE),NA())</f>
        <v>#N/A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>
        <f>IF(T!$A$4&gt;=MONTH(S184),VLOOKUP(S184,'[8]Podklady MZ'!$R$2:$S$367,2,FALSE),NA())</f>
        <v>10.252008199334703</v>
      </c>
      <c r="V184" s="176">
        <f>INDEX([5]PT!$AF$16:$AF$381,DATE(2016,MONTH(S184),DAY(S184))-DATE(2016,1,1)+1,1)</f>
        <v>22</v>
      </c>
      <c r="W184" s="176" t="e">
        <f>IF(T!$A$4&lt;MONTH(S184),VLOOKUP(S184,'[8]Podklady MZ'!$R$2:$S$367,2,FALSE),NA())</f>
        <v>#N/A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>
        <f>IF(T!$A$4&gt;=MONTH(S185),VLOOKUP(S185,'[8]Podklady MZ'!$R$2:$S$367,2,FALSE),NA())</f>
        <v>9.4581659337544721</v>
      </c>
      <c r="V185" s="176">
        <f>INDEX([5]PT!$AF$16:$AF$381,DATE(2016,MONTH(S185),DAY(S185))-DATE(2016,1,1)+1,1)</f>
        <v>23.3</v>
      </c>
      <c r="W185" s="176" t="e">
        <f>IF(T!$A$4&lt;MONTH(S185),VLOOKUP(S185,'[8]Podklady MZ'!$R$2:$S$367,2,FALSE),NA())</f>
        <v>#N/A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>
        <f>IF(T!$A$4&gt;=MONTH(S186),VLOOKUP(S186,'[8]Podklady MZ'!$R$2:$S$367,2,FALSE),NA())</f>
        <v>7.7685839626013005</v>
      </c>
      <c r="V186" s="176">
        <f>INDEX([5]PT!$AF$16:$AF$381,DATE(2016,MONTH(S186),DAY(S186))-DATE(2016,1,1)+1,1)</f>
        <v>24.5</v>
      </c>
      <c r="W186" s="176" t="e">
        <f>IF(T!$A$4&lt;MONTH(S186),VLOOKUP(S186,'[8]Podklady MZ'!$R$2:$S$367,2,FALSE),NA())</f>
        <v>#N/A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>
        <f>IF(T!$A$4&gt;=MONTH(S187),VLOOKUP(S187,'[8]Podklady MZ'!$R$2:$S$367,2,FALSE),NA())</f>
        <v>7.4815198200827711</v>
      </c>
      <c r="V187" s="176">
        <f>INDEX([5]PT!$AF$16:$AF$381,DATE(2016,MONTH(S187),DAY(S187))-DATE(2016,1,1)+1,1)</f>
        <v>25.8</v>
      </c>
      <c r="W187" s="176" t="e">
        <f>IF(T!$A$4&lt;MONTH(S187),VLOOKUP(S187,'[8]Podklady MZ'!$R$2:$S$367,2,FALSE),NA())</f>
        <v>#N/A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>
        <f>IF(T!$A$4&gt;=MONTH(S188),VLOOKUP(S188,'[8]Podklady MZ'!$R$2:$S$367,2,FALSE),NA())</f>
        <v>8.3956674696080977</v>
      </c>
      <c r="V188" s="176">
        <f>INDEX([5]PT!$AF$16:$AF$381,DATE(2016,MONTH(S188),DAY(S188))-DATE(2016,1,1)+1,1)</f>
        <v>24</v>
      </c>
      <c r="W188" s="176" t="e">
        <f>IF(T!$A$4&lt;MONTH(S188),VLOOKUP(S188,'[8]Podklady MZ'!$R$2:$S$367,2,FALSE),NA())</f>
        <v>#N/A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>
        <f>IF(T!$A$4&gt;=MONTH(S189),VLOOKUP(S189,'[8]Podklady MZ'!$R$2:$S$367,2,FALSE),NA())</f>
        <v>9.7410070359215304</v>
      </c>
      <c r="V189" s="176">
        <f>INDEX([5]PT!$AF$16:$AF$381,DATE(2016,MONTH(S189),DAY(S189))-DATE(2016,1,1)+1,1)</f>
        <v>26.5</v>
      </c>
      <c r="W189" s="176" t="e">
        <f>IF(T!$A$4&lt;MONTH(S189),VLOOKUP(S189,'[8]Podklady MZ'!$R$2:$S$367,2,FALSE),NA())</f>
        <v>#N/A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>
        <f>IF(T!$A$4&gt;=MONTH(S190),VLOOKUP(S190,'[8]Podklady MZ'!$R$2:$S$367,2,FALSE),NA())</f>
        <v>10.124209009856298</v>
      </c>
      <c r="V190" s="176">
        <f>INDEX([5]PT!$AF$16:$AF$381,DATE(2016,MONTH(S190),DAY(S190))-DATE(2016,1,1)+1,1)</f>
        <v>18.600000000000001</v>
      </c>
      <c r="W190" s="176" t="e">
        <f>IF(T!$A$4&lt;MONTH(S190),VLOOKUP(S190,'[8]Podklady MZ'!$R$2:$S$367,2,FALSE),NA())</f>
        <v>#N/A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>
        <f>IF(T!$A$4&gt;=MONTH(S191),VLOOKUP(S191,'[8]Podklady MZ'!$R$2:$S$367,2,FALSE),NA())</f>
        <v>10.304019398838161</v>
      </c>
      <c r="V191" s="176">
        <f>INDEX([5]PT!$AF$16:$AF$381,DATE(2016,MONTH(S191),DAY(S191))-DATE(2016,1,1)+1,1)</f>
        <v>14.5</v>
      </c>
      <c r="W191" s="176" t="e">
        <f>IF(T!$A$4&lt;MONTH(S191),VLOOKUP(S191,'[8]Podklady MZ'!$R$2:$S$367,2,FALSE),NA())</f>
        <v>#N/A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>
        <f>IF(T!$A$4&gt;=MONTH(S192),VLOOKUP(S192,'[8]Podklady MZ'!$R$2:$S$367,2,FALSE),NA())</f>
        <v>10.221858257142756</v>
      </c>
      <c r="V192" s="176">
        <f>INDEX([5]PT!$AF$16:$AF$381,DATE(2016,MONTH(S192),DAY(S192))-DATE(2016,1,1)+1,1)</f>
        <v>14.6</v>
      </c>
      <c r="W192" s="176" t="e">
        <f>IF(T!$A$4&lt;MONTH(S192),VLOOKUP(S192,'[8]Podklady MZ'!$R$2:$S$367,2,FALSE),NA())</f>
        <v>#N/A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>
        <f>IF(T!$A$4&gt;=MONTH(S193),VLOOKUP(S193,'[8]Podklady MZ'!$R$2:$S$367,2,FALSE),NA())</f>
        <v>8.3894033132418855</v>
      </c>
      <c r="V193" s="176">
        <f>INDEX([5]PT!$AF$16:$AF$381,DATE(2016,MONTH(S193),DAY(S193))-DATE(2016,1,1)+1,1)</f>
        <v>17.7</v>
      </c>
      <c r="W193" s="176" t="e">
        <f>IF(T!$A$4&lt;MONTH(S193),VLOOKUP(S193,'[8]Podklady MZ'!$R$2:$S$367,2,FALSE),NA())</f>
        <v>#N/A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>
        <f>IF(T!$A$4&gt;=MONTH(S194),VLOOKUP(S194,'[8]Podklady MZ'!$R$2:$S$367,2,FALSE),NA())</f>
        <v>8.3843553337064272</v>
      </c>
      <c r="V194" s="176">
        <f>INDEX([5]PT!$AF$16:$AF$381,DATE(2016,MONTH(S194),DAY(S194))-DATE(2016,1,1)+1,1)</f>
        <v>22</v>
      </c>
      <c r="W194" s="176" t="e">
        <f>IF(T!$A$4&lt;MONTH(S194),VLOOKUP(S194,'[8]Podklady MZ'!$R$2:$S$367,2,FALSE),NA())</f>
        <v>#N/A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>
        <f>IF(T!$A$4&gt;=MONTH(S195),VLOOKUP(S195,'[8]Podklady MZ'!$R$2:$S$367,2,FALSE),NA())</f>
        <v>10.601010610209597</v>
      </c>
      <c r="V195" s="176">
        <f>INDEX([5]PT!$AF$16:$AF$381,DATE(2016,MONTH(S195),DAY(S195))-DATE(2016,1,1)+1,1)</f>
        <v>17.399999999999999</v>
      </c>
      <c r="W195" s="176" t="e">
        <f>IF(T!$A$4&lt;MONTH(S195),VLOOKUP(S195,'[8]Podklady MZ'!$R$2:$S$367,2,FALSE),NA())</f>
        <v>#N/A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>
        <f>IF(T!$A$4&gt;=MONTH(S196),VLOOKUP(S196,'[8]Podklady MZ'!$R$2:$S$367,2,FALSE),NA())</f>
        <v>10.208741115734895</v>
      </c>
      <c r="V196" s="176">
        <f>INDEX([5]PT!$AF$16:$AF$381,DATE(2016,MONTH(S196),DAY(S196))-DATE(2016,1,1)+1,1)</f>
        <v>18.600000000000001</v>
      </c>
      <c r="W196" s="176" t="e">
        <f>IF(T!$A$4&lt;MONTH(S196),VLOOKUP(S196,'[8]Podklady MZ'!$R$2:$S$367,2,FALSE),NA())</f>
        <v>#N/A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>
        <f>IF(T!$A$4&gt;=MONTH(S197),VLOOKUP(S197,'[8]Podklady MZ'!$R$2:$S$367,2,FALSE),NA())</f>
        <v>12.924143254571844</v>
      </c>
      <c r="V197" s="176">
        <f>INDEX([5]PT!$AF$16:$AF$381,DATE(2016,MONTH(S197),DAY(S197))-DATE(2016,1,1)+1,1)</f>
        <v>19.2</v>
      </c>
      <c r="W197" s="176" t="e">
        <f>IF(T!$A$4&lt;MONTH(S197),VLOOKUP(S197,'[8]Podklady MZ'!$R$2:$S$367,2,FALSE),NA())</f>
        <v>#N/A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>
        <f>IF(T!$A$4&gt;=MONTH(S198),VLOOKUP(S198,'[8]Podklady MZ'!$R$2:$S$367,2,FALSE),NA())</f>
        <v>12.551668019700053</v>
      </c>
      <c r="V198" s="176">
        <f>INDEX([5]PT!$AF$16:$AF$381,DATE(2016,MONTH(S198),DAY(S198))-DATE(2016,1,1)+1,1)</f>
        <v>22.7</v>
      </c>
      <c r="W198" s="176" t="e">
        <f>IF(T!$A$4&lt;MONTH(S198),VLOOKUP(S198,'[8]Podklady MZ'!$R$2:$S$367,2,FALSE),NA())</f>
        <v>#N/A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>
        <f>IF(T!$A$4&gt;=MONTH(S199),VLOOKUP(S199,'[8]Podklady MZ'!$R$2:$S$367,2,FALSE),NA())</f>
        <v>9.2990339430508389</v>
      </c>
      <c r="V199" s="176">
        <f>INDEX([5]PT!$AF$16:$AF$381,DATE(2016,MONTH(S199),DAY(S199))-DATE(2016,1,1)+1,1)</f>
        <v>24.1</v>
      </c>
      <c r="W199" s="176" t="e">
        <f>IF(T!$A$4&lt;MONTH(S199),VLOOKUP(S199,'[8]Podklady MZ'!$R$2:$S$367,2,FALSE),NA())</f>
        <v>#N/A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>
        <f>IF(T!$A$4&gt;=MONTH(S200),VLOOKUP(S200,'[8]Podklady MZ'!$R$2:$S$367,2,FALSE),NA())</f>
        <v>7.6959416619133822</v>
      </c>
      <c r="V200" s="176">
        <f>INDEX([5]PT!$AF$16:$AF$381,DATE(2016,MONTH(S200),DAY(S200))-DATE(2016,1,1)+1,1)</f>
        <v>25.1</v>
      </c>
      <c r="W200" s="176" t="e">
        <f>IF(T!$A$4&lt;MONTH(S200),VLOOKUP(S200,'[8]Podklady MZ'!$R$2:$S$367,2,FALSE),NA())</f>
        <v>#N/A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>
        <f>IF(T!$A$4&gt;=MONTH(S201),VLOOKUP(S201,'[8]Podklady MZ'!$R$2:$S$367,2,FALSE),NA())</f>
        <v>8.1498811526718686</v>
      </c>
      <c r="V201" s="176">
        <f>INDEX([5]PT!$AF$16:$AF$381,DATE(2016,MONTH(S201),DAY(S201))-DATE(2016,1,1)+1,1)</f>
        <v>25.4</v>
      </c>
      <c r="W201" s="176" t="e">
        <f>IF(T!$A$4&lt;MONTH(S201),VLOOKUP(S201,'[8]Podklady MZ'!$R$2:$S$367,2,FALSE),NA())</f>
        <v>#N/A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>
        <f>IF(T!$A$4&gt;=MONTH(S202),VLOOKUP(S202,'[8]Podklady MZ'!$R$2:$S$367,2,FALSE),NA())</f>
        <v>9.6753351346492096</v>
      </c>
      <c r="V202" s="176">
        <f>INDEX([5]PT!$AF$16:$AF$381,DATE(2016,MONTH(S202),DAY(S202))-DATE(2016,1,1)+1,1)</f>
        <v>22.2</v>
      </c>
      <c r="W202" s="176" t="e">
        <f>IF(T!$A$4&lt;MONTH(S202),VLOOKUP(S202,'[8]Podklady MZ'!$R$2:$S$367,2,FALSE),NA())</f>
        <v>#N/A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>
        <f>IF(T!$A$4&gt;=MONTH(S203),VLOOKUP(S203,'[8]Podklady MZ'!$R$2:$S$367,2,FALSE),NA())</f>
        <v>9.662856919296491</v>
      </c>
      <c r="V203" s="176">
        <f>INDEX([5]PT!$AF$16:$AF$381,DATE(2016,MONTH(S203),DAY(S203))-DATE(2016,1,1)+1,1)</f>
        <v>25.3</v>
      </c>
      <c r="W203" s="176" t="e">
        <f>IF(T!$A$4&lt;MONTH(S203),VLOOKUP(S203,'[8]Podklady MZ'!$R$2:$S$367,2,FALSE),NA())</f>
        <v>#N/A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>
        <f>IF(T!$A$4&gt;=MONTH(S204),VLOOKUP(S204,'[8]Podklady MZ'!$R$2:$S$367,2,FALSE),NA())</f>
        <v>11.966225353661841</v>
      </c>
      <c r="V204" s="176">
        <f>INDEX([5]PT!$AF$16:$AF$381,DATE(2016,MONTH(S204),DAY(S204))-DATE(2016,1,1)+1,1)</f>
        <v>27.4</v>
      </c>
      <c r="W204" s="176" t="e">
        <f>IF(T!$A$4&lt;MONTH(S204),VLOOKUP(S204,'[8]Podklady MZ'!$R$2:$S$367,2,FALSE),NA())</f>
        <v>#N/A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>
        <f>IF(T!$A$4&gt;=MONTH(S205),VLOOKUP(S205,'[8]Podklady MZ'!$R$2:$S$367,2,FALSE),NA())</f>
        <v>11.939966236043933</v>
      </c>
      <c r="V205" s="176">
        <f>INDEX([5]PT!$AF$16:$AF$381,DATE(2016,MONTH(S205),DAY(S205))-DATE(2016,1,1)+1,1)</f>
        <v>22.3</v>
      </c>
      <c r="W205" s="176" t="e">
        <f>IF(T!$A$4&lt;MONTH(S205),VLOOKUP(S205,'[8]Podklady MZ'!$R$2:$S$367,2,FALSE),NA())</f>
        <v>#N/A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>
        <f>IF(T!$A$4&gt;=MONTH(S206),VLOOKUP(S206,'[8]Podklady MZ'!$R$2:$S$367,2,FALSE),NA())</f>
        <v>9.5720171627676969</v>
      </c>
      <c r="V206" s="176">
        <f>INDEX([5]PT!$AF$16:$AF$381,DATE(2016,MONTH(S206),DAY(S206))-DATE(2016,1,1)+1,1)</f>
        <v>23.8</v>
      </c>
      <c r="W206" s="176" t="e">
        <f>IF(T!$A$4&lt;MONTH(S206),VLOOKUP(S206,'[8]Podklady MZ'!$R$2:$S$367,2,FALSE),NA())</f>
        <v>#N/A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>
        <f>IF(T!$A$4&gt;=MONTH(S207),VLOOKUP(S207,'[8]Podklady MZ'!$R$2:$S$367,2,FALSE),NA())</f>
        <v>8.0197646721725331</v>
      </c>
      <c r="V207" s="176">
        <f>INDEX([5]PT!$AF$16:$AF$381,DATE(2016,MONTH(S207),DAY(S207))-DATE(2016,1,1)+1,1)</f>
        <v>22</v>
      </c>
      <c r="W207" s="176" t="e">
        <f>IF(T!$A$4&lt;MONTH(S207),VLOOKUP(S207,'[8]Podklady MZ'!$R$2:$S$367,2,FALSE),NA())</f>
        <v>#N/A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>
        <f>IF(T!$A$4&gt;=MONTH(S208),VLOOKUP(S208,'[8]Podklady MZ'!$R$2:$S$367,2,FALSE),NA())</f>
        <v>8.041607397011342</v>
      </c>
      <c r="V208" s="176">
        <f>INDEX([5]PT!$AF$16:$AF$381,DATE(2016,MONTH(S208),DAY(S208))-DATE(2016,1,1)+1,1)</f>
        <v>16.600000000000001</v>
      </c>
      <c r="W208" s="176" t="e">
        <f>IF(T!$A$4&lt;MONTH(S208),VLOOKUP(S208,'[8]Podklady MZ'!$R$2:$S$367,2,FALSE),NA())</f>
        <v>#N/A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>
        <f>IF(T!$A$4&gt;=MONTH(S209),VLOOKUP(S209,'[8]Podklady MZ'!$R$2:$S$367,2,FALSE),NA())</f>
        <v>9.2368345783925179</v>
      </c>
      <c r="V209" s="176">
        <f>INDEX([5]PT!$AF$16:$AF$381,DATE(2016,MONTH(S209),DAY(S209))-DATE(2016,1,1)+1,1)</f>
        <v>15.6</v>
      </c>
      <c r="W209" s="176" t="e">
        <f>IF(T!$A$4&lt;MONTH(S209),VLOOKUP(S209,'[8]Podklady MZ'!$R$2:$S$367,2,FALSE),NA())</f>
        <v>#N/A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>
        <f>IF(T!$A$4&gt;=MONTH(S210),VLOOKUP(S210,'[8]Podklady MZ'!$R$2:$S$367,2,FALSE),NA())</f>
        <v>9.2604844650181324</v>
      </c>
      <c r="V210" s="176">
        <f>INDEX([5]PT!$AF$16:$AF$381,DATE(2016,MONTH(S210),DAY(S210))-DATE(2016,1,1)+1,1)</f>
        <v>18.399999999999999</v>
      </c>
      <c r="W210" s="176" t="e">
        <f>IF(T!$A$4&lt;MONTH(S210),VLOOKUP(S210,'[8]Podklady MZ'!$R$2:$S$367,2,FALSE),NA())</f>
        <v>#N/A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>
        <f>IF(T!$A$4&gt;=MONTH(S211),VLOOKUP(S211,'[8]Podklady MZ'!$R$2:$S$367,2,FALSE),NA())</f>
        <v>9.5109604735889803</v>
      </c>
      <c r="V211" s="176">
        <f>INDEX([5]PT!$AF$16:$AF$381,DATE(2016,MONTH(S211),DAY(S211))-DATE(2016,1,1)+1,1)</f>
        <v>15.7</v>
      </c>
      <c r="W211" s="176" t="e">
        <f>IF(T!$A$4&lt;MONTH(S211),VLOOKUP(S211,'[8]Podklady MZ'!$R$2:$S$367,2,FALSE),NA())</f>
        <v>#N/A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>
        <f>IF(T!$A$4&gt;=MONTH(S212),VLOOKUP(S212,'[8]Podklady MZ'!$R$2:$S$367,2,FALSE),NA())</f>
        <v>9.960010804085428</v>
      </c>
      <c r="V212" s="176">
        <f>INDEX([5]PT!$AF$16:$AF$381,DATE(2016,MONTH(S212),DAY(S212))-DATE(2016,1,1)+1,1)</f>
        <v>15.6</v>
      </c>
      <c r="W212" s="176" t="e">
        <f>IF(T!$A$4&lt;MONTH(S212),VLOOKUP(S212,'[8]Podklady MZ'!$R$2:$S$367,2,FALSE),NA())</f>
        <v>#N/A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>
        <f>IF(T!$A$4&gt;=MONTH(S213),VLOOKUP(S213,'[8]Podklady MZ'!$R$2:$S$367,2,FALSE),NA())</f>
        <v>9.0208912166222479</v>
      </c>
      <c r="V213" s="176">
        <f>INDEX([5]PT!$AF$16:$AF$381,DATE(2016,MONTH(S213),DAY(S213))-DATE(2016,1,1)+1,1)</f>
        <v>16.3</v>
      </c>
      <c r="W213" s="176" t="e">
        <f>IF(T!$A$4&lt;MONTH(S213),VLOOKUP(S213,'[8]Podklady MZ'!$R$2:$S$367,2,FALSE),NA())</f>
        <v>#N/A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>
        <f>IF(T!$A$4&gt;=MONTH(S214),VLOOKUP(S214,'[8]Podklady MZ'!$R$2:$S$367,2,FALSE),NA())</f>
        <v>7.3274770439122872</v>
      </c>
      <c r="V214" s="176">
        <f>INDEX([5]PT!$AF$16:$AF$381,DATE(2016,MONTH(S214),DAY(S214))-DATE(2016,1,1)+1,1)</f>
        <v>19.899999999999999</v>
      </c>
      <c r="W214" s="176" t="e">
        <f>IF(T!$A$4&lt;MONTH(S214),VLOOKUP(S214,'[8]Podklady MZ'!$R$2:$S$367,2,FALSE),NA())</f>
        <v>#N/A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>
        <f>IF(T!$A$4&gt;=MONTH(S215),VLOOKUP(S215,'[8]Podklady MZ'!$R$2:$S$367,2,FALSE),NA())</f>
        <v>7.3591133063275187</v>
      </c>
      <c r="V215" s="176">
        <f>INDEX([5]PT!$AF$16:$AF$381,DATE(2016,MONTH(S215),DAY(S215))-DATE(2016,1,1)+1,1)</f>
        <v>18.7</v>
      </c>
      <c r="W215" s="176" t="e">
        <f>IF(T!$A$4&lt;MONTH(S215),VLOOKUP(S215,'[8]Podklady MZ'!$R$2:$S$367,2,FALSE),NA())</f>
        <v>#N/A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>
        <f>IF(T!$A$4&gt;=MONTH(S216),VLOOKUP(S216,'[8]Podklady MZ'!$R$2:$S$367,2,FALSE),NA())</f>
        <v>8.4957021969041211</v>
      </c>
      <c r="V216" s="176">
        <f>INDEX([5]PT!$AF$16:$AF$381,DATE(2016,MONTH(S216),DAY(S216))-DATE(2016,1,1)+1,1)</f>
        <v>21.8</v>
      </c>
      <c r="W216" s="176" t="e">
        <f>IF(T!$A$4&lt;MONTH(S216),VLOOKUP(S216,'[8]Podklady MZ'!$R$2:$S$367,2,FALSE),NA())</f>
        <v>#N/A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>
        <f>IF(T!$A$4&gt;=MONTH(S217),VLOOKUP(S217,'[8]Podklady MZ'!$R$2:$S$367,2,FALSE),NA())</f>
        <v>8.5215988993338367</v>
      </c>
      <c r="V217" s="176">
        <f>INDEX([5]PT!$AF$16:$AF$381,DATE(2016,MONTH(S217),DAY(S217))-DATE(2016,1,1)+1,1)</f>
        <v>24.3</v>
      </c>
      <c r="W217" s="176" t="e">
        <f>IF(T!$A$4&lt;MONTH(S217),VLOOKUP(S217,'[8]Podklady MZ'!$R$2:$S$367,2,FALSE),NA())</f>
        <v>#N/A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>
        <f>IF(T!$A$4&gt;=MONTH(S218),VLOOKUP(S218,'[8]Podklady MZ'!$R$2:$S$367,2,FALSE),NA())</f>
        <v>8.3804475972986712</v>
      </c>
      <c r="V218" s="176">
        <f>INDEX([5]PT!$AF$16:$AF$381,DATE(2016,MONTH(S218),DAY(S218))-DATE(2016,1,1)+1,1)</f>
        <v>24</v>
      </c>
      <c r="W218" s="176" t="e">
        <f>IF(T!$A$4&lt;MONTH(S218),VLOOKUP(S218,'[8]Podklady MZ'!$R$2:$S$367,2,FALSE),NA())</f>
        <v>#N/A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>
        <f>IF(T!$A$4&gt;=MONTH(S219),VLOOKUP(S219,'[8]Podklady MZ'!$R$2:$S$367,2,FALSE),NA())</f>
        <v>8.7797788551200622</v>
      </c>
      <c r="V219" s="176">
        <f>INDEX([5]PT!$AF$16:$AF$381,DATE(2016,MONTH(S219),DAY(S219))-DATE(2016,1,1)+1,1)</f>
        <v>25.8</v>
      </c>
      <c r="W219" s="176" t="e">
        <f>IF(T!$A$4&lt;MONTH(S219),VLOOKUP(S219,'[8]Podklady MZ'!$R$2:$S$367,2,FALSE),NA())</f>
        <v>#N/A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>
        <f>IF(T!$A$4&gt;=MONTH(S220),VLOOKUP(S220,'[8]Podklady MZ'!$R$2:$S$367,2,FALSE),NA())</f>
        <v>7.897185705717761</v>
      </c>
      <c r="V220" s="176">
        <f>INDEX([5]PT!$AF$16:$AF$381,DATE(2016,MONTH(S220),DAY(S220))-DATE(2016,1,1)+1,1)</f>
        <v>27.2</v>
      </c>
      <c r="W220" s="176" t="e">
        <f>IF(T!$A$4&lt;MONTH(S220),VLOOKUP(S220,'[8]Podklady MZ'!$R$2:$S$367,2,FALSE),NA())</f>
        <v>#N/A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>
        <f>IF(T!$A$4&gt;=MONTH(S221),VLOOKUP(S221,'[8]Podklady MZ'!$R$2:$S$367,2,FALSE),NA())</f>
        <v>6.9156343597705554</v>
      </c>
      <c r="V221" s="176">
        <f>INDEX([5]PT!$AF$16:$AF$381,DATE(2016,MONTH(S221),DAY(S221))-DATE(2016,1,1)+1,1)</f>
        <v>27.4</v>
      </c>
      <c r="W221" s="176" t="e">
        <f>IF(T!$A$4&lt;MONTH(S221),VLOOKUP(S221,'[8]Podklady MZ'!$R$2:$S$367,2,FALSE),NA())</f>
        <v>#N/A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>
        <f>IF(T!$A$4&gt;=MONTH(S222),VLOOKUP(S222,'[8]Podklady MZ'!$R$2:$S$367,2,FALSE),NA())</f>
        <v>7.0797433898515889</v>
      </c>
      <c r="V222" s="176">
        <f>INDEX([5]PT!$AF$16:$AF$381,DATE(2016,MONTH(S222),DAY(S222))-DATE(2016,1,1)+1,1)</f>
        <v>26</v>
      </c>
      <c r="W222" s="176" t="e">
        <f>IF(T!$A$4&lt;MONTH(S222),VLOOKUP(S222,'[8]Podklady MZ'!$R$2:$S$367,2,FALSE),NA())</f>
        <v>#N/A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>
        <f>IF(T!$A$4&gt;=MONTH(S223),VLOOKUP(S223,'[8]Podklady MZ'!$R$2:$S$367,2,FALSE),NA())</f>
        <v>8.7429757997753992</v>
      </c>
      <c r="V223" s="176">
        <f>INDEX([5]PT!$AF$16:$AF$381,DATE(2016,MONTH(S223),DAY(S223))-DATE(2016,1,1)+1,1)</f>
        <v>25.8</v>
      </c>
      <c r="W223" s="176" t="e">
        <f>IF(T!$A$4&lt;MONTH(S223),VLOOKUP(S223,'[8]Podklady MZ'!$R$2:$S$367,2,FALSE),NA())</f>
        <v>#N/A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>
        <f>IF(T!$A$4&gt;=MONTH(S224),VLOOKUP(S224,'[8]Podklady MZ'!$R$2:$S$367,2,FALSE),NA())</f>
        <v>8.8873771330949971</v>
      </c>
      <c r="V224" s="176">
        <f>INDEX([5]PT!$AF$16:$AF$381,DATE(2016,MONTH(S224),DAY(S224))-DATE(2016,1,1)+1,1)</f>
        <v>25.5</v>
      </c>
      <c r="W224" s="176" t="e">
        <f>IF(T!$A$4&lt;MONTH(S224),VLOOKUP(S224,'[8]Podklady MZ'!$R$2:$S$367,2,FALSE),NA())</f>
        <v>#N/A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>
        <f>IF(T!$A$4&gt;=MONTH(S225),VLOOKUP(S225,'[8]Podklady MZ'!$R$2:$S$367,2,FALSE),NA())</f>
        <v>9.342068052433266</v>
      </c>
      <c r="V225" s="176">
        <f>INDEX([5]PT!$AF$16:$AF$381,DATE(2016,MONTH(S225),DAY(S225))-DATE(2016,1,1)+1,1)</f>
        <v>25.1</v>
      </c>
      <c r="W225" s="176" t="e">
        <f>IF(T!$A$4&lt;MONTH(S225),VLOOKUP(S225,'[8]Podklady MZ'!$R$2:$S$367,2,FALSE),NA())</f>
        <v>#N/A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>
        <f>IF(T!$A$4&gt;=MONTH(S226),VLOOKUP(S226,'[8]Podklady MZ'!$R$2:$S$367,2,FALSE),NA())</f>
        <v>9.0227963088585845</v>
      </c>
      <c r="V226" s="176">
        <f>INDEX([5]PT!$AF$16:$AF$381,DATE(2016,MONTH(S226),DAY(S226))-DATE(2016,1,1)+1,1)</f>
        <v>26.6</v>
      </c>
      <c r="W226" s="176" t="e">
        <f>IF(T!$A$4&lt;MONTH(S226),VLOOKUP(S226,'[8]Podklady MZ'!$R$2:$S$367,2,FALSE),NA())</f>
        <v>#N/A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>
        <f>IF(T!$A$4&gt;=MONTH(S227),VLOOKUP(S227,'[8]Podklady MZ'!$R$2:$S$367,2,FALSE),NA())</f>
        <v>8.617923221165789</v>
      </c>
      <c r="V227" s="176">
        <f>INDEX([5]PT!$AF$16:$AF$381,DATE(2016,MONTH(S227),DAY(S227))-DATE(2016,1,1)+1,1)</f>
        <v>27</v>
      </c>
      <c r="W227" s="176" t="e">
        <f>IF(T!$A$4&lt;MONTH(S227),VLOOKUP(S227,'[8]Podklady MZ'!$R$2:$S$367,2,FALSE),NA())</f>
        <v>#N/A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>
        <f>IF(T!$A$4&gt;=MONTH(S228),VLOOKUP(S228,'[8]Podklady MZ'!$R$2:$S$367,2,FALSE),NA())</f>
        <v>7.6367264902928698</v>
      </c>
      <c r="V228" s="176">
        <f>INDEX([5]PT!$AF$16:$AF$381,DATE(2016,MONTH(S228),DAY(S228))-DATE(2016,1,1)+1,1)</f>
        <v>26.7</v>
      </c>
      <c r="W228" s="176" t="e">
        <f>IF(T!$A$4&lt;MONTH(S228),VLOOKUP(S228,'[8]Podklady MZ'!$R$2:$S$367,2,FALSE),NA())</f>
        <v>#N/A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>
        <f>IF(T!$A$4&gt;=MONTH(S229),VLOOKUP(S229,'[8]Podklady MZ'!$R$2:$S$367,2,FALSE),NA())</f>
        <v>7.6500080231819716</v>
      </c>
      <c r="V229" s="176">
        <f>INDEX([5]PT!$AF$16:$AF$381,DATE(2016,MONTH(S229),DAY(S229))-DATE(2016,1,1)+1,1)</f>
        <v>20.6</v>
      </c>
      <c r="W229" s="176" t="e">
        <f>IF(T!$A$4&lt;MONTH(S229),VLOOKUP(S229,'[8]Podklady MZ'!$R$2:$S$367,2,FALSE),NA())</f>
        <v>#N/A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>
        <f>IF(T!$A$4&gt;=MONTH(S230),VLOOKUP(S230,'[8]Podklady MZ'!$R$2:$S$367,2,FALSE),NA())</f>
        <v>10.770115115200538</v>
      </c>
      <c r="V230" s="176">
        <f>INDEX([5]PT!$AF$16:$AF$381,DATE(2016,MONTH(S230),DAY(S230))-DATE(2016,1,1)+1,1)</f>
        <v>17.2</v>
      </c>
      <c r="W230" s="176" t="e">
        <f>IF(T!$A$4&lt;MONTH(S230),VLOOKUP(S230,'[8]Podklady MZ'!$R$2:$S$367,2,FALSE),NA())</f>
        <v>#N/A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>
        <f>IF(T!$A$4&gt;=MONTH(S231),VLOOKUP(S231,'[8]Podklady MZ'!$R$2:$S$367,2,FALSE),NA())</f>
        <v>12.275837216732805</v>
      </c>
      <c r="V231" s="176">
        <f>INDEX([5]PT!$AF$16:$AF$381,DATE(2016,MONTH(S231),DAY(S231))-DATE(2016,1,1)+1,1)</f>
        <v>14.8</v>
      </c>
      <c r="W231" s="176" t="e">
        <f>IF(T!$A$4&lt;MONTH(S231),VLOOKUP(S231,'[8]Podklady MZ'!$R$2:$S$367,2,FALSE),NA())</f>
        <v>#N/A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>
        <f>IF(T!$A$4&gt;=MONTH(S232),VLOOKUP(S232,'[8]Podklady MZ'!$R$2:$S$367,2,FALSE),NA())</f>
        <v>10.30598544170101</v>
      </c>
      <c r="V232" s="176">
        <f>INDEX([5]PT!$AF$16:$AF$381,DATE(2016,MONTH(S232),DAY(S232))-DATE(2016,1,1)+1,1)</f>
        <v>15.6</v>
      </c>
      <c r="W232" s="176" t="e">
        <f>IF(T!$A$4&lt;MONTH(S232),VLOOKUP(S232,'[8]Podklady MZ'!$R$2:$S$367,2,FALSE),NA())</f>
        <v>#N/A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>
        <f>IF(T!$A$4&gt;=MONTH(S233),VLOOKUP(S233,'[8]Podklady MZ'!$R$2:$S$367,2,FALSE),NA())</f>
        <v>10.198907925134305</v>
      </c>
      <c r="V233" s="176">
        <f>INDEX([5]PT!$AF$16:$AF$381,DATE(2016,MONTH(S233),DAY(S233))-DATE(2016,1,1)+1,1)</f>
        <v>16.100000000000001</v>
      </c>
      <c r="W233" s="176" t="e">
        <f>IF(T!$A$4&lt;MONTH(S233),VLOOKUP(S233,'[8]Podklady MZ'!$R$2:$S$367,2,FALSE),NA())</f>
        <v>#N/A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>
        <f>IF(T!$A$4&gt;=MONTH(S234),VLOOKUP(S234,'[8]Podklady MZ'!$R$2:$S$367,2,FALSE),NA())</f>
        <v>9.732554603645001</v>
      </c>
      <c r="V234" s="176">
        <f>INDEX([5]PT!$AF$16:$AF$381,DATE(2016,MONTH(S234),DAY(S234))-DATE(2016,1,1)+1,1)</f>
        <v>16.600000000000001</v>
      </c>
      <c r="W234" s="176" t="e">
        <f>IF(T!$A$4&lt;MONTH(S234),VLOOKUP(S234,'[8]Podklady MZ'!$R$2:$S$367,2,FALSE),NA())</f>
        <v>#N/A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>
        <f>IF(T!$A$4&gt;=MONTH(S235),VLOOKUP(S235,'[8]Podklady MZ'!$R$2:$S$367,2,FALSE),NA())</f>
        <v>8.1906102744069553</v>
      </c>
      <c r="V235" s="176">
        <f>INDEX([5]PT!$AF$16:$AF$381,DATE(2016,MONTH(S235),DAY(S235))-DATE(2016,1,1)+1,1)</f>
        <v>16</v>
      </c>
      <c r="W235" s="176" t="e">
        <f>IF(T!$A$4&lt;MONTH(S235),VLOOKUP(S235,'[8]Podklady MZ'!$R$2:$S$367,2,FALSE),NA())</f>
        <v>#N/A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>
        <f>IF(T!$A$4&gt;=MONTH(S236),VLOOKUP(S236,'[8]Podklady MZ'!$R$2:$S$367,2,FALSE),NA())</f>
        <v>8.2763648372854224</v>
      </c>
      <c r="V236" s="176">
        <f>INDEX([5]PT!$AF$16:$AF$381,DATE(2016,MONTH(S236),DAY(S236))-DATE(2016,1,1)+1,1)</f>
        <v>17.3</v>
      </c>
      <c r="W236" s="176" t="e">
        <f>IF(T!$A$4&lt;MONTH(S236),VLOOKUP(S236,'[8]Podklady MZ'!$R$2:$S$367,2,FALSE),NA())</f>
        <v>#N/A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>
        <f>IF(T!$A$4&gt;=MONTH(S237),VLOOKUP(S237,'[8]Podklady MZ'!$R$2:$S$367,2,FALSE),NA())</f>
        <v>10.116631278412976</v>
      </c>
      <c r="V237" s="176">
        <f>INDEX([5]PT!$AF$16:$AF$381,DATE(2016,MONTH(S237),DAY(S237))-DATE(2016,1,1)+1,1)</f>
        <v>20.399999999999999</v>
      </c>
      <c r="W237" s="176" t="e">
        <f>IF(T!$A$4&lt;MONTH(S237),VLOOKUP(S237,'[8]Podklady MZ'!$R$2:$S$367,2,FALSE),NA())</f>
        <v>#N/A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>
        <f>IF(T!$A$4&gt;=MONTH(S238),VLOOKUP(S238,'[8]Podklady MZ'!$R$2:$S$367,2,FALSE),NA())</f>
        <v>10.634514211604086</v>
      </c>
      <c r="V238" s="176">
        <f>INDEX([5]PT!$AF$16:$AF$381,DATE(2016,MONTH(S238),DAY(S238))-DATE(2016,1,1)+1,1)</f>
        <v>15.6</v>
      </c>
      <c r="W238" s="176" t="e">
        <f>IF(T!$A$4&lt;MONTH(S238),VLOOKUP(S238,'[8]Podklady MZ'!$R$2:$S$367,2,FALSE),NA())</f>
        <v>#N/A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>
        <f>IF(T!$A$4&gt;=MONTH(S239),VLOOKUP(S239,'[8]Podklady MZ'!$R$2:$S$367,2,FALSE),NA())</f>
        <v>10.43281949410752</v>
      </c>
      <c r="V239" s="176">
        <f>INDEX([5]PT!$AF$16:$AF$381,DATE(2016,MONTH(S239),DAY(S239))-DATE(2016,1,1)+1,1)</f>
        <v>17.3</v>
      </c>
      <c r="W239" s="176" t="e">
        <f>IF(T!$A$4&lt;MONTH(S239),VLOOKUP(S239,'[8]Podklady MZ'!$R$2:$S$367,2,FALSE),NA())</f>
        <v>#N/A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>
        <f>IF(T!$A$4&gt;=MONTH(S240),VLOOKUP(S240,'[8]Podklady MZ'!$R$2:$S$367,2,FALSE),NA())</f>
        <v>10.258901112878878</v>
      </c>
      <c r="V240" s="176">
        <f>INDEX([5]PT!$AF$16:$AF$381,DATE(2016,MONTH(S240),DAY(S240))-DATE(2016,1,1)+1,1)</f>
        <v>20.9</v>
      </c>
      <c r="W240" s="176" t="e">
        <f>IF(T!$A$4&lt;MONTH(S240),VLOOKUP(S240,'[8]Podklady MZ'!$R$2:$S$367,2,FALSE),NA())</f>
        <v>#N/A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>
        <f>IF(T!$A$4&gt;=MONTH(S241),VLOOKUP(S241,'[8]Podklady MZ'!$R$2:$S$367,2,FALSE),NA())</f>
        <v>9.621705007623234</v>
      </c>
      <c r="V241" s="176">
        <f>INDEX([5]PT!$AF$16:$AF$381,DATE(2016,MONTH(S241),DAY(S241))-DATE(2016,1,1)+1,1)</f>
        <v>22.9</v>
      </c>
      <c r="W241" s="176" t="e">
        <f>IF(T!$A$4&lt;MONTH(S241),VLOOKUP(S241,'[8]Podklady MZ'!$R$2:$S$367,2,FALSE),NA())</f>
        <v>#N/A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>
        <f>IF(T!$A$4&gt;=MONTH(S242),VLOOKUP(S242,'[8]Podklady MZ'!$R$2:$S$367,2,FALSE),NA())</f>
        <v>7.90341361582934</v>
      </c>
      <c r="V242" s="176">
        <f>INDEX([5]PT!$AF$16:$AF$381,DATE(2016,MONTH(S242),DAY(S242))-DATE(2016,1,1)+1,1)</f>
        <v>23.4</v>
      </c>
      <c r="W242" s="176" t="e">
        <f>IF(T!$A$4&lt;MONTH(S242),VLOOKUP(S242,'[8]Podklady MZ'!$R$2:$S$367,2,FALSE),NA())</f>
        <v>#N/A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>
        <f>IF(T!$A$4&gt;=MONTH(S243),VLOOKUP(S243,'[8]Podklady MZ'!$R$2:$S$367,2,FALSE),NA())</f>
        <v>8.0524275904776808</v>
      </c>
      <c r="V243" s="176">
        <f>INDEX([5]PT!$AF$16:$AF$381,DATE(2016,MONTH(S243),DAY(S243))-DATE(2016,1,1)+1,1)</f>
        <v>24.3</v>
      </c>
      <c r="W243" s="176" t="e">
        <f>IF(T!$A$4&lt;MONTH(S243),VLOOKUP(S243,'[8]Podklady MZ'!$R$2:$S$367,2,FALSE),NA())</f>
        <v>#N/A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>
        <f>IF(T!$A$4&gt;=MONTH(S244),VLOOKUP(S244,'[8]Podklady MZ'!$R$2:$S$367,2,FALSE),NA())</f>
        <v>10.083864108825882</v>
      </c>
      <c r="V244" s="176">
        <f>INDEX([5]PT!$AF$16:$AF$381,DATE(2016,MONTH(S244),DAY(S244))-DATE(2016,1,1)+1,1)</f>
        <v>24.4</v>
      </c>
      <c r="W244" s="176" t="e">
        <f>IF(T!$A$4&lt;MONTH(S244),VLOOKUP(S244,'[8]Podklady MZ'!$R$2:$S$367,2,FALSE),NA())</f>
        <v>#N/A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>
        <f>IF(T!$A$4&gt;=MONTH(S245),VLOOKUP(S245,'[8]Podklady MZ'!$R$2:$S$367,2,FALSE),NA())</f>
        <v>9.7007445267766368</v>
      </c>
      <c r="V245" s="176">
        <f>INDEX([5]PT!$AF$16:$AF$381,DATE(2016,MONTH(S245),DAY(S245))-DATE(2016,1,1)+1,1)</f>
        <v>23.5</v>
      </c>
      <c r="W245" s="176" t="e">
        <f>IF(T!$A$4&lt;MONTH(S245),VLOOKUP(S245,'[8]Podklady MZ'!$R$2:$S$367,2,FALSE),NA())</f>
        <v>#N/A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>
        <f>IF(T!$A$4&gt;=MONTH(S246),VLOOKUP(S246,'[8]Podklady MZ'!$R$2:$S$367,2,FALSE),NA())</f>
        <v>10.351424075733302</v>
      </c>
      <c r="V246" s="176">
        <f>INDEX([5]PT!$AF$16:$AF$381,DATE(2016,MONTH(S246),DAY(S246))-DATE(2016,1,1)+1,1)</f>
        <v>15.6</v>
      </c>
      <c r="W246" s="176" t="e">
        <f>IF(T!$A$4&lt;MONTH(S246),VLOOKUP(S246,'[8]Podklady MZ'!$R$2:$S$367,2,FALSE),NA())</f>
        <v>#N/A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>
        <f>IF(T!$A$4&gt;=MONTH(S247),VLOOKUP(S247,'[8]Podklady MZ'!$R$2:$S$367,2,FALSE),NA())</f>
        <v>10.675088543805986</v>
      </c>
      <c r="V247" s="176">
        <f>INDEX([5]PT!$AF$16:$AF$381,DATE(2016,MONTH(S247),DAY(S247))-DATE(2016,1,1)+1,1)</f>
        <v>16</v>
      </c>
      <c r="W247" s="176" t="e">
        <f>IF(T!$A$4&lt;MONTH(S247),VLOOKUP(S247,'[8]Podklady MZ'!$R$2:$S$367,2,FALSE),NA())</f>
        <v>#N/A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>
        <f>IF(T!$A$4&gt;=MONTH(S248),VLOOKUP(S248,'[8]Podklady MZ'!$R$2:$S$367,2,FALSE),NA())</f>
        <v>11.29469983214782</v>
      </c>
      <c r="V248" s="176">
        <f>INDEX([5]PT!$AF$16:$AF$381,DATE(2016,MONTH(S248),DAY(S248))-DATE(2016,1,1)+1,1)</f>
        <v>15</v>
      </c>
      <c r="W248" s="176" t="e">
        <f>IF(T!$A$4&lt;MONTH(S248),VLOOKUP(S248,'[8]Podklady MZ'!$R$2:$S$367,2,FALSE),NA())</f>
        <v>#N/A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>
        <f>IF(T!$A$4&gt;=MONTH(S249),VLOOKUP(S249,'[8]Podklady MZ'!$R$2:$S$367,2,FALSE),NA())</f>
        <v>8.1970730704195525</v>
      </c>
      <c r="V249" s="176">
        <f>INDEX([5]PT!$AF$16:$AF$381,DATE(2016,MONTH(S249),DAY(S249))-DATE(2016,1,1)+1,1)</f>
        <v>13.8</v>
      </c>
      <c r="W249" s="176" t="e">
        <f>IF(T!$A$4&lt;MONTH(S249),VLOOKUP(S249,'[8]Podklady MZ'!$R$2:$S$367,2,FALSE),NA())</f>
        <v>#N/A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>
        <f>IF(T!$A$4&gt;=MONTH(S250),VLOOKUP(S250,'[8]Podklady MZ'!$R$2:$S$367,2,FALSE),NA())</f>
        <v>9.2336958503371118</v>
      </c>
      <c r="V250" s="176">
        <f>INDEX([5]PT!$AF$16:$AF$381,DATE(2016,MONTH(S250),DAY(S250))-DATE(2016,1,1)+1,1)</f>
        <v>11.8</v>
      </c>
      <c r="W250" s="176" t="e">
        <f>IF(T!$A$4&lt;MONTH(S250),VLOOKUP(S250,'[8]Podklady MZ'!$R$2:$S$367,2,FALSE),NA())</f>
        <v>#N/A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>
        <f>IF(T!$A$4&gt;=MONTH(S251),VLOOKUP(S251,'[8]Podklady MZ'!$R$2:$S$367,2,FALSE),NA())</f>
        <v>11.597554488210992</v>
      </c>
      <c r="V251" s="176">
        <f>INDEX([5]PT!$AF$16:$AF$381,DATE(2016,MONTH(S251),DAY(S251))-DATE(2016,1,1)+1,1)</f>
        <v>10.6</v>
      </c>
      <c r="W251" s="176" t="e">
        <f>IF(T!$A$4&lt;MONTH(S251),VLOOKUP(S251,'[8]Podklady MZ'!$R$2:$S$367,2,FALSE),NA())</f>
        <v>#N/A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>
        <f>IF(T!$A$4&gt;=MONTH(S252),VLOOKUP(S252,'[8]Podklady MZ'!$R$2:$S$367,2,FALSE),NA())</f>
        <v>11.40204196931642</v>
      </c>
      <c r="V252" s="176">
        <f>INDEX([5]PT!$AF$16:$AF$381,DATE(2016,MONTH(S252),DAY(S252))-DATE(2016,1,1)+1,1)</f>
        <v>11.1</v>
      </c>
      <c r="W252" s="176" t="e">
        <f>IF(T!$A$4&lt;MONTH(S252),VLOOKUP(S252,'[8]Podklady MZ'!$R$2:$S$367,2,FALSE),NA())</f>
        <v>#N/A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>
        <f>IF(T!$A$4&gt;=MONTH(S253),VLOOKUP(S253,'[8]Podklady MZ'!$R$2:$S$367,2,FALSE),NA())</f>
        <v>12.222584744863941</v>
      </c>
      <c r="V253" s="176">
        <f>INDEX([5]PT!$AF$16:$AF$381,DATE(2016,MONTH(S253),DAY(S253))-DATE(2016,1,1)+1,1)</f>
        <v>9.9</v>
      </c>
      <c r="W253" s="176" t="e">
        <f>IF(T!$A$4&lt;MONTH(S253),VLOOKUP(S253,'[8]Podklady MZ'!$R$2:$S$367,2,FALSE),NA())</f>
        <v>#N/A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>
        <f>IF(T!$A$4&gt;=MONTH(S254),VLOOKUP(S254,'[8]Podklady MZ'!$R$2:$S$367,2,FALSE),NA())</f>
        <v>12.198425235856467</v>
      </c>
      <c r="V254" s="176">
        <f>INDEX([5]PT!$AF$16:$AF$381,DATE(2016,MONTH(S254),DAY(S254))-DATE(2016,1,1)+1,1)</f>
        <v>11.5</v>
      </c>
      <c r="W254" s="176" t="e">
        <f>IF(T!$A$4&lt;MONTH(S254),VLOOKUP(S254,'[8]Podklady MZ'!$R$2:$S$367,2,FALSE),NA())</f>
        <v>#N/A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>
        <f>IF(T!$A$4&gt;=MONTH(S255),VLOOKUP(S255,'[8]Podklady MZ'!$R$2:$S$367,2,FALSE),NA())</f>
        <v>14.667928928492055</v>
      </c>
      <c r="V255" s="176">
        <f>INDEX([5]PT!$AF$16:$AF$381,DATE(2016,MONTH(S255),DAY(S255))-DATE(2016,1,1)+1,1)</f>
        <v>13</v>
      </c>
      <c r="W255" s="176" t="e">
        <f>IF(T!$A$4&lt;MONTH(S255),VLOOKUP(S255,'[8]Podklady MZ'!$R$2:$S$367,2,FALSE),NA())</f>
        <v>#N/A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>
        <f>IF(T!$A$4&gt;=MONTH(S256),VLOOKUP(S256,'[8]Podklady MZ'!$R$2:$S$367,2,FALSE),NA())</f>
        <v>9.4355036584976215</v>
      </c>
      <c r="V256" s="176">
        <f>INDEX([5]PT!$AF$16:$AF$381,DATE(2016,MONTH(S256),DAY(S256))-DATE(2016,1,1)+1,1)</f>
        <v>14.9</v>
      </c>
      <c r="W256" s="176" t="e">
        <f>IF(T!$A$4&lt;MONTH(S256),VLOOKUP(S256,'[8]Podklady MZ'!$R$2:$S$367,2,FALSE),NA())</f>
        <v>#N/A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>
        <f>IF(T!$A$4&gt;=MONTH(S257),VLOOKUP(S257,'[8]Podklady MZ'!$R$2:$S$367,2,FALSE),NA())</f>
        <v>9.3491360221922815</v>
      </c>
      <c r="V257" s="176">
        <f>INDEX([5]PT!$AF$16:$AF$381,DATE(2016,MONTH(S257),DAY(S257))-DATE(2016,1,1)+1,1)</f>
        <v>17.399999999999999</v>
      </c>
      <c r="W257" s="176" t="e">
        <f>IF(T!$A$4&lt;MONTH(S257),VLOOKUP(S257,'[8]Podklady MZ'!$R$2:$S$367,2,FALSE),NA())</f>
        <v>#N/A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>
        <f>IF(T!$A$4&gt;=MONTH(S258),VLOOKUP(S258,'[8]Podklady MZ'!$R$2:$S$367,2,FALSE),NA())</f>
        <v>11.066872022129369</v>
      </c>
      <c r="V258" s="176">
        <f>INDEX([5]PT!$AF$16:$AF$381,DATE(2016,MONTH(S258),DAY(S258))-DATE(2016,1,1)+1,1)</f>
        <v>15.5</v>
      </c>
      <c r="W258" s="176" t="e">
        <f>IF(T!$A$4&lt;MONTH(S258),VLOOKUP(S258,'[8]Podklady MZ'!$R$2:$S$367,2,FALSE),NA())</f>
        <v>#N/A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>
        <f>IF(T!$A$4&gt;=MONTH(S259),VLOOKUP(S259,'[8]Podklady MZ'!$R$2:$S$367,2,FALSE),NA())</f>
        <v>11.139047681373635</v>
      </c>
      <c r="V259" s="176">
        <f>INDEX([5]PT!$AF$16:$AF$381,DATE(2016,MONTH(S259),DAY(S259))-DATE(2016,1,1)+1,1)</f>
        <v>15.6</v>
      </c>
      <c r="W259" s="176" t="e">
        <f>IF(T!$A$4&lt;MONTH(S259),VLOOKUP(S259,'[8]Podklady MZ'!$R$2:$S$367,2,FALSE),NA())</f>
        <v>#N/A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>
        <f>IF(T!$A$4&gt;=MONTH(S260),VLOOKUP(S260,'[8]Podklady MZ'!$R$2:$S$367,2,FALSE),NA())</f>
        <v>10.696748561847132</v>
      </c>
      <c r="V260" s="176">
        <f>INDEX([5]PT!$AF$16:$AF$381,DATE(2016,MONTH(S260),DAY(S260))-DATE(2016,1,1)+1,1)</f>
        <v>18.7</v>
      </c>
      <c r="W260" s="176" t="e">
        <f>IF(T!$A$4&lt;MONTH(S260),VLOOKUP(S260,'[8]Podklady MZ'!$R$2:$S$367,2,FALSE),NA())</f>
        <v>#N/A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>
        <f>IF(T!$A$4&gt;=MONTH(S261),VLOOKUP(S261,'[8]Podklady MZ'!$R$2:$S$367,2,FALSE),NA())</f>
        <v>10.390631158546531</v>
      </c>
      <c r="V261" s="176">
        <f>INDEX([5]PT!$AF$16:$AF$381,DATE(2016,MONTH(S261),DAY(S261))-DATE(2016,1,1)+1,1)</f>
        <v>20.6</v>
      </c>
      <c r="W261" s="176" t="e">
        <f>IF(T!$A$4&lt;MONTH(S261),VLOOKUP(S261,'[8]Podklady MZ'!$R$2:$S$367,2,FALSE),NA())</f>
        <v>#N/A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>
        <f>IF(T!$A$4&gt;=MONTH(S262),VLOOKUP(S262,'[8]Podklady MZ'!$R$2:$S$367,2,FALSE),NA())</f>
        <v>10.437855721536367</v>
      </c>
      <c r="V262" s="176">
        <f>INDEX([5]PT!$AF$16:$AF$381,DATE(2016,MONTH(S262),DAY(S262))-DATE(2016,1,1)+1,1)</f>
        <v>14.1</v>
      </c>
      <c r="W262" s="176" t="e">
        <f>IF(T!$A$4&lt;MONTH(S262),VLOOKUP(S262,'[8]Podklady MZ'!$R$2:$S$367,2,FALSE),NA())</f>
        <v>#N/A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>
        <f>IF(T!$A$4&gt;=MONTH(S263),VLOOKUP(S263,'[8]Podklady MZ'!$R$2:$S$367,2,FALSE),NA())</f>
        <v>8.9750896284534942</v>
      </c>
      <c r="V263" s="176">
        <f>INDEX([5]PT!$AF$16:$AF$381,DATE(2016,MONTH(S263),DAY(S263))-DATE(2016,1,1)+1,1)</f>
        <v>14.7</v>
      </c>
      <c r="W263" s="176" t="e">
        <f>IF(T!$A$4&lt;MONTH(S263),VLOOKUP(S263,'[8]Podklady MZ'!$R$2:$S$367,2,FALSE),NA())</f>
        <v>#N/A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>
        <f>IF(T!$A$4&gt;=MONTH(S264),VLOOKUP(S264,'[8]Podklady MZ'!$R$2:$S$367,2,FALSE),NA())</f>
        <v>10.140231654609236</v>
      </c>
      <c r="V264" s="176">
        <f>INDEX([5]PT!$AF$16:$AF$381,DATE(2016,MONTH(S264),DAY(S264))-DATE(2016,1,1)+1,1)</f>
        <v>11.4</v>
      </c>
      <c r="W264" s="176" t="e">
        <f>IF(T!$A$4&lt;MONTH(S264),VLOOKUP(S264,'[8]Podklady MZ'!$R$2:$S$367,2,FALSE),NA())</f>
        <v>#N/A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>
        <f>IF(T!$A$4&gt;=MONTH(S265),VLOOKUP(S265,'[8]Podklady MZ'!$R$2:$S$367,2,FALSE),NA())</f>
        <v>14.685402776933721</v>
      </c>
      <c r="V265" s="176">
        <f>INDEX([5]PT!$AF$16:$AF$381,DATE(2016,MONTH(S265),DAY(S265))-DATE(2016,1,1)+1,1)</f>
        <v>10.3</v>
      </c>
      <c r="W265" s="176" t="e">
        <f>IF(T!$A$4&lt;MONTH(S265),VLOOKUP(S265,'[8]Podklady MZ'!$R$2:$S$367,2,FALSE),NA())</f>
        <v>#N/A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>
        <f>IF(T!$A$4&gt;=MONTH(S266),VLOOKUP(S266,'[8]Podklady MZ'!$R$2:$S$367,2,FALSE),NA())</f>
        <v>12.553554758620496</v>
      </c>
      <c r="V266" s="176">
        <f>INDEX([5]PT!$AF$16:$AF$381,DATE(2016,MONTH(S266),DAY(S266))-DATE(2016,1,1)+1,1)</f>
        <v>13.1</v>
      </c>
      <c r="W266" s="176" t="e">
        <f>IF(T!$A$4&lt;MONTH(S266),VLOOKUP(S266,'[8]Podklady MZ'!$R$2:$S$367,2,FALSE),NA())</f>
        <v>#N/A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>
        <f>IF(T!$A$4&gt;=MONTH(S267),VLOOKUP(S267,'[8]Podklady MZ'!$R$2:$S$367,2,FALSE),NA())</f>
        <v>14.359633688987152</v>
      </c>
      <c r="V267" s="176">
        <f>INDEX([5]PT!$AF$16:$AF$381,DATE(2016,MONTH(S267),DAY(S267))-DATE(2016,1,1)+1,1)</f>
        <v>11.5</v>
      </c>
      <c r="W267" s="176" t="e">
        <f>IF(T!$A$4&lt;MONTH(S267),VLOOKUP(S267,'[8]Podklady MZ'!$R$2:$S$367,2,FALSE),NA())</f>
        <v>#N/A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>
        <f>IF(T!$A$4&gt;=MONTH(S268),VLOOKUP(S268,'[8]Podklady MZ'!$R$2:$S$367,2,FALSE),NA())</f>
        <v>13.187685903645663</v>
      </c>
      <c r="V268" s="176">
        <f>INDEX([5]PT!$AF$16:$AF$381,DATE(2016,MONTH(S268),DAY(S268))-DATE(2016,1,1)+1,1)</f>
        <v>12.6</v>
      </c>
      <c r="W268" s="176" t="e">
        <f>IF(T!$A$4&lt;MONTH(S268),VLOOKUP(S268,'[8]Podklady MZ'!$R$2:$S$367,2,FALSE),NA())</f>
        <v>#N/A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>
        <f>IF(T!$A$4&gt;=MONTH(S269),VLOOKUP(S269,'[8]Podklady MZ'!$R$2:$S$367,2,FALSE),NA())</f>
        <v>12.952785702018016</v>
      </c>
      <c r="V269" s="176">
        <f>INDEX([5]PT!$AF$16:$AF$381,DATE(2016,MONTH(S269),DAY(S269))-DATE(2016,1,1)+1,1)</f>
        <v>13.7</v>
      </c>
      <c r="W269" s="176" t="e">
        <f>IF(T!$A$4&lt;MONTH(S269),VLOOKUP(S269,'[8]Podklady MZ'!$R$2:$S$367,2,FALSE),NA())</f>
        <v>#N/A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>
        <f>IF(T!$A$4&gt;=MONTH(S270),VLOOKUP(S270,'[8]Podklady MZ'!$R$2:$S$367,2,FALSE),NA())</f>
        <v>11.714102901755435</v>
      </c>
      <c r="V270" s="176">
        <f>INDEX([5]PT!$AF$16:$AF$381,DATE(2016,MONTH(S270),DAY(S270))-DATE(2016,1,1)+1,1)</f>
        <v>12.1</v>
      </c>
      <c r="W270" s="176" t="e">
        <f>IF(T!$A$4&lt;MONTH(S270),VLOOKUP(S270,'[8]Podklady MZ'!$R$2:$S$367,2,FALSE),NA())</f>
        <v>#N/A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>
        <f>IF(T!$A$4&gt;=MONTH(S271),VLOOKUP(S271,'[8]Podklady MZ'!$R$2:$S$367,2,FALSE),NA())</f>
        <v>12.05665177038618</v>
      </c>
      <c r="V271" s="176">
        <f>INDEX([5]PT!$AF$16:$AF$381,DATE(2016,MONTH(S271),DAY(S271))-DATE(2016,1,1)+1,1)</f>
        <v>11</v>
      </c>
      <c r="W271" s="176" t="e">
        <f>IF(T!$A$4&lt;MONTH(S271),VLOOKUP(S271,'[8]Podklady MZ'!$R$2:$S$367,2,FALSE),NA())</f>
        <v>#N/A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>
        <f>IF(T!$A$4&gt;=MONTH(S272),VLOOKUP(S272,'[8]Podklady MZ'!$R$2:$S$367,2,FALSE),NA())</f>
        <v>13.31929253083147</v>
      </c>
      <c r="V272" s="176">
        <f>INDEX([5]PT!$AF$16:$AF$381,DATE(2016,MONTH(S272),DAY(S272))-DATE(2016,1,1)+1,1)</f>
        <v>10</v>
      </c>
      <c r="W272" s="176" t="e">
        <f>IF(T!$A$4&lt;MONTH(S272),VLOOKUP(S272,'[8]Podklady MZ'!$R$2:$S$367,2,FALSE),NA())</f>
        <v>#N/A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>
        <f>IF(T!$A$4&gt;=MONTH(S273),VLOOKUP(S273,'[8]Podklady MZ'!$R$2:$S$367,2,FALSE),NA())</f>
        <v>16.378723737316371</v>
      </c>
      <c r="V273" s="176">
        <f>INDEX([5]PT!$AF$16:$AF$381,DATE(2016,MONTH(S273),DAY(S273))-DATE(2016,1,1)+1,1)</f>
        <v>9.1999999999999993</v>
      </c>
      <c r="W273" s="176" t="e">
        <f>IF(T!$A$4&lt;MONTH(S273),VLOOKUP(S273,'[8]Podklady MZ'!$R$2:$S$367,2,FALSE),NA())</f>
        <v>#N/A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>
        <f>IF(T!$A$4&gt;=MONTH(S274),VLOOKUP(S274,'[8]Podklady MZ'!$R$2:$S$367,2,FALSE),NA())</f>
        <v>18.580584968434316</v>
      </c>
      <c r="V274" s="176">
        <f>INDEX([5]PT!$AF$16:$AF$381,DATE(2016,MONTH(S274),DAY(S274))-DATE(2016,1,1)+1,1)</f>
        <v>7.6</v>
      </c>
      <c r="W274" s="176" t="e">
        <f>IF(T!$A$4&lt;MONTH(S274),VLOOKUP(S274,'[8]Podklady MZ'!$R$2:$S$367,2,FALSE),NA())</f>
        <v>#N/A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 t="e">
        <f>IF(T!$A$4&gt;=MONTH(S275),VLOOKUP(S275,'[8]Podklady MZ'!$R$2:$S$367,2,FALSE),NA())</f>
        <v>#N/A</v>
      </c>
      <c r="V275" s="176">
        <f>INDEX([5]PT!$AF$16:$AF$381,DATE(2016,MONTH(S275),DAY(S275))-DATE(2016,1,1)+1,1)</f>
        <v>0</v>
      </c>
      <c r="W275" s="176">
        <f>IF(T!$A$4&lt;MONTH(S275),VLOOKUP(S275,'[8]Podklady MZ'!$R$2:$S$367,2,FALSE),NA())</f>
        <v>19.110055566037733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 t="e">
        <f>IF(T!$A$4&gt;=MONTH(S276),VLOOKUP(S276,'[8]Podklady MZ'!$R$2:$S$367,2,FALSE),NA())</f>
        <v>#N/A</v>
      </c>
      <c r="V276" s="176">
        <f>INDEX([5]PT!$AF$16:$AF$381,DATE(2016,MONTH(S276),DAY(S276))-DATE(2016,1,1)+1,1)</f>
        <v>0</v>
      </c>
      <c r="W276" s="176">
        <f>IF(T!$A$4&lt;MONTH(S276),VLOOKUP(S276,'[8]Podklady MZ'!$R$2:$S$367,2,FALSE),NA())</f>
        <v>18.078781320754715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 t="e">
        <f>IF(T!$A$4&gt;=MONTH(S277),VLOOKUP(S277,'[8]Podklady MZ'!$R$2:$S$367,2,FALSE),NA())</f>
        <v>#N/A</v>
      </c>
      <c r="V277" s="176">
        <f>INDEX([5]PT!$AF$16:$AF$381,DATE(2016,MONTH(S277),DAY(S277))-DATE(2016,1,1)+1,1)</f>
        <v>0</v>
      </c>
      <c r="W277" s="176">
        <f>IF(T!$A$4&lt;MONTH(S277),VLOOKUP(S277,'[8]Podklady MZ'!$R$2:$S$367,2,FALSE),NA())</f>
        <v>14.332500283018868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 t="e">
        <f>IF(T!$A$4&gt;=MONTH(S278),VLOOKUP(S278,'[8]Podklady MZ'!$R$2:$S$367,2,FALSE),NA())</f>
        <v>#N/A</v>
      </c>
      <c r="V278" s="176">
        <f>INDEX([5]PT!$AF$16:$AF$381,DATE(2016,MONTH(S278),DAY(S278))-DATE(2016,1,1)+1,1)</f>
        <v>0</v>
      </c>
      <c r="W278" s="176">
        <f>IF(T!$A$4&lt;MONTH(S278),VLOOKUP(S278,'[8]Podklady MZ'!$R$2:$S$367,2,FALSE),NA())</f>
        <v>14.053581132075472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 t="e">
        <f>IF(T!$A$4&gt;=MONTH(S279),VLOOKUP(S279,'[8]Podklady MZ'!$R$2:$S$367,2,FALSE),NA())</f>
        <v>#N/A</v>
      </c>
      <c r="V279" s="176">
        <f>INDEX([5]PT!$AF$16:$AF$381,DATE(2016,MONTH(S279),DAY(S279))-DATE(2016,1,1)+1,1)</f>
        <v>0</v>
      </c>
      <c r="W279" s="176">
        <f>IF(T!$A$4&lt;MONTH(S279),VLOOKUP(S279,'[8]Podklady MZ'!$R$2:$S$367,2,FALSE),NA())</f>
        <v>15.88826245283019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 t="e">
        <f>IF(T!$A$4&gt;=MONTH(S280),VLOOKUP(S280,'[8]Podklady MZ'!$R$2:$S$367,2,FALSE),NA())</f>
        <v>#N/A</v>
      </c>
      <c r="V280" s="176">
        <f>INDEX([5]PT!$AF$16:$AF$381,DATE(2016,MONTH(S280),DAY(S280))-DATE(2016,1,1)+1,1)</f>
        <v>0</v>
      </c>
      <c r="W280" s="176">
        <f>IF(T!$A$4&lt;MONTH(S280),VLOOKUP(S280,'[8]Podklady MZ'!$R$2:$S$367,2,FALSE),NA())</f>
        <v>16.068493396226415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 t="e">
        <f>IF(T!$A$4&gt;=MONTH(S281),VLOOKUP(S281,'[8]Podklady MZ'!$R$2:$S$367,2,FALSE),NA())</f>
        <v>#N/A</v>
      </c>
      <c r="V281" s="176">
        <f>INDEX([5]PT!$AF$16:$AF$381,DATE(2016,MONTH(S281),DAY(S281))-DATE(2016,1,1)+1,1)</f>
        <v>0</v>
      </c>
      <c r="W281" s="176">
        <f>IF(T!$A$4&lt;MONTH(S281),VLOOKUP(S281,'[8]Podklady MZ'!$R$2:$S$367,2,FALSE),NA())</f>
        <v>16.268043773584907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 t="e">
        <f>IF(T!$A$4&gt;=MONTH(S282),VLOOKUP(S282,'[8]Podklady MZ'!$R$2:$S$367,2,FALSE),NA())</f>
        <v>#N/A</v>
      </c>
      <c r="V282" s="176">
        <f>INDEX([5]PT!$AF$16:$AF$381,DATE(2016,MONTH(S282),DAY(S282))-DATE(2016,1,1)+1,1)</f>
        <v>0</v>
      </c>
      <c r="W282" s="176">
        <f>IF(T!$A$4&lt;MONTH(S282),VLOOKUP(S282,'[8]Podklady MZ'!$R$2:$S$367,2,FALSE),NA())</f>
        <v>17.424715377358488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 t="e">
        <f>IF(T!$A$4&gt;=MONTH(S283),VLOOKUP(S283,'[8]Podklady MZ'!$R$2:$S$367,2,FALSE),NA())</f>
        <v>#N/A</v>
      </c>
      <c r="V283" s="176">
        <f>INDEX([5]PT!$AF$16:$AF$381,DATE(2016,MONTH(S283),DAY(S283))-DATE(2016,1,1)+1,1)</f>
        <v>0</v>
      </c>
      <c r="W283" s="176">
        <f>IF(T!$A$4&lt;MONTH(S283),VLOOKUP(S283,'[8]Podklady MZ'!$R$2:$S$367,2,FALSE),NA())</f>
        <v>18.078569339622639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 t="e">
        <f>IF(T!$A$4&gt;=MONTH(S284),VLOOKUP(S284,'[8]Podklady MZ'!$R$2:$S$367,2,FALSE),NA())</f>
        <v>#N/A</v>
      </c>
      <c r="V284" s="176">
        <f>INDEX([5]PT!$AF$16:$AF$381,DATE(2016,MONTH(S284),DAY(S284))-DATE(2016,1,1)+1,1)</f>
        <v>0</v>
      </c>
      <c r="W284" s="176">
        <f>IF(T!$A$4&lt;MONTH(S284),VLOOKUP(S284,'[8]Podklady MZ'!$R$2:$S$367,2,FALSE),NA())</f>
        <v>18.031043207547164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 t="e">
        <f>IF(T!$A$4&gt;=MONTH(S285),VLOOKUP(S285,'[8]Podklady MZ'!$R$2:$S$367,2,FALSE),NA())</f>
        <v>#N/A</v>
      </c>
      <c r="V285" s="176">
        <f>INDEX([5]PT!$AF$16:$AF$381,DATE(2016,MONTH(S285),DAY(S285))-DATE(2016,1,1)+1,1)</f>
        <v>0</v>
      </c>
      <c r="W285" s="176">
        <f>IF(T!$A$4&lt;MONTH(S285),VLOOKUP(S285,'[8]Podklady MZ'!$R$2:$S$367,2,FALSE),NA())</f>
        <v>20.885148584905657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 t="e">
        <f>IF(T!$A$4&gt;=MONTH(S286),VLOOKUP(S286,'[8]Podklady MZ'!$R$2:$S$367,2,FALSE),NA())</f>
        <v>#N/A</v>
      </c>
      <c r="V286" s="176">
        <f>INDEX([5]PT!$AF$16:$AF$381,DATE(2016,MONTH(S286),DAY(S286))-DATE(2016,1,1)+1,1)</f>
        <v>0</v>
      </c>
      <c r="W286" s="176">
        <f>IF(T!$A$4&lt;MONTH(S286),VLOOKUP(S286,'[8]Podklady MZ'!$R$2:$S$367,2,FALSE),NA())</f>
        <v>26.836024245283014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 t="e">
        <f>IF(T!$A$4&gt;=MONTH(S287),VLOOKUP(S287,'[8]Podklady MZ'!$R$2:$S$367,2,FALSE),NA())</f>
        <v>#N/A</v>
      </c>
      <c r="V287" s="176">
        <f>INDEX([5]PT!$AF$16:$AF$381,DATE(2016,MONTH(S287),DAY(S287))-DATE(2016,1,1)+1,1)</f>
        <v>0</v>
      </c>
      <c r="W287" s="176">
        <f>IF(T!$A$4&lt;MONTH(S287),VLOOKUP(S287,'[8]Podklady MZ'!$R$2:$S$367,2,FALSE),NA())</f>
        <v>28.549121037735844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 t="e">
        <f>IF(T!$A$4&gt;=MONTH(S288),VLOOKUP(S288,'[8]Podklady MZ'!$R$2:$S$367,2,FALSE),NA())</f>
        <v>#N/A</v>
      </c>
      <c r="V288" s="176">
        <f>INDEX([5]PT!$AF$16:$AF$381,DATE(2016,MONTH(S288),DAY(S288))-DATE(2016,1,1)+1,1)</f>
        <v>0</v>
      </c>
      <c r="W288" s="176">
        <f>IF(T!$A$4&lt;MONTH(S288),VLOOKUP(S288,'[8]Podklady MZ'!$R$2:$S$367,2,FALSE),NA())</f>
        <v>26.962448018867921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 t="e">
        <f>IF(T!$A$4&gt;=MONTH(S289),VLOOKUP(S289,'[8]Podklady MZ'!$R$2:$S$367,2,FALSE),NA())</f>
        <v>#N/A</v>
      </c>
      <c r="V289" s="176">
        <f>INDEX([5]PT!$AF$16:$AF$381,DATE(2016,MONTH(S289),DAY(S289))-DATE(2016,1,1)+1,1)</f>
        <v>0</v>
      </c>
      <c r="W289" s="176">
        <f>IF(T!$A$4&lt;MONTH(S289),VLOOKUP(S289,'[8]Podklady MZ'!$R$2:$S$367,2,FALSE),NA())</f>
        <v>25.205655188679245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 t="e">
        <f>IF(T!$A$4&gt;=MONTH(S290),VLOOKUP(S290,'[8]Podklady MZ'!$R$2:$S$367,2,FALSE),NA())</f>
        <v>#N/A</v>
      </c>
      <c r="V290" s="176">
        <f>INDEX([5]PT!$AF$16:$AF$381,DATE(2016,MONTH(S290),DAY(S290))-DATE(2016,1,1)+1,1)</f>
        <v>0</v>
      </c>
      <c r="W290" s="176">
        <f>IF(T!$A$4&lt;MONTH(S290),VLOOKUP(S290,'[8]Podklady MZ'!$R$2:$S$367,2,FALSE),NA())</f>
        <v>22.996606792452827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 t="e">
        <f>IF(T!$A$4&gt;=MONTH(S291),VLOOKUP(S291,'[8]Podklady MZ'!$R$2:$S$367,2,FALSE),NA())</f>
        <v>#N/A</v>
      </c>
      <c r="V291" s="176">
        <f>INDEX([5]PT!$AF$16:$AF$381,DATE(2016,MONTH(S291),DAY(S291))-DATE(2016,1,1)+1,1)</f>
        <v>0</v>
      </c>
      <c r="W291" s="176">
        <f>IF(T!$A$4&lt;MONTH(S291),VLOOKUP(S291,'[8]Podklady MZ'!$R$2:$S$367,2,FALSE),NA())</f>
        <v>21.323461698113203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 t="e">
        <f>IF(T!$A$4&gt;=MONTH(S292),VLOOKUP(S292,'[8]Podklady MZ'!$R$2:$S$367,2,FALSE),NA())</f>
        <v>#N/A</v>
      </c>
      <c r="V292" s="176">
        <f>INDEX([5]PT!$AF$16:$AF$381,DATE(2016,MONTH(S292),DAY(S292))-DATE(2016,1,1)+1,1)</f>
        <v>0</v>
      </c>
      <c r="W292" s="176">
        <f>IF(T!$A$4&lt;MONTH(S292),VLOOKUP(S292,'[8]Podklady MZ'!$R$2:$S$367,2,FALSE),NA())</f>
        <v>22.305616415094338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 t="e">
        <f>IF(T!$A$4&gt;=MONTH(S293),VLOOKUP(S293,'[8]Podklady MZ'!$R$2:$S$367,2,FALSE),NA())</f>
        <v>#N/A</v>
      </c>
      <c r="V293" s="176">
        <f>INDEX([5]PT!$AF$16:$AF$381,DATE(2016,MONTH(S293),DAY(S293))-DATE(2016,1,1)+1,1)</f>
        <v>0</v>
      </c>
      <c r="W293" s="176">
        <f>IF(T!$A$4&lt;MONTH(S293),VLOOKUP(S293,'[8]Podklady MZ'!$R$2:$S$367,2,FALSE),NA())</f>
        <v>25.150728679245283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 t="e">
        <f>IF(T!$A$4&gt;=MONTH(S294),VLOOKUP(S294,'[8]Podklady MZ'!$R$2:$S$367,2,FALSE),NA())</f>
        <v>#N/A</v>
      </c>
      <c r="V294" s="176">
        <f>INDEX([5]PT!$AF$16:$AF$381,DATE(2016,MONTH(S294),DAY(S294))-DATE(2016,1,1)+1,1)</f>
        <v>0</v>
      </c>
      <c r="W294" s="176">
        <f>IF(T!$A$4&lt;MONTH(S294),VLOOKUP(S294,'[8]Podklady MZ'!$R$2:$S$367,2,FALSE),NA())</f>
        <v>25.913584811320753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 t="e">
        <f>IF(T!$A$4&gt;=MONTH(S295),VLOOKUP(S295,'[8]Podklady MZ'!$R$2:$S$367,2,FALSE),NA())</f>
        <v>#N/A</v>
      </c>
      <c r="V295" s="176">
        <f>INDEX([5]PT!$AF$16:$AF$381,DATE(2016,MONTH(S295),DAY(S295))-DATE(2016,1,1)+1,1)</f>
        <v>0</v>
      </c>
      <c r="W295" s="176">
        <f>IF(T!$A$4&lt;MONTH(S295),VLOOKUP(S295,'[8]Podklady MZ'!$R$2:$S$367,2,FALSE),NA())</f>
        <v>24.970401698113207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 t="e">
        <f>IF(T!$A$4&gt;=MONTH(S296),VLOOKUP(S296,'[8]Podklady MZ'!$R$2:$S$367,2,FALSE),NA())</f>
        <v>#N/A</v>
      </c>
      <c r="V296" s="176">
        <f>INDEX([5]PT!$AF$16:$AF$381,DATE(2016,MONTH(S296),DAY(S296))-DATE(2016,1,1)+1,1)</f>
        <v>0</v>
      </c>
      <c r="W296" s="176">
        <f>IF(T!$A$4&lt;MONTH(S296),VLOOKUP(S296,'[8]Podklady MZ'!$R$2:$S$367,2,FALSE),NA())</f>
        <v>24.287413490566035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 t="e">
        <f>IF(T!$A$4&gt;=MONTH(S297),VLOOKUP(S297,'[8]Podklady MZ'!$R$2:$S$367,2,FALSE),NA())</f>
        <v>#N/A</v>
      </c>
      <c r="V297" s="176">
        <f>INDEX([5]PT!$AF$16:$AF$381,DATE(2016,MONTH(S297),DAY(S297))-DATE(2016,1,1)+1,1)</f>
        <v>0</v>
      </c>
      <c r="W297" s="176">
        <f>IF(T!$A$4&lt;MONTH(S297),VLOOKUP(S297,'[8]Podklady MZ'!$R$2:$S$367,2,FALSE),NA())</f>
        <v>23.190001698113207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 t="e">
        <f>IF(T!$A$4&gt;=MONTH(S298),VLOOKUP(S298,'[8]Podklady MZ'!$R$2:$S$367,2,FALSE),NA())</f>
        <v>#N/A</v>
      </c>
      <c r="V298" s="176">
        <f>INDEX([5]PT!$AF$16:$AF$381,DATE(2016,MONTH(S298),DAY(S298))-DATE(2016,1,1)+1,1)</f>
        <v>0</v>
      </c>
      <c r="W298" s="176">
        <f>IF(T!$A$4&lt;MONTH(S298),VLOOKUP(S298,'[8]Podklady MZ'!$R$2:$S$367,2,FALSE),NA())</f>
        <v>21.232633113207545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 t="e">
        <f>IF(T!$A$4&gt;=MONTH(S299),VLOOKUP(S299,'[8]Podklady MZ'!$R$2:$S$367,2,FALSE),NA())</f>
        <v>#N/A</v>
      </c>
      <c r="V299" s="176">
        <f>INDEX([5]PT!$AF$16:$AF$381,DATE(2016,MONTH(S299),DAY(S299))-DATE(2016,1,1)+1,1)</f>
        <v>0</v>
      </c>
      <c r="W299" s="176">
        <f>IF(T!$A$4&lt;MONTH(S299),VLOOKUP(S299,'[8]Podklady MZ'!$R$2:$S$367,2,FALSE),NA())</f>
        <v>21.750670660377356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 t="e">
        <f>IF(T!$A$4&gt;=MONTH(S300),VLOOKUP(S300,'[8]Podklady MZ'!$R$2:$S$367,2,FALSE),NA())</f>
        <v>#N/A</v>
      </c>
      <c r="V300" s="176">
        <f>INDEX([5]PT!$AF$16:$AF$381,DATE(2016,MONTH(S300),DAY(S300))-DATE(2016,1,1)+1,1)</f>
        <v>0</v>
      </c>
      <c r="W300" s="176">
        <f>IF(T!$A$4&lt;MONTH(S300),VLOOKUP(S300,'[8]Podklady MZ'!$R$2:$S$367,2,FALSE),NA())</f>
        <v>23.480586037735847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 t="e">
        <f>IF(T!$A$4&gt;=MONTH(S301),VLOOKUP(S301,'[8]Podklady MZ'!$R$2:$S$367,2,FALSE),NA())</f>
        <v>#N/A</v>
      </c>
      <c r="V301" s="176">
        <f>INDEX([5]PT!$AF$16:$AF$381,DATE(2016,MONTH(S301),DAY(S301))-DATE(2016,1,1)+1,1)</f>
        <v>0</v>
      </c>
      <c r="W301" s="176">
        <f>IF(T!$A$4&lt;MONTH(S301),VLOOKUP(S301,'[8]Podklady MZ'!$R$2:$S$367,2,FALSE),NA())</f>
        <v>23.970427264150938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 t="e">
        <f>IF(T!$A$4&gt;=MONTH(S302),VLOOKUP(S302,'[8]Podklady MZ'!$R$2:$S$367,2,FALSE),NA())</f>
        <v>#N/A</v>
      </c>
      <c r="V302" s="176">
        <f>INDEX([5]PT!$AF$16:$AF$381,DATE(2016,MONTH(S302),DAY(S302))-DATE(2016,1,1)+1,1)</f>
        <v>0</v>
      </c>
      <c r="W302" s="176">
        <f>IF(T!$A$4&lt;MONTH(S302),VLOOKUP(S302,'[8]Podklady MZ'!$R$2:$S$367,2,FALSE),NA())</f>
        <v>22.510704811320753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 t="e">
        <f>IF(T!$A$4&gt;=MONTH(S303),VLOOKUP(S303,'[8]Podklady MZ'!$R$2:$S$367,2,FALSE),NA())</f>
        <v>#N/A</v>
      </c>
      <c r="V303" s="176">
        <f>INDEX([5]PT!$AF$16:$AF$381,DATE(2016,MONTH(S303),DAY(S303))-DATE(2016,1,1)+1,1)</f>
        <v>0</v>
      </c>
      <c r="W303" s="176">
        <f>IF(T!$A$4&lt;MONTH(S303),VLOOKUP(S303,'[8]Podklady MZ'!$R$2:$S$367,2,FALSE),NA())</f>
        <v>23.473946981132073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 t="e">
        <f>IF(T!$A$4&gt;=MONTH(S304),VLOOKUP(S304,'[8]Podklady MZ'!$R$2:$S$367,2,FALSE),NA())</f>
        <v>#N/A</v>
      </c>
      <c r="V304" s="176">
        <f>INDEX([5]PT!$AF$16:$AF$381,DATE(2016,MONTH(S304),DAY(S304))-DATE(2016,1,1)+1,1)</f>
        <v>0</v>
      </c>
      <c r="W304" s="176">
        <f>IF(T!$A$4&lt;MONTH(S304),VLOOKUP(S304,'[8]Podklady MZ'!$R$2:$S$367,2,FALSE),NA())</f>
        <v>22.892191603773583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 t="e">
        <f>IF(T!$A$4&gt;=MONTH(S305),VLOOKUP(S305,'[8]Podklady MZ'!$R$2:$S$367,2,FALSE),NA())</f>
        <v>#N/A</v>
      </c>
      <c r="V305" s="176">
        <f>INDEX([5]PT!$AF$16:$AF$381,DATE(2016,MONTH(S305),DAY(S305))-DATE(2016,1,1)+1,1)</f>
        <v>0</v>
      </c>
      <c r="W305" s="176">
        <f>IF(T!$A$4&lt;MONTH(S305),VLOOKUP(S305,'[8]Podklady MZ'!$R$2:$S$367,2,FALSE),NA())</f>
        <v>20.147534245283016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 t="e">
        <f>IF(T!$A$4&gt;=MONTH(S306),VLOOKUP(S306,'[8]Podklady MZ'!$R$2:$S$367,2,FALSE),NA())</f>
        <v>#N/A</v>
      </c>
      <c r="V306" s="176">
        <f>INDEX([5]PT!$AF$16:$AF$381,DATE(2016,MONTH(S306),DAY(S306))-DATE(2016,1,1)+1,1)</f>
        <v>0</v>
      </c>
      <c r="W306" s="176">
        <f>IF(T!$A$4&lt;MONTH(S306),VLOOKUP(S306,'[8]Podklady MZ'!$R$2:$S$367,2,FALSE),NA())</f>
        <v>30.666666666666668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 t="e">
        <f>IF(T!$A$4&gt;=MONTH(S307),VLOOKUP(S307,'[8]Podklady MZ'!$R$2:$S$367,2,FALSE),NA())</f>
        <v>#N/A</v>
      </c>
      <c r="V307" s="176">
        <f>INDEX([5]PT!$AF$16:$AF$381,DATE(2016,MONTH(S307),DAY(S307))-DATE(2016,1,1)+1,1)</f>
        <v>0</v>
      </c>
      <c r="W307" s="176">
        <f>IF(T!$A$4&lt;MONTH(S307),VLOOKUP(S307,'[8]Podklady MZ'!$R$2:$S$367,2,FALSE),NA())</f>
        <v>30.666666666666668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 t="e">
        <f>IF(T!$A$4&gt;=MONTH(S308),VLOOKUP(S308,'[8]Podklady MZ'!$R$2:$S$367,2,FALSE),NA())</f>
        <v>#N/A</v>
      </c>
      <c r="V308" s="176">
        <f>INDEX([5]PT!$AF$16:$AF$381,DATE(2016,MONTH(S308),DAY(S308))-DATE(2016,1,1)+1,1)</f>
        <v>0</v>
      </c>
      <c r="W308" s="176">
        <f>IF(T!$A$4&lt;MONTH(S308),VLOOKUP(S308,'[8]Podklady MZ'!$R$2:$S$367,2,FALSE),NA())</f>
        <v>30.666666666666668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 t="e">
        <f>IF(T!$A$4&gt;=MONTH(S309),VLOOKUP(S309,'[8]Podklady MZ'!$R$2:$S$367,2,FALSE),NA())</f>
        <v>#N/A</v>
      </c>
      <c r="V309" s="176">
        <f>INDEX([5]PT!$AF$16:$AF$381,DATE(2016,MONTH(S309),DAY(S309))-DATE(2016,1,1)+1,1)</f>
        <v>0</v>
      </c>
      <c r="W309" s="176">
        <f>IF(T!$A$4&lt;MONTH(S309),VLOOKUP(S309,'[8]Podklady MZ'!$R$2:$S$367,2,FALSE),NA())</f>
        <v>30.666666666666668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 t="e">
        <f>IF(T!$A$4&gt;=MONTH(S310),VLOOKUP(S310,'[8]Podklady MZ'!$R$2:$S$367,2,FALSE),NA())</f>
        <v>#N/A</v>
      </c>
      <c r="V310" s="176">
        <f>INDEX([5]PT!$AF$16:$AF$381,DATE(2016,MONTH(S310),DAY(S310))-DATE(2016,1,1)+1,1)</f>
        <v>0</v>
      </c>
      <c r="W310" s="176">
        <f>IF(T!$A$4&lt;MONTH(S310),VLOOKUP(S310,'[8]Podklady MZ'!$R$2:$S$367,2,FALSE),NA())</f>
        <v>30.666666666666668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 t="e">
        <f>IF(T!$A$4&gt;=MONTH(S311),VLOOKUP(S311,'[8]Podklady MZ'!$R$2:$S$367,2,FALSE),NA())</f>
        <v>#N/A</v>
      </c>
      <c r="V311" s="176">
        <f>INDEX([5]PT!$AF$16:$AF$381,DATE(2016,MONTH(S311),DAY(S311))-DATE(2016,1,1)+1,1)</f>
        <v>0</v>
      </c>
      <c r="W311" s="176">
        <f>IF(T!$A$4&lt;MONTH(S311),VLOOKUP(S311,'[8]Podklady MZ'!$R$2:$S$367,2,FALSE),NA())</f>
        <v>30.666666666666668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 t="e">
        <f>IF(T!$A$4&gt;=MONTH(S312),VLOOKUP(S312,'[8]Podklady MZ'!$R$2:$S$367,2,FALSE),NA())</f>
        <v>#N/A</v>
      </c>
      <c r="V312" s="176">
        <f>INDEX([5]PT!$AF$16:$AF$381,DATE(2016,MONTH(S312),DAY(S312))-DATE(2016,1,1)+1,1)</f>
        <v>0</v>
      </c>
      <c r="W312" s="176">
        <f>IF(T!$A$4&lt;MONTH(S312),VLOOKUP(S312,'[8]Podklady MZ'!$R$2:$S$367,2,FALSE),NA())</f>
        <v>30.666666666666668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 t="e">
        <f>IF(T!$A$4&gt;=MONTH(S313),VLOOKUP(S313,'[8]Podklady MZ'!$R$2:$S$367,2,FALSE),NA())</f>
        <v>#N/A</v>
      </c>
      <c r="V313" s="176">
        <f>INDEX([5]PT!$AF$16:$AF$381,DATE(2016,MONTH(S313),DAY(S313))-DATE(2016,1,1)+1,1)</f>
        <v>0</v>
      </c>
      <c r="W313" s="176">
        <f>IF(T!$A$4&lt;MONTH(S313),VLOOKUP(S313,'[8]Podklady MZ'!$R$2:$S$367,2,FALSE),NA())</f>
        <v>30.666666666666668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 t="e">
        <f>IF(T!$A$4&gt;=MONTH(S314),VLOOKUP(S314,'[8]Podklady MZ'!$R$2:$S$367,2,FALSE),NA())</f>
        <v>#N/A</v>
      </c>
      <c r="V314" s="176">
        <f>INDEX([5]PT!$AF$16:$AF$381,DATE(2016,MONTH(S314),DAY(S314))-DATE(2016,1,1)+1,1)</f>
        <v>0</v>
      </c>
      <c r="W314" s="176">
        <f>IF(T!$A$4&lt;MONTH(S314),VLOOKUP(S314,'[8]Podklady MZ'!$R$2:$S$367,2,FALSE),NA())</f>
        <v>30.666666666666668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 t="e">
        <f>IF(T!$A$4&gt;=MONTH(S315),VLOOKUP(S315,'[8]Podklady MZ'!$R$2:$S$367,2,FALSE),NA())</f>
        <v>#N/A</v>
      </c>
      <c r="V315" s="176">
        <f>INDEX([5]PT!$AF$16:$AF$381,DATE(2016,MONTH(S315),DAY(S315))-DATE(2016,1,1)+1,1)</f>
        <v>0</v>
      </c>
      <c r="W315" s="176">
        <f>IF(T!$A$4&lt;MONTH(S315),VLOOKUP(S315,'[8]Podklady MZ'!$R$2:$S$367,2,FALSE),NA())</f>
        <v>30.666666666666668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 t="e">
        <f>IF(T!$A$4&gt;=MONTH(S316),VLOOKUP(S316,'[8]Podklady MZ'!$R$2:$S$367,2,FALSE),NA())</f>
        <v>#N/A</v>
      </c>
      <c r="V316" s="176">
        <f>INDEX([5]PT!$AF$16:$AF$381,DATE(2016,MONTH(S316),DAY(S316))-DATE(2016,1,1)+1,1)</f>
        <v>0</v>
      </c>
      <c r="W316" s="176">
        <f>IF(T!$A$4&lt;MONTH(S316),VLOOKUP(S316,'[8]Podklady MZ'!$R$2:$S$367,2,FALSE),NA())</f>
        <v>30.666666666666668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 t="e">
        <f>IF(T!$A$4&gt;=MONTH(S317),VLOOKUP(S317,'[8]Podklady MZ'!$R$2:$S$367,2,FALSE),NA())</f>
        <v>#N/A</v>
      </c>
      <c r="V317" s="176">
        <f>INDEX([5]PT!$AF$16:$AF$381,DATE(2016,MONTH(S317),DAY(S317))-DATE(2016,1,1)+1,1)</f>
        <v>0</v>
      </c>
      <c r="W317" s="176">
        <f>IF(T!$A$4&lt;MONTH(S317),VLOOKUP(S317,'[8]Podklady MZ'!$R$2:$S$367,2,FALSE),NA())</f>
        <v>30.666666666666668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 t="e">
        <f>IF(T!$A$4&gt;=MONTH(S318),VLOOKUP(S318,'[8]Podklady MZ'!$R$2:$S$367,2,FALSE),NA())</f>
        <v>#N/A</v>
      </c>
      <c r="V318" s="176">
        <f>INDEX([5]PT!$AF$16:$AF$381,DATE(2016,MONTH(S318),DAY(S318))-DATE(2016,1,1)+1,1)</f>
        <v>0</v>
      </c>
      <c r="W318" s="176">
        <f>IF(T!$A$4&lt;MONTH(S318),VLOOKUP(S318,'[8]Podklady MZ'!$R$2:$S$367,2,FALSE),NA())</f>
        <v>30.666666666666668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 t="e">
        <f>IF(T!$A$4&gt;=MONTH(S319),VLOOKUP(S319,'[8]Podklady MZ'!$R$2:$S$367,2,FALSE),NA())</f>
        <v>#N/A</v>
      </c>
      <c r="V319" s="176">
        <f>INDEX([5]PT!$AF$16:$AF$381,DATE(2016,MONTH(S319),DAY(S319))-DATE(2016,1,1)+1,1)</f>
        <v>0</v>
      </c>
      <c r="W319" s="176">
        <f>IF(T!$A$4&lt;MONTH(S319),VLOOKUP(S319,'[8]Podklady MZ'!$R$2:$S$367,2,FALSE),NA())</f>
        <v>30.666666666666668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 t="e">
        <f>IF(T!$A$4&gt;=MONTH(S320),VLOOKUP(S320,'[8]Podklady MZ'!$R$2:$S$367,2,FALSE),NA())</f>
        <v>#N/A</v>
      </c>
      <c r="V320" s="176">
        <f>INDEX([5]PT!$AF$16:$AF$381,DATE(2016,MONTH(S320),DAY(S320))-DATE(2016,1,1)+1,1)</f>
        <v>0</v>
      </c>
      <c r="W320" s="176">
        <f>IF(T!$A$4&lt;MONTH(S320),VLOOKUP(S320,'[8]Podklady MZ'!$R$2:$S$367,2,FALSE),NA())</f>
        <v>30.666666666666668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 t="e">
        <f>IF(T!$A$4&gt;=MONTH(S321),VLOOKUP(S321,'[8]Podklady MZ'!$R$2:$S$367,2,FALSE),NA())</f>
        <v>#N/A</v>
      </c>
      <c r="V321" s="176">
        <f>INDEX([5]PT!$AF$16:$AF$381,DATE(2016,MONTH(S321),DAY(S321))-DATE(2016,1,1)+1,1)</f>
        <v>0</v>
      </c>
      <c r="W321" s="176">
        <f>IF(T!$A$4&lt;MONTH(S321),VLOOKUP(S321,'[8]Podklady MZ'!$R$2:$S$367,2,FALSE),NA())</f>
        <v>30.666666666666668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 t="e">
        <f>IF(T!$A$4&gt;=MONTH(S322),VLOOKUP(S322,'[8]Podklady MZ'!$R$2:$S$367,2,FALSE),NA())</f>
        <v>#N/A</v>
      </c>
      <c r="V322" s="176">
        <f>INDEX([5]PT!$AF$16:$AF$381,DATE(2016,MONTH(S322),DAY(S322))-DATE(2016,1,1)+1,1)</f>
        <v>0</v>
      </c>
      <c r="W322" s="176">
        <f>IF(T!$A$4&lt;MONTH(S322),VLOOKUP(S322,'[8]Podklady MZ'!$R$2:$S$367,2,FALSE),NA())</f>
        <v>30.666666666666668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 t="e">
        <f>IF(T!$A$4&gt;=MONTH(S323),VLOOKUP(S323,'[8]Podklady MZ'!$R$2:$S$367,2,FALSE),NA())</f>
        <v>#N/A</v>
      </c>
      <c r="V323" s="176">
        <f>INDEX([5]PT!$AF$16:$AF$381,DATE(2016,MONTH(S323),DAY(S323))-DATE(2016,1,1)+1,1)</f>
        <v>0</v>
      </c>
      <c r="W323" s="176">
        <f>IF(T!$A$4&lt;MONTH(S323),VLOOKUP(S323,'[8]Podklady MZ'!$R$2:$S$367,2,FALSE),NA())</f>
        <v>30.666666666666668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 t="e">
        <f>IF(T!$A$4&gt;=MONTH(S324),VLOOKUP(S324,'[8]Podklady MZ'!$R$2:$S$367,2,FALSE),NA())</f>
        <v>#N/A</v>
      </c>
      <c r="V324" s="176">
        <f>INDEX([5]PT!$AF$16:$AF$381,DATE(2016,MONTH(S324),DAY(S324))-DATE(2016,1,1)+1,1)</f>
        <v>0</v>
      </c>
      <c r="W324" s="176">
        <f>IF(T!$A$4&lt;MONTH(S324),VLOOKUP(S324,'[8]Podklady MZ'!$R$2:$S$367,2,FALSE),NA())</f>
        <v>30.666666666666668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 t="e">
        <f>IF(T!$A$4&gt;=MONTH(S325),VLOOKUP(S325,'[8]Podklady MZ'!$R$2:$S$367,2,FALSE),NA())</f>
        <v>#N/A</v>
      </c>
      <c r="V325" s="176">
        <f>INDEX([5]PT!$AF$16:$AF$381,DATE(2016,MONTH(S325),DAY(S325))-DATE(2016,1,1)+1,1)</f>
        <v>0</v>
      </c>
      <c r="W325" s="176">
        <f>IF(T!$A$4&lt;MONTH(S325),VLOOKUP(S325,'[8]Podklady MZ'!$R$2:$S$367,2,FALSE),NA())</f>
        <v>30.666666666666668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 t="e">
        <f>IF(T!$A$4&gt;=MONTH(S326),VLOOKUP(S326,'[8]Podklady MZ'!$R$2:$S$367,2,FALSE),NA())</f>
        <v>#N/A</v>
      </c>
      <c r="V326" s="176">
        <f>INDEX([5]PT!$AF$16:$AF$381,DATE(2016,MONTH(S326),DAY(S326))-DATE(2016,1,1)+1,1)</f>
        <v>0</v>
      </c>
      <c r="W326" s="176">
        <f>IF(T!$A$4&lt;MONTH(S326),VLOOKUP(S326,'[8]Podklady MZ'!$R$2:$S$367,2,FALSE),NA())</f>
        <v>30.666666666666668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 t="e">
        <f>IF(T!$A$4&gt;=MONTH(S327),VLOOKUP(S327,'[8]Podklady MZ'!$R$2:$S$367,2,FALSE),NA())</f>
        <v>#N/A</v>
      </c>
      <c r="V327" s="176">
        <f>INDEX([5]PT!$AF$16:$AF$381,DATE(2016,MONTH(S327),DAY(S327))-DATE(2016,1,1)+1,1)</f>
        <v>0</v>
      </c>
      <c r="W327" s="176">
        <f>IF(T!$A$4&lt;MONTH(S327),VLOOKUP(S327,'[8]Podklady MZ'!$R$2:$S$367,2,FALSE),NA())</f>
        <v>30.666666666666668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 t="e">
        <f>IF(T!$A$4&gt;=MONTH(S328),VLOOKUP(S328,'[8]Podklady MZ'!$R$2:$S$367,2,FALSE),NA())</f>
        <v>#N/A</v>
      </c>
      <c r="V328" s="176">
        <f>INDEX([5]PT!$AF$16:$AF$381,DATE(2016,MONTH(S328),DAY(S328))-DATE(2016,1,1)+1,1)</f>
        <v>0</v>
      </c>
      <c r="W328" s="176">
        <f>IF(T!$A$4&lt;MONTH(S328),VLOOKUP(S328,'[8]Podklady MZ'!$R$2:$S$367,2,FALSE),NA())</f>
        <v>30.666666666666668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 t="e">
        <f>IF(T!$A$4&gt;=MONTH(S329),VLOOKUP(S329,'[8]Podklady MZ'!$R$2:$S$367,2,FALSE),NA())</f>
        <v>#N/A</v>
      </c>
      <c r="V329" s="176">
        <f>INDEX([5]PT!$AF$16:$AF$381,DATE(2016,MONTH(S329),DAY(S329))-DATE(2016,1,1)+1,1)</f>
        <v>0</v>
      </c>
      <c r="W329" s="176">
        <f>IF(T!$A$4&lt;MONTH(S329),VLOOKUP(S329,'[8]Podklady MZ'!$R$2:$S$367,2,FALSE),NA())</f>
        <v>30.666666666666668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 t="e">
        <f>IF(T!$A$4&gt;=MONTH(S330),VLOOKUP(S330,'[8]Podklady MZ'!$R$2:$S$367,2,FALSE),NA())</f>
        <v>#N/A</v>
      </c>
      <c r="V330" s="176">
        <f>INDEX([5]PT!$AF$16:$AF$381,DATE(2016,MONTH(S330),DAY(S330))-DATE(2016,1,1)+1,1)</f>
        <v>0</v>
      </c>
      <c r="W330" s="176">
        <f>IF(T!$A$4&lt;MONTH(S330),VLOOKUP(S330,'[8]Podklady MZ'!$R$2:$S$367,2,FALSE),NA())</f>
        <v>30.666666666666668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 t="e">
        <f>IF(T!$A$4&gt;=MONTH(S331),VLOOKUP(S331,'[8]Podklady MZ'!$R$2:$S$367,2,FALSE),NA())</f>
        <v>#N/A</v>
      </c>
      <c r="V331" s="176">
        <f>INDEX([5]PT!$AF$16:$AF$381,DATE(2016,MONTH(S331),DAY(S331))-DATE(2016,1,1)+1,1)</f>
        <v>0</v>
      </c>
      <c r="W331" s="176">
        <f>IF(T!$A$4&lt;MONTH(S331),VLOOKUP(S331,'[8]Podklady MZ'!$R$2:$S$367,2,FALSE),NA())</f>
        <v>30.666666666666668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 t="e">
        <f>IF(T!$A$4&gt;=MONTH(S332),VLOOKUP(S332,'[8]Podklady MZ'!$R$2:$S$367,2,FALSE),NA())</f>
        <v>#N/A</v>
      </c>
      <c r="V332" s="176">
        <f>INDEX([5]PT!$AF$16:$AF$381,DATE(2016,MONTH(S332),DAY(S332))-DATE(2016,1,1)+1,1)</f>
        <v>0</v>
      </c>
      <c r="W332" s="176">
        <f>IF(T!$A$4&lt;MONTH(S332),VLOOKUP(S332,'[8]Podklady MZ'!$R$2:$S$367,2,FALSE),NA())</f>
        <v>30.666666666666668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 t="e">
        <f>IF(T!$A$4&gt;=MONTH(S333),VLOOKUP(S333,'[8]Podklady MZ'!$R$2:$S$367,2,FALSE),NA())</f>
        <v>#N/A</v>
      </c>
      <c r="V333" s="176">
        <f>INDEX([5]PT!$AF$16:$AF$381,DATE(2016,MONTH(S333),DAY(S333))-DATE(2016,1,1)+1,1)</f>
        <v>0</v>
      </c>
      <c r="W333" s="176">
        <f>IF(T!$A$4&lt;MONTH(S333),VLOOKUP(S333,'[8]Podklady MZ'!$R$2:$S$367,2,FALSE),NA())</f>
        <v>30.666666666666668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 t="e">
        <f>IF(T!$A$4&gt;=MONTH(S334),VLOOKUP(S334,'[8]Podklady MZ'!$R$2:$S$367,2,FALSE),NA())</f>
        <v>#N/A</v>
      </c>
      <c r="V334" s="176">
        <f>INDEX([5]PT!$AF$16:$AF$381,DATE(2016,MONTH(S334),DAY(S334))-DATE(2016,1,1)+1,1)</f>
        <v>0</v>
      </c>
      <c r="W334" s="176">
        <f>IF(T!$A$4&lt;MONTH(S334),VLOOKUP(S334,'[8]Podklady MZ'!$R$2:$S$367,2,FALSE),NA())</f>
        <v>30.666666666666668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 t="e">
        <f>IF(T!$A$4&gt;=MONTH(S335),VLOOKUP(S335,'[8]Podklady MZ'!$R$2:$S$367,2,FALSE),NA())</f>
        <v>#N/A</v>
      </c>
      <c r="V335" s="176">
        <f>INDEX([5]PT!$AF$16:$AF$381,DATE(2016,MONTH(S335),DAY(S335))-DATE(2016,1,1)+1,1)</f>
        <v>0</v>
      </c>
      <c r="W335" s="176">
        <f>IF(T!$A$4&lt;MONTH(S335),VLOOKUP(S335,'[8]Podklady MZ'!$R$2:$S$367,2,FALSE),NA())</f>
        <v>30.666666666666668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 t="e">
        <f>IF(T!$A$4&gt;=MONTH(S336),VLOOKUP(S336,'[8]Podklady MZ'!$R$2:$S$367,2,FALSE),NA())</f>
        <v>#N/A</v>
      </c>
      <c r="V336" s="176">
        <f>INDEX([5]PT!$AF$16:$AF$381,DATE(2016,MONTH(S336),DAY(S336))-DATE(2016,1,1)+1,1)</f>
        <v>0</v>
      </c>
      <c r="W336" s="176">
        <f>IF(T!$A$4&lt;MONTH(S336),VLOOKUP(S336,'[8]Podklady MZ'!$R$2:$S$367,2,FALSE),NA())</f>
        <v>34.838709677419352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 t="e">
        <f>IF(T!$A$4&gt;=MONTH(S337),VLOOKUP(S337,'[8]Podklady MZ'!$R$2:$S$367,2,FALSE),NA())</f>
        <v>#N/A</v>
      </c>
      <c r="V337" s="176">
        <f>INDEX([5]PT!$AF$16:$AF$381,DATE(2016,MONTH(S337),DAY(S337))-DATE(2016,1,1)+1,1)</f>
        <v>0</v>
      </c>
      <c r="W337" s="176">
        <f>IF(T!$A$4&lt;MONTH(S337),VLOOKUP(S337,'[8]Podklady MZ'!$R$2:$S$367,2,FALSE),NA())</f>
        <v>34.838709677419352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 t="e">
        <f>IF(T!$A$4&gt;=MONTH(S338),VLOOKUP(S338,'[8]Podklady MZ'!$R$2:$S$367,2,FALSE),NA())</f>
        <v>#N/A</v>
      </c>
      <c r="V338" s="176">
        <f>INDEX([5]PT!$AF$16:$AF$381,DATE(2016,MONTH(S338),DAY(S338))-DATE(2016,1,1)+1,1)</f>
        <v>0</v>
      </c>
      <c r="W338" s="176">
        <f>IF(T!$A$4&lt;MONTH(S338),VLOOKUP(S338,'[8]Podklady MZ'!$R$2:$S$367,2,FALSE),NA())</f>
        <v>34.838709677419352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 t="e">
        <f>IF(T!$A$4&gt;=MONTH(S339),VLOOKUP(S339,'[8]Podklady MZ'!$R$2:$S$367,2,FALSE),NA())</f>
        <v>#N/A</v>
      </c>
      <c r="V339" s="176">
        <f>INDEX([5]PT!$AF$16:$AF$381,DATE(2016,MONTH(S339),DAY(S339))-DATE(2016,1,1)+1,1)</f>
        <v>0</v>
      </c>
      <c r="W339" s="176">
        <f>IF(T!$A$4&lt;MONTH(S339),VLOOKUP(S339,'[8]Podklady MZ'!$R$2:$S$367,2,FALSE),NA())</f>
        <v>34.838709677419352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 t="e">
        <f>IF(T!$A$4&gt;=MONTH(S340),VLOOKUP(S340,'[8]Podklady MZ'!$R$2:$S$367,2,FALSE),NA())</f>
        <v>#N/A</v>
      </c>
      <c r="V340" s="176">
        <f>INDEX([5]PT!$AF$16:$AF$381,DATE(2016,MONTH(S340),DAY(S340))-DATE(2016,1,1)+1,1)</f>
        <v>0</v>
      </c>
      <c r="W340" s="176">
        <f>IF(T!$A$4&lt;MONTH(S340),VLOOKUP(S340,'[8]Podklady MZ'!$R$2:$S$367,2,FALSE),NA())</f>
        <v>34.838709677419352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 t="e">
        <f>IF(T!$A$4&gt;=MONTH(S341),VLOOKUP(S341,'[8]Podklady MZ'!$R$2:$S$367,2,FALSE),NA())</f>
        <v>#N/A</v>
      </c>
      <c r="V341" s="176">
        <f>INDEX([5]PT!$AF$16:$AF$381,DATE(2016,MONTH(S341),DAY(S341))-DATE(2016,1,1)+1,1)</f>
        <v>0</v>
      </c>
      <c r="W341" s="176">
        <f>IF(T!$A$4&lt;MONTH(S341),VLOOKUP(S341,'[8]Podklady MZ'!$R$2:$S$367,2,FALSE),NA())</f>
        <v>34.838709677419352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 t="e">
        <f>IF(T!$A$4&gt;=MONTH(S342),VLOOKUP(S342,'[8]Podklady MZ'!$R$2:$S$367,2,FALSE),NA())</f>
        <v>#N/A</v>
      </c>
      <c r="V342" s="176">
        <f>INDEX([5]PT!$AF$16:$AF$381,DATE(2016,MONTH(S342),DAY(S342))-DATE(2016,1,1)+1,1)</f>
        <v>0</v>
      </c>
      <c r="W342" s="176">
        <f>IF(T!$A$4&lt;MONTH(S342),VLOOKUP(S342,'[8]Podklady MZ'!$R$2:$S$367,2,FALSE),NA())</f>
        <v>34.838709677419352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 t="e">
        <f>IF(T!$A$4&gt;=MONTH(S343),VLOOKUP(S343,'[8]Podklady MZ'!$R$2:$S$367,2,FALSE),NA())</f>
        <v>#N/A</v>
      </c>
      <c r="V343" s="176">
        <f>INDEX([5]PT!$AF$16:$AF$381,DATE(2016,MONTH(S343),DAY(S343))-DATE(2016,1,1)+1,1)</f>
        <v>0</v>
      </c>
      <c r="W343" s="176">
        <f>IF(T!$A$4&lt;MONTH(S343),VLOOKUP(S343,'[8]Podklady MZ'!$R$2:$S$367,2,FALSE),NA())</f>
        <v>34.838709677419352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 t="e">
        <f>IF(T!$A$4&gt;=MONTH(S344),VLOOKUP(S344,'[8]Podklady MZ'!$R$2:$S$367,2,FALSE),NA())</f>
        <v>#N/A</v>
      </c>
      <c r="V344" s="176">
        <f>INDEX([5]PT!$AF$16:$AF$381,DATE(2016,MONTH(S344),DAY(S344))-DATE(2016,1,1)+1,1)</f>
        <v>0</v>
      </c>
      <c r="W344" s="176">
        <f>IF(T!$A$4&lt;MONTH(S344),VLOOKUP(S344,'[8]Podklady MZ'!$R$2:$S$367,2,FALSE),NA())</f>
        <v>34.838709677419352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 t="e">
        <f>IF(T!$A$4&gt;=MONTH(S345),VLOOKUP(S345,'[8]Podklady MZ'!$R$2:$S$367,2,FALSE),NA())</f>
        <v>#N/A</v>
      </c>
      <c r="V345" s="176">
        <f>INDEX([5]PT!$AF$16:$AF$381,DATE(2016,MONTH(S345),DAY(S345))-DATE(2016,1,1)+1,1)</f>
        <v>0</v>
      </c>
      <c r="W345" s="176">
        <f>IF(T!$A$4&lt;MONTH(S345),VLOOKUP(S345,'[8]Podklady MZ'!$R$2:$S$367,2,FALSE),NA())</f>
        <v>34.838709677419352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 t="e">
        <f>IF(T!$A$4&gt;=MONTH(S346),VLOOKUP(S346,'[8]Podklady MZ'!$R$2:$S$367,2,FALSE),NA())</f>
        <v>#N/A</v>
      </c>
      <c r="V346" s="176">
        <f>INDEX([5]PT!$AF$16:$AF$381,DATE(2016,MONTH(S346),DAY(S346))-DATE(2016,1,1)+1,1)</f>
        <v>0</v>
      </c>
      <c r="W346" s="176">
        <f>IF(T!$A$4&lt;MONTH(S346),VLOOKUP(S346,'[8]Podklady MZ'!$R$2:$S$367,2,FALSE),NA())</f>
        <v>34.838709677419352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 t="e">
        <f>IF(T!$A$4&gt;=MONTH(S347),VLOOKUP(S347,'[8]Podklady MZ'!$R$2:$S$367,2,FALSE),NA())</f>
        <v>#N/A</v>
      </c>
      <c r="V347" s="176">
        <f>INDEX([5]PT!$AF$16:$AF$381,DATE(2016,MONTH(S347),DAY(S347))-DATE(2016,1,1)+1,1)</f>
        <v>0</v>
      </c>
      <c r="W347" s="176">
        <f>IF(T!$A$4&lt;MONTH(S347),VLOOKUP(S347,'[8]Podklady MZ'!$R$2:$S$367,2,FALSE),NA())</f>
        <v>34.838709677419352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 t="e">
        <f>IF(T!$A$4&gt;=MONTH(S348),VLOOKUP(S348,'[8]Podklady MZ'!$R$2:$S$367,2,FALSE),NA())</f>
        <v>#N/A</v>
      </c>
      <c r="V348" s="176">
        <f>INDEX([5]PT!$AF$16:$AF$381,DATE(2016,MONTH(S348),DAY(S348))-DATE(2016,1,1)+1,1)</f>
        <v>0</v>
      </c>
      <c r="W348" s="176">
        <f>IF(T!$A$4&lt;MONTH(S348),VLOOKUP(S348,'[8]Podklady MZ'!$R$2:$S$367,2,FALSE),NA())</f>
        <v>34.838709677419352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 t="e">
        <f>IF(T!$A$4&gt;=MONTH(S349),VLOOKUP(S349,'[8]Podklady MZ'!$R$2:$S$367,2,FALSE),NA())</f>
        <v>#N/A</v>
      </c>
      <c r="V349" s="176">
        <f>INDEX([5]PT!$AF$16:$AF$381,DATE(2016,MONTH(S349),DAY(S349))-DATE(2016,1,1)+1,1)</f>
        <v>0</v>
      </c>
      <c r="W349" s="176">
        <f>IF(T!$A$4&lt;MONTH(S349),VLOOKUP(S349,'[8]Podklady MZ'!$R$2:$S$367,2,FALSE),NA())</f>
        <v>34.838709677419352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 t="e">
        <f>IF(T!$A$4&gt;=MONTH(S350),VLOOKUP(S350,'[8]Podklady MZ'!$R$2:$S$367,2,FALSE),NA())</f>
        <v>#N/A</v>
      </c>
      <c r="V350" s="176">
        <f>INDEX([5]PT!$AF$16:$AF$381,DATE(2016,MONTH(S350),DAY(S350))-DATE(2016,1,1)+1,1)</f>
        <v>0</v>
      </c>
      <c r="W350" s="176">
        <f>IF(T!$A$4&lt;MONTH(S350),VLOOKUP(S350,'[8]Podklady MZ'!$R$2:$S$367,2,FALSE),NA())</f>
        <v>34.838709677419352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 t="e">
        <f>IF(T!$A$4&gt;=MONTH(S351),VLOOKUP(S351,'[8]Podklady MZ'!$R$2:$S$367,2,FALSE),NA())</f>
        <v>#N/A</v>
      </c>
      <c r="V351" s="176">
        <f>INDEX([5]PT!$AF$16:$AF$381,DATE(2016,MONTH(S351),DAY(S351))-DATE(2016,1,1)+1,1)</f>
        <v>0</v>
      </c>
      <c r="W351" s="176">
        <f>IF(T!$A$4&lt;MONTH(S351),VLOOKUP(S351,'[8]Podklady MZ'!$R$2:$S$367,2,FALSE),NA())</f>
        <v>34.838709677419352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 t="e">
        <f>IF(T!$A$4&gt;=MONTH(S352),VLOOKUP(S352,'[8]Podklady MZ'!$R$2:$S$367,2,FALSE),NA())</f>
        <v>#N/A</v>
      </c>
      <c r="V352" s="176">
        <f>INDEX([5]PT!$AF$16:$AF$381,DATE(2016,MONTH(S352),DAY(S352))-DATE(2016,1,1)+1,1)</f>
        <v>0</v>
      </c>
      <c r="W352" s="176">
        <f>IF(T!$A$4&lt;MONTH(S352),VLOOKUP(S352,'[8]Podklady MZ'!$R$2:$S$367,2,FALSE),NA())</f>
        <v>34.838709677419352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 t="e">
        <f>IF(T!$A$4&gt;=MONTH(S353),VLOOKUP(S353,'[8]Podklady MZ'!$R$2:$S$367,2,FALSE),NA())</f>
        <v>#N/A</v>
      </c>
      <c r="V353" s="176">
        <f>INDEX([5]PT!$AF$16:$AF$381,DATE(2016,MONTH(S353),DAY(S353))-DATE(2016,1,1)+1,1)</f>
        <v>0</v>
      </c>
      <c r="W353" s="176">
        <f>IF(T!$A$4&lt;MONTH(S353),VLOOKUP(S353,'[8]Podklady MZ'!$R$2:$S$367,2,FALSE),NA())</f>
        <v>34.838709677419352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 t="e">
        <f>IF(T!$A$4&gt;=MONTH(S354),VLOOKUP(S354,'[8]Podklady MZ'!$R$2:$S$367,2,FALSE),NA())</f>
        <v>#N/A</v>
      </c>
      <c r="V354" s="176">
        <f>INDEX([5]PT!$AF$16:$AF$381,DATE(2016,MONTH(S354),DAY(S354))-DATE(2016,1,1)+1,1)</f>
        <v>0</v>
      </c>
      <c r="W354" s="176">
        <f>IF(T!$A$4&lt;MONTH(S354),VLOOKUP(S354,'[8]Podklady MZ'!$R$2:$S$367,2,FALSE),NA())</f>
        <v>34.838709677419352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 t="e">
        <f>IF(T!$A$4&gt;=MONTH(S355),VLOOKUP(S355,'[8]Podklady MZ'!$R$2:$S$367,2,FALSE),NA())</f>
        <v>#N/A</v>
      </c>
      <c r="V355" s="176">
        <f>INDEX([5]PT!$AF$16:$AF$381,DATE(2016,MONTH(S355),DAY(S355))-DATE(2016,1,1)+1,1)</f>
        <v>0</v>
      </c>
      <c r="W355" s="176">
        <f>IF(T!$A$4&lt;MONTH(S355),VLOOKUP(S355,'[8]Podklady MZ'!$R$2:$S$367,2,FALSE),NA())</f>
        <v>34.838709677419352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 t="e">
        <f>IF(T!$A$4&gt;=MONTH(S356),VLOOKUP(S356,'[8]Podklady MZ'!$R$2:$S$367,2,FALSE),NA())</f>
        <v>#N/A</v>
      </c>
      <c r="V356" s="176">
        <f>INDEX([5]PT!$AF$16:$AF$381,DATE(2016,MONTH(S356),DAY(S356))-DATE(2016,1,1)+1,1)</f>
        <v>0</v>
      </c>
      <c r="W356" s="176">
        <f>IF(T!$A$4&lt;MONTH(S356),VLOOKUP(S356,'[8]Podklady MZ'!$R$2:$S$367,2,FALSE),NA())</f>
        <v>34.838709677419352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 t="e">
        <f>IF(T!$A$4&gt;=MONTH(S357),VLOOKUP(S357,'[8]Podklady MZ'!$R$2:$S$367,2,FALSE),NA())</f>
        <v>#N/A</v>
      </c>
      <c r="V357" s="176">
        <f>INDEX([5]PT!$AF$16:$AF$381,DATE(2016,MONTH(S357),DAY(S357))-DATE(2016,1,1)+1,1)</f>
        <v>0</v>
      </c>
      <c r="W357" s="176">
        <f>IF(T!$A$4&lt;MONTH(S357),VLOOKUP(S357,'[8]Podklady MZ'!$R$2:$S$367,2,FALSE),NA())</f>
        <v>34.838709677419352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 t="e">
        <f>IF(T!$A$4&gt;=MONTH(S358),VLOOKUP(S358,'[8]Podklady MZ'!$R$2:$S$367,2,FALSE),NA())</f>
        <v>#N/A</v>
      </c>
      <c r="V358" s="176">
        <f>INDEX([5]PT!$AF$16:$AF$381,DATE(2016,MONTH(S358),DAY(S358))-DATE(2016,1,1)+1,1)</f>
        <v>0</v>
      </c>
      <c r="W358" s="176">
        <f>IF(T!$A$4&lt;MONTH(S358),VLOOKUP(S358,'[8]Podklady MZ'!$R$2:$S$367,2,FALSE),NA())</f>
        <v>34.838709677419352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 t="e">
        <f>IF(T!$A$4&gt;=MONTH(S359),VLOOKUP(S359,'[8]Podklady MZ'!$R$2:$S$367,2,FALSE),NA())</f>
        <v>#N/A</v>
      </c>
      <c r="V359" s="176">
        <f>INDEX([5]PT!$AF$16:$AF$381,DATE(2016,MONTH(S359),DAY(S359))-DATE(2016,1,1)+1,1)</f>
        <v>0</v>
      </c>
      <c r="W359" s="176">
        <f>IF(T!$A$4&lt;MONTH(S359),VLOOKUP(S359,'[8]Podklady MZ'!$R$2:$S$367,2,FALSE),NA())</f>
        <v>34.838709677419352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 t="e">
        <f>IF(T!$A$4&gt;=MONTH(S360),VLOOKUP(S360,'[8]Podklady MZ'!$R$2:$S$367,2,FALSE),NA())</f>
        <v>#N/A</v>
      </c>
      <c r="V360" s="176">
        <f>INDEX([5]PT!$AF$16:$AF$381,DATE(2016,MONTH(S360),DAY(S360))-DATE(2016,1,1)+1,1)</f>
        <v>0</v>
      </c>
      <c r="W360" s="176">
        <f>IF(T!$A$4&lt;MONTH(S360),VLOOKUP(S360,'[8]Podklady MZ'!$R$2:$S$367,2,FALSE),NA())</f>
        <v>34.838709677419352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 t="e">
        <f>IF(T!$A$4&gt;=MONTH(S361),VLOOKUP(S361,'[8]Podklady MZ'!$R$2:$S$367,2,FALSE),NA())</f>
        <v>#N/A</v>
      </c>
      <c r="V361" s="176">
        <f>INDEX([5]PT!$AF$16:$AF$381,DATE(2016,MONTH(S361),DAY(S361))-DATE(2016,1,1)+1,1)</f>
        <v>0</v>
      </c>
      <c r="W361" s="176">
        <f>IF(T!$A$4&lt;MONTH(S361),VLOOKUP(S361,'[8]Podklady MZ'!$R$2:$S$367,2,FALSE),NA())</f>
        <v>34.838709677419352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 t="e">
        <f>IF(T!$A$4&gt;=MONTH(S362),VLOOKUP(S362,'[8]Podklady MZ'!$R$2:$S$367,2,FALSE),NA())</f>
        <v>#N/A</v>
      </c>
      <c r="V362" s="176">
        <f>INDEX([5]PT!$AF$16:$AF$381,DATE(2016,MONTH(S362),DAY(S362))-DATE(2016,1,1)+1,1)</f>
        <v>0</v>
      </c>
      <c r="W362" s="176">
        <f>IF(T!$A$4&lt;MONTH(S362),VLOOKUP(S362,'[8]Podklady MZ'!$R$2:$S$367,2,FALSE),NA())</f>
        <v>34.838709677419352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 t="e">
        <f>IF(T!$A$4&gt;=MONTH(S363),VLOOKUP(S363,'[8]Podklady MZ'!$R$2:$S$367,2,FALSE),NA())</f>
        <v>#N/A</v>
      </c>
      <c r="V363" s="176">
        <f>INDEX([5]PT!$AF$16:$AF$381,DATE(2016,MONTH(S363),DAY(S363))-DATE(2016,1,1)+1,1)</f>
        <v>0</v>
      </c>
      <c r="W363" s="176">
        <f>IF(T!$A$4&lt;MONTH(S363),VLOOKUP(S363,'[8]Podklady MZ'!$R$2:$S$367,2,FALSE),NA())</f>
        <v>34.838709677419352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 t="e">
        <f>IF(T!$A$4&gt;=MONTH(S364),VLOOKUP(S364,'[8]Podklady MZ'!$R$2:$S$367,2,FALSE),NA())</f>
        <v>#N/A</v>
      </c>
      <c r="V364" s="176">
        <f>INDEX([5]PT!$AF$16:$AF$381,DATE(2016,MONTH(S364),DAY(S364))-DATE(2016,1,1)+1,1)</f>
        <v>0</v>
      </c>
      <c r="W364" s="176">
        <f>IF(T!$A$4&lt;MONTH(S364),VLOOKUP(S364,'[8]Podklady MZ'!$R$2:$S$367,2,FALSE),NA())</f>
        <v>34.838709677419352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 t="e">
        <f>IF(T!$A$4&gt;=MONTH(S365),VLOOKUP(S365,'[8]Podklady MZ'!$R$2:$S$367,2,FALSE),NA())</f>
        <v>#N/A</v>
      </c>
      <c r="V365" s="176">
        <f>INDEX([5]PT!$AF$16:$AF$381,DATE(2016,MONTH(S365),DAY(S365))-DATE(2016,1,1)+1,1)</f>
        <v>0</v>
      </c>
      <c r="W365" s="176">
        <f>IF(T!$A$4&lt;MONTH(S365),VLOOKUP(S365,'[8]Podklady MZ'!$R$2:$S$367,2,FALSE),NA())</f>
        <v>34.838709677419352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 t="e">
        <f>IF(T!$A$4&gt;=MONTH(S366),VLOOKUP(S366,'[8]Podklady MZ'!$R$2:$S$367,2,FALSE),NA())</f>
        <v>#N/A</v>
      </c>
      <c r="V366" s="176">
        <f>INDEX([5]PT!$AF$16:$AF$381,DATE(2016,MONTH(S366),DAY(S366))-DATE(2016,1,1)+1,1)</f>
        <v>0</v>
      </c>
      <c r="W366" s="176">
        <f>IF(T!$A$4&lt;MONTH(S366),VLOOKUP(S366,'[8]Podklady MZ'!$R$2:$S$367,2,FALSE),NA())</f>
        <v>34.838709677419352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N1:O1"/>
    <mergeCell ref="A2:O2"/>
    <mergeCell ref="A24:O24"/>
    <mergeCell ref="B27:B28"/>
    <mergeCell ref="A27:A30"/>
    <mergeCell ref="B29:B30"/>
    <mergeCell ref="A39:F39"/>
    <mergeCell ref="A38:O38"/>
    <mergeCell ref="A31:A34"/>
    <mergeCell ref="B31:B32"/>
    <mergeCell ref="B33:B34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7" t="s">
        <v>87</v>
      </c>
      <c r="P1" s="827"/>
    </row>
    <row r="2" spans="1:21" ht="15.95" customHeight="1" x14ac:dyDescent="0.25">
      <c r="A2" s="877" t="s">
        <v>262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21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21" ht="14.1" customHeight="1" x14ac:dyDescent="0.2">
      <c r="D4" s="508"/>
      <c r="E4" s="508"/>
      <c r="F4" s="508"/>
      <c r="G4" s="508"/>
      <c r="P4" s="594"/>
    </row>
    <row r="5" spans="1:21" ht="18" customHeight="1" x14ac:dyDescent="0.2">
      <c r="A5" s="515"/>
      <c r="B5" s="516"/>
      <c r="C5" s="517"/>
      <c r="D5" s="618" t="s">
        <v>13</v>
      </c>
      <c r="E5" s="618" t="s">
        <v>58</v>
      </c>
      <c r="F5" s="619" t="s">
        <v>59</v>
      </c>
      <c r="G5" s="618" t="s">
        <v>60</v>
      </c>
      <c r="H5" s="618" t="s">
        <v>61</v>
      </c>
      <c r="I5" s="619" t="s">
        <v>62</v>
      </c>
      <c r="J5" s="618" t="s">
        <v>63</v>
      </c>
      <c r="K5" s="618" t="s">
        <v>64</v>
      </c>
      <c r="L5" s="619" t="s">
        <v>65</v>
      </c>
      <c r="M5" s="618" t="s">
        <v>66</v>
      </c>
      <c r="N5" s="618" t="s">
        <v>67</v>
      </c>
      <c r="O5" s="618" t="s">
        <v>68</v>
      </c>
      <c r="P5" s="588" t="s">
        <v>2</v>
      </c>
      <c r="Q5" s="13"/>
    </row>
    <row r="6" spans="1:21" ht="9" customHeight="1" x14ac:dyDescent="0.2">
      <c r="A6" s="879" t="s">
        <v>306</v>
      </c>
      <c r="B6" s="519"/>
      <c r="C6" s="520"/>
      <c r="D6" s="509"/>
      <c r="E6" s="509"/>
      <c r="F6" s="521"/>
      <c r="G6" s="509"/>
      <c r="H6" s="509"/>
      <c r="I6" s="521"/>
      <c r="J6" s="509"/>
      <c r="K6" s="509"/>
      <c r="L6" s="521"/>
      <c r="M6" s="509"/>
      <c r="N6" s="509"/>
      <c r="O6" s="509"/>
      <c r="P6" s="589"/>
      <c r="Q6" s="13"/>
    </row>
    <row r="7" spans="1:21" ht="18" customHeight="1" x14ac:dyDescent="0.2">
      <c r="A7" s="875"/>
      <c r="B7" s="571" t="s">
        <v>71</v>
      </c>
      <c r="C7" s="572" t="s">
        <v>250</v>
      </c>
      <c r="D7" s="556">
        <v>1120</v>
      </c>
      <c r="E7" s="620">
        <v>1000</v>
      </c>
      <c r="F7" s="621">
        <v>910</v>
      </c>
      <c r="G7" s="620">
        <v>630</v>
      </c>
      <c r="H7" s="556">
        <v>400</v>
      </c>
      <c r="I7" s="557">
        <v>310</v>
      </c>
      <c r="J7" s="556">
        <v>290</v>
      </c>
      <c r="K7" s="556">
        <v>290</v>
      </c>
      <c r="L7" s="557">
        <v>380</v>
      </c>
      <c r="M7" s="556">
        <v>650</v>
      </c>
      <c r="N7" s="556">
        <v>920</v>
      </c>
      <c r="O7" s="556">
        <v>1080</v>
      </c>
      <c r="P7" s="596">
        <f>SUM(D7:O7)</f>
        <v>7980</v>
      </c>
    </row>
    <row r="8" spans="1:21" ht="18" customHeight="1" x14ac:dyDescent="0.2">
      <c r="A8" s="875"/>
      <c r="B8" s="571" t="s">
        <v>71</v>
      </c>
      <c r="C8" s="572" t="s">
        <v>303</v>
      </c>
      <c r="D8" s="620">
        <v>11900</v>
      </c>
      <c r="E8" s="620">
        <v>10620</v>
      </c>
      <c r="F8" s="621">
        <v>9660</v>
      </c>
      <c r="G8" s="620">
        <v>6690</v>
      </c>
      <c r="H8" s="556">
        <v>4250</v>
      </c>
      <c r="I8" s="557">
        <v>3290</v>
      </c>
      <c r="J8" s="556">
        <v>3080</v>
      </c>
      <c r="K8" s="556">
        <v>3080</v>
      </c>
      <c r="L8" s="557">
        <v>4040</v>
      </c>
      <c r="M8" s="556">
        <v>6900</v>
      </c>
      <c r="N8" s="556">
        <v>9770</v>
      </c>
      <c r="O8" s="556">
        <v>11470</v>
      </c>
      <c r="P8" s="596">
        <f>SUM(D8:O8)</f>
        <v>84750</v>
      </c>
    </row>
    <row r="9" spans="1:21" ht="18" customHeight="1" x14ac:dyDescent="0.2">
      <c r="A9" s="875"/>
      <c r="B9" s="565" t="s">
        <v>263</v>
      </c>
      <c r="C9" s="567" t="s">
        <v>252</v>
      </c>
      <c r="D9" s="751">
        <v>-2</v>
      </c>
      <c r="E9" s="751">
        <v>-0.7</v>
      </c>
      <c r="F9" s="752">
        <v>3.3</v>
      </c>
      <c r="G9" s="751">
        <v>7.6</v>
      </c>
      <c r="H9" s="753">
        <v>13</v>
      </c>
      <c r="I9" s="754">
        <v>15.8</v>
      </c>
      <c r="J9" s="753">
        <v>17.5</v>
      </c>
      <c r="K9" s="753">
        <v>17.2</v>
      </c>
      <c r="L9" s="754">
        <v>13</v>
      </c>
      <c r="M9" s="753">
        <v>8</v>
      </c>
      <c r="N9" s="753">
        <v>2.6</v>
      </c>
      <c r="O9" s="753">
        <v>-0.4</v>
      </c>
      <c r="P9" s="755">
        <f>AVERAGE(D9:O9)</f>
        <v>7.9083333333333323</v>
      </c>
    </row>
    <row r="10" spans="1:21" ht="9" customHeight="1" x14ac:dyDescent="0.2">
      <c r="A10" s="876"/>
      <c r="B10" s="511"/>
      <c r="C10" s="531"/>
      <c r="D10" s="532"/>
      <c r="E10" s="532"/>
      <c r="F10" s="533"/>
      <c r="G10" s="532"/>
      <c r="H10" s="534"/>
      <c r="I10" s="535"/>
      <c r="J10" s="534"/>
      <c r="K10" s="534"/>
      <c r="L10" s="535"/>
      <c r="M10" s="534"/>
      <c r="N10" s="534"/>
      <c r="O10" s="534"/>
      <c r="P10" s="591"/>
    </row>
    <row r="11" spans="1:21" ht="9" customHeight="1" x14ac:dyDescent="0.2">
      <c r="A11" s="879" t="s">
        <v>267</v>
      </c>
      <c r="B11" s="512"/>
      <c r="C11" s="536"/>
      <c r="D11" s="526"/>
      <c r="E11" s="526"/>
      <c r="F11" s="527"/>
      <c r="G11" s="526"/>
      <c r="H11" s="528"/>
      <c r="I11" s="529"/>
      <c r="J11" s="528"/>
      <c r="K11" s="528"/>
      <c r="L11" s="529"/>
      <c r="M11" s="528"/>
      <c r="N11" s="528"/>
      <c r="O11" s="528"/>
      <c r="P11" s="590"/>
    </row>
    <row r="12" spans="1:21" ht="18" customHeight="1" x14ac:dyDescent="0.2">
      <c r="A12" s="875"/>
      <c r="B12" s="98" t="s">
        <v>71</v>
      </c>
      <c r="C12" s="568" t="s">
        <v>250</v>
      </c>
      <c r="D12" s="530">
        <f>'[8]Podklady MZ'!D52</f>
        <v>1081.280644710429</v>
      </c>
      <c r="E12" s="530">
        <f>'[8]Podklady MZ'!E52</f>
        <v>989.86689164730865</v>
      </c>
      <c r="F12" s="545">
        <f>'[8]Podklady MZ'!F52</f>
        <v>865.53252041105134</v>
      </c>
      <c r="G12" s="530">
        <f>'[8]Podklady MZ'!G52</f>
        <v>622.80856614391325</v>
      </c>
      <c r="H12" s="530">
        <f>'[8]Podklady MZ'!H52</f>
        <v>404.77237581362579</v>
      </c>
      <c r="I12" s="545">
        <f>'[8]Podklady MZ'!I52</f>
        <v>314.40782647711256</v>
      </c>
      <c r="J12" s="530">
        <f>'[8]Podklady MZ'!J52</f>
        <v>298.38639432190473</v>
      </c>
      <c r="K12" s="530">
        <f>'[8]Podklady MZ'!K52</f>
        <v>277.51120821690495</v>
      </c>
      <c r="L12" s="545">
        <f>'[8]Podklady MZ'!L52</f>
        <v>352.96079611407475</v>
      </c>
      <c r="M12" s="530">
        <f>'[8]Podklady MZ'!M52</f>
        <v>665.36895292452823</v>
      </c>
      <c r="N12" s="530">
        <f>'[8]Podklady MZ'!N52</f>
        <v>919.99999999999966</v>
      </c>
      <c r="O12" s="530">
        <f>'[8]Podklady MZ'!O52</f>
        <v>1080.0000000000002</v>
      </c>
      <c r="P12" s="590">
        <f>SUM(D12:O12)</f>
        <v>7872.8961767808532</v>
      </c>
      <c r="U12" s="66"/>
    </row>
    <row r="13" spans="1:21" ht="18" customHeight="1" x14ac:dyDescent="0.2">
      <c r="A13" s="875"/>
      <c r="B13" s="98" t="s">
        <v>71</v>
      </c>
      <c r="C13" s="568" t="s">
        <v>303</v>
      </c>
      <c r="D13" s="543">
        <f>'[8]Podklady MZ'!D53</f>
        <v>11492.757934199999</v>
      </c>
      <c r="E13" s="543">
        <f>'[8]Podklady MZ'!E53</f>
        <v>10525.401338</v>
      </c>
      <c r="F13" s="570">
        <f>'[8]Podklady MZ'!F53</f>
        <v>9201.9026437999983</v>
      </c>
      <c r="G13" s="543">
        <f>'[8]Podklady MZ'!G53</f>
        <v>6626.1087002000022</v>
      </c>
      <c r="H13" s="543">
        <f>'[8]Podklady MZ'!H53</f>
        <v>4332.1303954000005</v>
      </c>
      <c r="I13" s="570">
        <f>'[8]Podklady MZ'!I53</f>
        <v>3367.3136154999993</v>
      </c>
      <c r="J13" s="543">
        <f>'[8]Podklady MZ'!J53</f>
        <v>3186.2044436000006</v>
      </c>
      <c r="K13" s="543">
        <f>'[8]Podklady MZ'!K53</f>
        <v>2973.0205207999998</v>
      </c>
      <c r="L13" s="570">
        <f>'[8]Podklady MZ'!L53</f>
        <v>3775.558282</v>
      </c>
      <c r="M13" s="543">
        <f>'[8]Podklady MZ'!M53</f>
        <v>7052.9109010000011</v>
      </c>
      <c r="N13" s="543">
        <f>'[8]Podklady MZ'!N53</f>
        <v>9770</v>
      </c>
      <c r="O13" s="543">
        <f>'[8]Podklady MZ'!O53</f>
        <v>11470</v>
      </c>
      <c r="P13" s="590">
        <f>SUM(D13:O13)</f>
        <v>83773.308774500008</v>
      </c>
    </row>
    <row r="14" spans="1:21" ht="18" customHeight="1" x14ac:dyDescent="0.2">
      <c r="A14" s="875"/>
      <c r="B14" s="98" t="s">
        <v>243</v>
      </c>
      <c r="C14" s="576" t="s">
        <v>252</v>
      </c>
      <c r="D14" s="543">
        <f>'[8]Podklady MZ'!D54</f>
        <v>1.2161290322580647</v>
      </c>
      <c r="E14" s="543">
        <f>'[8]Podklady MZ'!E54</f>
        <v>0.22142857142857128</v>
      </c>
      <c r="F14" s="570">
        <f>'[8]Podklady MZ'!F54</f>
        <v>4.3258064516129036</v>
      </c>
      <c r="G14" s="543">
        <f>'[8]Podklady MZ'!G54</f>
        <v>8.2200000000000006</v>
      </c>
      <c r="H14" s="543">
        <f>'[8]Podklady MZ'!H54</f>
        <v>12.838709677419352</v>
      </c>
      <c r="I14" s="570">
        <f>'[8]Podklady MZ'!I54</f>
        <v>16.746666666666666</v>
      </c>
      <c r="J14" s="543">
        <f>'[8]Podklady MZ'!J54</f>
        <v>20.916129032258063</v>
      </c>
      <c r="K14" s="543">
        <f>'[8]Podklady MZ'!K54</f>
        <v>21.78064516129032</v>
      </c>
      <c r="L14" s="570">
        <f>'[8]Podklady MZ'!L54</f>
        <v>13.526666666666667</v>
      </c>
      <c r="M14" s="543">
        <f>'[8]Podklady MZ'!M54</f>
        <v>8.1580645161290342</v>
      </c>
      <c r="N14" s="543">
        <f>'[8]Podklady MZ'!N54</f>
        <v>2.5999999999999996</v>
      </c>
      <c r="O14" s="543">
        <f>'[8]Podklady MZ'!O54</f>
        <v>-0.40000000000000019</v>
      </c>
      <c r="P14" s="590">
        <f>AVERAGE(D14:O14)</f>
        <v>9.1791871479774709</v>
      </c>
    </row>
    <row r="15" spans="1:21" ht="9" customHeight="1" x14ac:dyDescent="0.2">
      <c r="A15" s="876"/>
      <c r="B15" s="511"/>
      <c r="C15" s="531"/>
      <c r="D15" s="532"/>
      <c r="E15" s="532"/>
      <c r="F15" s="533"/>
      <c r="G15" s="532"/>
      <c r="H15" s="534"/>
      <c r="I15" s="535"/>
      <c r="J15" s="534"/>
      <c r="K15" s="534"/>
      <c r="L15" s="535"/>
      <c r="M15" s="534"/>
      <c r="N15" s="534"/>
      <c r="O15" s="534"/>
      <c r="P15" s="591"/>
    </row>
    <row r="16" spans="1:21" ht="9" customHeight="1" x14ac:dyDescent="0.2">
      <c r="A16" s="879" t="s">
        <v>268</v>
      </c>
      <c r="B16" s="512"/>
      <c r="C16" s="536"/>
      <c r="D16" s="526"/>
      <c r="E16" s="526"/>
      <c r="F16" s="527"/>
      <c r="G16" s="526"/>
      <c r="H16" s="528"/>
      <c r="I16" s="529"/>
      <c r="J16" s="528"/>
      <c r="K16" s="528"/>
      <c r="L16" s="529"/>
      <c r="M16" s="528"/>
      <c r="N16" s="528"/>
      <c r="O16" s="528"/>
      <c r="P16" s="590"/>
    </row>
    <row r="17" spans="1:16" ht="18" customHeight="1" x14ac:dyDescent="0.2">
      <c r="A17" s="875"/>
      <c r="B17" s="98" t="s">
        <v>71</v>
      </c>
      <c r="C17" s="568" t="s">
        <v>250</v>
      </c>
      <c r="D17" s="530">
        <f>'[8]Podklady MZ'!D57</f>
        <v>1162.3827182199684</v>
      </c>
      <c r="E17" s="543">
        <f>'[8]Podklady MZ'!E57</f>
        <v>1022.8621044614633</v>
      </c>
      <c r="F17" s="570">
        <f>'[8]Podklady MZ'!F57</f>
        <v>901.33118683539692</v>
      </c>
      <c r="G17" s="543">
        <f>'[8]Podklady MZ'!G57</f>
        <v>647.29636373718301</v>
      </c>
      <c r="H17" s="530">
        <f>'[8]Podklady MZ'!H57</f>
        <v>399.23311790096943</v>
      </c>
      <c r="I17" s="545">
        <f>'[8]Podklady MZ'!I57</f>
        <v>318.95062063632389</v>
      </c>
      <c r="J17" s="530">
        <f>'[8]Podklady MZ'!J57</f>
        <v>302.4372465189378</v>
      </c>
      <c r="K17" s="530">
        <f>'[8]Podklady MZ'!K57</f>
        <v>299.01838851541652</v>
      </c>
      <c r="L17" s="545">
        <f>'[8]Podklady MZ'!L57</f>
        <v>359.74623069021459</v>
      </c>
      <c r="M17" s="530">
        <f>'[8]Podklady MZ'!M57</f>
        <v>671.60607308824615</v>
      </c>
      <c r="N17" s="530">
        <f>'[8]Podklady MZ'!N57</f>
        <v>919.99999999999966</v>
      </c>
      <c r="O17" s="530">
        <f>'[8]Podklady MZ'!O57</f>
        <v>1080.0000000000002</v>
      </c>
      <c r="P17" s="590">
        <f>SUM(D17:O17)</f>
        <v>8084.8640506041211</v>
      </c>
    </row>
    <row r="18" spans="1:16" ht="18" customHeight="1" x14ac:dyDescent="0.2">
      <c r="A18" s="875"/>
      <c r="B18" s="98" t="s">
        <v>71</v>
      </c>
      <c r="C18" s="568" t="s">
        <v>303</v>
      </c>
      <c r="D18" s="543">
        <f>'[8]Podklady MZ'!D58</f>
        <v>12354.778819681072</v>
      </c>
      <c r="E18" s="543">
        <f>'[8]Podklady MZ'!E58</f>
        <v>10876.244325104813</v>
      </c>
      <c r="F18" s="570">
        <f>'[8]Podklady MZ'!F58</f>
        <v>9582.4959033788018</v>
      </c>
      <c r="G18" s="543">
        <f>'[8]Podklady MZ'!G58</f>
        <v>6886.6362804260079</v>
      </c>
      <c r="H18" s="530">
        <f>'[8]Podklady MZ'!H58</f>
        <v>4272.8457480148054</v>
      </c>
      <c r="I18" s="545">
        <f>'[8]Podklady MZ'!I58</f>
        <v>3415.9670246600913</v>
      </c>
      <c r="J18" s="530">
        <f>'[8]Podklady MZ'!J58</f>
        <v>3229.4599120669359</v>
      </c>
      <c r="K18" s="530">
        <f>'[8]Podklady MZ'!K58</f>
        <v>3203.4302717533501</v>
      </c>
      <c r="L18" s="545">
        <f>'[8]Podklady MZ'!L58</f>
        <v>3848.1408577221891</v>
      </c>
      <c r="M18" s="530">
        <f>'[8]Podklady MZ'!M58</f>
        <v>7119.0243747354116</v>
      </c>
      <c r="N18" s="530">
        <f>'[8]Podklady MZ'!N58</f>
        <v>9770</v>
      </c>
      <c r="O18" s="530">
        <f>'[8]Podklady MZ'!O58</f>
        <v>11470</v>
      </c>
      <c r="P18" s="590">
        <f>SUM(D18:O18)</f>
        <v>86029.023517543479</v>
      </c>
    </row>
    <row r="19" spans="1:16" ht="18" customHeight="1" x14ac:dyDescent="0.2">
      <c r="A19" s="875"/>
      <c r="B19" s="98" t="s">
        <v>263</v>
      </c>
      <c r="C19" s="576" t="s">
        <v>252</v>
      </c>
      <c r="D19" s="543">
        <f>'[8]Podklady MZ'!D59</f>
        <v>-2</v>
      </c>
      <c r="E19" s="543">
        <f>'[8]Podklady MZ'!E59</f>
        <v>-0.7</v>
      </c>
      <c r="F19" s="570">
        <f>'[8]Podklady MZ'!F59</f>
        <v>3.3</v>
      </c>
      <c r="G19" s="543">
        <f>'[8]Podklady MZ'!G59</f>
        <v>7.6</v>
      </c>
      <c r="H19" s="530">
        <f>'[8]Podklady MZ'!H59</f>
        <v>13</v>
      </c>
      <c r="I19" s="545">
        <f>'[8]Podklady MZ'!I59</f>
        <v>15.8</v>
      </c>
      <c r="J19" s="530">
        <f>'[8]Podklady MZ'!J59</f>
        <v>17.5</v>
      </c>
      <c r="K19" s="530">
        <f>'[8]Podklady MZ'!K59</f>
        <v>17.2</v>
      </c>
      <c r="L19" s="545">
        <f>'[8]Podklady MZ'!L59</f>
        <v>13</v>
      </c>
      <c r="M19" s="530">
        <f>'[8]Podklady MZ'!M59</f>
        <v>8</v>
      </c>
      <c r="N19" s="530">
        <f>'[8]Podklady MZ'!N59</f>
        <v>2.6</v>
      </c>
      <c r="O19" s="530">
        <f>'[8]Podklady MZ'!O59</f>
        <v>-0.4</v>
      </c>
      <c r="P19" s="590">
        <f>AVERAGE(D19:O19)</f>
        <v>7.9083333333333323</v>
      </c>
    </row>
    <row r="20" spans="1:16" ht="9" customHeight="1" x14ac:dyDescent="0.2">
      <c r="A20" s="876"/>
      <c r="B20" s="511"/>
      <c r="C20" s="531"/>
      <c r="D20" s="532"/>
      <c r="E20" s="532"/>
      <c r="F20" s="533"/>
      <c r="G20" s="532"/>
      <c r="H20" s="534"/>
      <c r="I20" s="535"/>
      <c r="J20" s="534"/>
      <c r="K20" s="534"/>
      <c r="L20" s="535"/>
      <c r="M20" s="534"/>
      <c r="N20" s="534"/>
      <c r="O20" s="534"/>
      <c r="P20" s="591"/>
    </row>
    <row r="21" spans="1:16" ht="9" customHeight="1" x14ac:dyDescent="0.2">
      <c r="A21" s="617"/>
      <c r="B21" s="98"/>
      <c r="C21" s="568"/>
      <c r="D21" s="543"/>
      <c r="E21" s="543"/>
      <c r="F21" s="543"/>
      <c r="G21" s="544"/>
      <c r="H21" s="530"/>
      <c r="I21" s="545"/>
      <c r="J21" s="530"/>
      <c r="K21" s="530"/>
      <c r="L21" s="530"/>
      <c r="M21" s="24"/>
      <c r="N21" s="530"/>
      <c r="O21" s="530"/>
      <c r="P21" s="590"/>
    </row>
    <row r="22" spans="1:16" ht="14.1" customHeight="1" x14ac:dyDescent="0.2"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746"/>
    </row>
    <row r="23" spans="1:16" ht="14.1" customHeight="1" x14ac:dyDescent="0.2">
      <c r="D23" s="501"/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</row>
    <row r="24" spans="1:16" ht="14.1" customHeight="1" x14ac:dyDescent="0.2">
      <c r="D24" s="501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</row>
    <row r="25" spans="1:16" ht="14.1" customHeight="1" x14ac:dyDescent="0.2">
      <c r="D25" s="501"/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</row>
    <row r="26" spans="1:16" ht="14.1" customHeight="1" x14ac:dyDescent="0.2">
      <c r="D26" s="501">
        <v>1</v>
      </c>
      <c r="E26" s="501">
        <v>2</v>
      </c>
      <c r="F26" s="501">
        <v>3</v>
      </c>
      <c r="G26" s="501">
        <v>4</v>
      </c>
      <c r="H26" s="501">
        <v>5</v>
      </c>
      <c r="I26" s="501">
        <v>6</v>
      </c>
      <c r="J26" s="501">
        <v>7</v>
      </c>
      <c r="K26" s="501">
        <v>8</v>
      </c>
      <c r="L26" s="501">
        <v>9</v>
      </c>
      <c r="M26" s="501">
        <v>10</v>
      </c>
      <c r="N26" s="501">
        <v>11</v>
      </c>
      <c r="O26" s="501">
        <v>12</v>
      </c>
      <c r="P26" s="501"/>
    </row>
    <row r="27" spans="1:16" ht="14.1" customHeight="1" x14ac:dyDescent="0.2">
      <c r="D27" s="501" t="s">
        <v>30</v>
      </c>
      <c r="E27" s="501" t="s">
        <v>31</v>
      </c>
      <c r="F27" s="501" t="s">
        <v>32</v>
      </c>
      <c r="G27" s="501" t="s">
        <v>33</v>
      </c>
      <c r="H27" s="501" t="s">
        <v>34</v>
      </c>
      <c r="I27" s="501" t="s">
        <v>35</v>
      </c>
      <c r="J27" s="501" t="s">
        <v>36</v>
      </c>
      <c r="K27" s="501" t="s">
        <v>37</v>
      </c>
      <c r="L27" s="501" t="s">
        <v>38</v>
      </c>
      <c r="M27" s="501" t="s">
        <v>39</v>
      </c>
      <c r="N27" s="501" t="s">
        <v>40</v>
      </c>
      <c r="O27" s="501" t="s">
        <v>41</v>
      </c>
      <c r="P27" s="501"/>
    </row>
    <row r="28" spans="1:16" x14ac:dyDescent="0.2">
      <c r="C28" s="622" t="s">
        <v>90</v>
      </c>
      <c r="D28" s="501">
        <f>D7</f>
        <v>1120</v>
      </c>
      <c r="E28" s="501">
        <f t="shared" ref="E28:O28" si="0">E7</f>
        <v>1000</v>
      </c>
      <c r="F28" s="501">
        <f t="shared" si="0"/>
        <v>910</v>
      </c>
      <c r="G28" s="501">
        <f t="shared" si="0"/>
        <v>630</v>
      </c>
      <c r="H28" s="501">
        <f t="shared" si="0"/>
        <v>400</v>
      </c>
      <c r="I28" s="501">
        <f t="shared" si="0"/>
        <v>310</v>
      </c>
      <c r="J28" s="501">
        <f t="shared" si="0"/>
        <v>290</v>
      </c>
      <c r="K28" s="501">
        <f t="shared" si="0"/>
        <v>290</v>
      </c>
      <c r="L28" s="501">
        <f t="shared" si="0"/>
        <v>380</v>
      </c>
      <c r="M28" s="501">
        <f t="shared" si="0"/>
        <v>650</v>
      </c>
      <c r="N28" s="501">
        <f t="shared" si="0"/>
        <v>920</v>
      </c>
      <c r="O28" s="501">
        <f t="shared" si="0"/>
        <v>1080</v>
      </c>
      <c r="P28" s="501"/>
    </row>
    <row r="29" spans="1:16" x14ac:dyDescent="0.2">
      <c r="C29" s="622" t="s">
        <v>88</v>
      </c>
      <c r="D29" s="501">
        <f>D12</f>
        <v>1081.280644710429</v>
      </c>
      <c r="E29" s="501">
        <f>IF(T!$A$4&gt;=E$26,E12,0)</f>
        <v>989.86689164730865</v>
      </c>
      <c r="F29" s="501">
        <f>IF(T!$A$4&gt;=F$26,F12,0)</f>
        <v>865.53252041105134</v>
      </c>
      <c r="G29" s="501">
        <f>IF(T!$A$4&gt;=G$26,G12,0)</f>
        <v>622.80856614391325</v>
      </c>
      <c r="H29" s="501">
        <f>IF(T!$A$4&gt;=H$26,H12,0)</f>
        <v>404.77237581362579</v>
      </c>
      <c r="I29" s="501">
        <f>IF(T!$A$4&gt;=I$26,I12,0)</f>
        <v>314.40782647711256</v>
      </c>
      <c r="J29" s="501">
        <f>IF(T!$A$4&gt;=J$26,J12,0)</f>
        <v>298.38639432190473</v>
      </c>
      <c r="K29" s="501">
        <f>IF(T!$A$4&gt;=K$26,K12,0)</f>
        <v>277.51120821690495</v>
      </c>
      <c r="L29" s="501">
        <f>IF(T!$A$4&gt;=L$26,L12,0)</f>
        <v>352.96079611407475</v>
      </c>
      <c r="M29" s="501">
        <f>IF(T!$A$4&gt;=M$26,M12,0)</f>
        <v>0</v>
      </c>
      <c r="N29" s="501">
        <f>IF(T!$A$4&gt;=N$26,N12,0)</f>
        <v>0</v>
      </c>
      <c r="O29" s="501">
        <f>IF(T!$A$4&gt;=O$26,O12,0)</f>
        <v>0</v>
      </c>
      <c r="P29" s="501"/>
    </row>
    <row r="30" spans="1:16" x14ac:dyDescent="0.2">
      <c r="C30" s="622" t="s">
        <v>89</v>
      </c>
      <c r="D30" s="501">
        <f>D17</f>
        <v>1162.3827182199684</v>
      </c>
      <c r="E30" s="501">
        <f>IF(T!$A$4&gt;=E$26,E17,0)</f>
        <v>1022.8621044614633</v>
      </c>
      <c r="F30" s="501">
        <f>IF(T!$A$4&gt;=F$26,F17,0)</f>
        <v>901.33118683539692</v>
      </c>
      <c r="G30" s="501">
        <f>IF(T!$A$4&gt;=G$26,G17,0)</f>
        <v>647.29636373718301</v>
      </c>
      <c r="H30" s="501">
        <f>IF(T!$A$4&gt;=H$26,H17,0)</f>
        <v>399.23311790096943</v>
      </c>
      <c r="I30" s="501">
        <f>IF(T!$A$4&gt;=I$26,I17,0)</f>
        <v>318.95062063632389</v>
      </c>
      <c r="J30" s="501">
        <f>IF(T!$A$4&gt;=J$26,J17,0)</f>
        <v>302.4372465189378</v>
      </c>
      <c r="K30" s="501">
        <f>IF(T!$A$4&gt;=K$26,K17,0)</f>
        <v>299.01838851541652</v>
      </c>
      <c r="L30" s="501">
        <f>IF(T!$A$4&gt;=L$26,L17,0)</f>
        <v>359.74623069021459</v>
      </c>
      <c r="M30" s="501">
        <f>IF(T!$A$4&gt;=M$26,M17,0)</f>
        <v>0</v>
      </c>
      <c r="N30" s="501">
        <f>IF(T!$A$4&gt;=N$26,N17,0)</f>
        <v>0</v>
      </c>
      <c r="O30" s="501">
        <f>IF(T!$A$4&gt;=O$26,O17,0)</f>
        <v>0</v>
      </c>
      <c r="P30" s="501"/>
    </row>
    <row r="31" spans="1:16" x14ac:dyDescent="0.2"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</row>
    <row r="32" spans="1:16" x14ac:dyDescent="0.2"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</row>
    <row r="33" spans="1:16" x14ac:dyDescent="0.2"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</row>
    <row r="34" spans="1:16" x14ac:dyDescent="0.2">
      <c r="D34" s="501"/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</row>
    <row r="35" spans="1:16" x14ac:dyDescent="0.2"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</row>
    <row r="36" spans="1:16" x14ac:dyDescent="0.2">
      <c r="D36" s="501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</row>
    <row r="40" spans="1:16" ht="5.0999999999999996" customHeight="1" x14ac:dyDescent="0.2">
      <c r="A40" s="183"/>
      <c r="B40" s="183"/>
      <c r="C40" s="183"/>
      <c r="D40" s="756"/>
      <c r="E40" s="183"/>
      <c r="F40" s="51"/>
    </row>
    <row r="41" spans="1:16" x14ac:dyDescent="0.2">
      <c r="A41" s="895" t="s">
        <v>307</v>
      </c>
      <c r="B41" s="895"/>
      <c r="C41" s="895"/>
      <c r="D41" s="895"/>
      <c r="E41" s="895"/>
      <c r="F41" s="895"/>
      <c r="G41" s="895"/>
      <c r="H41" s="895"/>
      <c r="I41" s="895"/>
      <c r="J41" s="895"/>
      <c r="K41" s="895"/>
      <c r="L41" s="895"/>
      <c r="M41" s="895"/>
      <c r="N41" s="895"/>
      <c r="O41" s="895"/>
      <c r="P41" s="895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topLeftCell="A4" zoomScaleNormal="100" zoomScaleSheetLayoutView="100" workbookViewId="0"/>
  </sheetViews>
  <sheetFormatPr defaultRowHeight="11.25" x14ac:dyDescent="0.2"/>
  <cols>
    <col min="1" max="1" width="0.85546875" style="622" customWidth="1"/>
    <col min="2" max="2" width="9.7109375" style="622" customWidth="1"/>
    <col min="3" max="3" width="6.7109375" style="622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2"/>
      <c r="J1" s="802"/>
      <c r="K1" s="802"/>
      <c r="L1" s="695"/>
    </row>
    <row r="2" spans="1:20" ht="24.75" customHeight="1" x14ac:dyDescent="0.25">
      <c r="B2" s="696"/>
      <c r="C2" s="923" t="s">
        <v>295</v>
      </c>
      <c r="D2" s="923"/>
      <c r="E2" s="923"/>
      <c r="F2" s="923"/>
      <c r="G2" s="923"/>
      <c r="H2" s="923"/>
      <c r="I2" s="923"/>
      <c r="J2" s="696"/>
      <c r="K2" s="696"/>
    </row>
    <row r="3" spans="1:20" ht="24.95" customHeight="1" x14ac:dyDescent="0.2">
      <c r="A3" s="697"/>
      <c r="B3" s="698"/>
      <c r="C3" s="923"/>
      <c r="D3" s="923"/>
      <c r="E3" s="923"/>
      <c r="F3" s="923"/>
      <c r="G3" s="923"/>
      <c r="H3" s="923"/>
      <c r="I3" s="923"/>
      <c r="J3" s="699"/>
      <c r="K3" s="700"/>
    </row>
    <row r="4" spans="1:20" ht="24.95" customHeight="1" x14ac:dyDescent="0.2">
      <c r="A4" s="701"/>
      <c r="B4" s="698"/>
      <c r="C4" s="698"/>
      <c r="D4" s="924"/>
      <c r="E4" s="924"/>
      <c r="F4" s="924"/>
      <c r="G4" s="924"/>
      <c r="H4" s="702"/>
      <c r="I4" s="699"/>
      <c r="J4" s="699"/>
      <c r="K4" s="703"/>
    </row>
    <row r="5" spans="1:20" ht="24.95" customHeight="1" x14ac:dyDescent="0.2">
      <c r="A5" s="701"/>
      <c r="B5" s="918" t="s">
        <v>273</v>
      </c>
      <c r="C5" s="918"/>
      <c r="D5" s="704" t="s">
        <v>274</v>
      </c>
      <c r="E5" s="925" t="s">
        <v>275</v>
      </c>
      <c r="F5" s="926"/>
      <c r="G5" s="705"/>
      <c r="H5" s="706" t="s">
        <v>151</v>
      </c>
      <c r="I5" s="918" t="s">
        <v>276</v>
      </c>
      <c r="J5" s="918"/>
      <c r="K5" s="703"/>
      <c r="N5" s="707"/>
    </row>
    <row r="6" spans="1:20" ht="24.95" customHeight="1" x14ac:dyDescent="0.2">
      <c r="A6" s="701"/>
      <c r="B6" s="918"/>
      <c r="C6" s="918"/>
      <c r="D6" s="708"/>
      <c r="E6" s="709"/>
      <c r="F6" s="709"/>
      <c r="G6" s="701"/>
      <c r="H6" s="701"/>
      <c r="I6" s="918"/>
      <c r="J6" s="918"/>
      <c r="K6" s="703"/>
      <c r="M6" s="710"/>
      <c r="N6" s="707"/>
    </row>
    <row r="7" spans="1:20" ht="24.95" customHeight="1" x14ac:dyDescent="0.2">
      <c r="A7" s="701"/>
      <c r="B7" s="711"/>
      <c r="C7" s="711"/>
      <c r="D7" s="712"/>
      <c r="E7" s="712"/>
      <c r="F7" s="915"/>
      <c r="G7" s="915"/>
      <c r="H7" s="915"/>
      <c r="I7" s="915"/>
      <c r="J7" s="711"/>
      <c r="K7" s="703"/>
      <c r="M7" s="710"/>
      <c r="N7" s="707"/>
    </row>
    <row r="8" spans="1:20" ht="24.95" customHeight="1" x14ac:dyDescent="0.2">
      <c r="A8" s="701"/>
      <c r="B8" s="913"/>
      <c r="C8" s="913"/>
      <c r="D8" s="712"/>
      <c r="E8" s="712"/>
      <c r="F8" s="916"/>
      <c r="G8" s="917"/>
      <c r="H8" s="16"/>
      <c r="I8" s="927" t="s">
        <v>279</v>
      </c>
      <c r="J8" s="927"/>
      <c r="K8" s="703"/>
      <c r="M8" s="710"/>
      <c r="N8" s="707"/>
      <c r="O8" s="70"/>
    </row>
    <row r="9" spans="1:20" ht="24.95" customHeight="1" x14ac:dyDescent="0.2">
      <c r="A9" s="701"/>
      <c r="B9" s="918" t="s">
        <v>277</v>
      </c>
      <c r="C9" s="918"/>
      <c r="D9" s="713" t="s">
        <v>278</v>
      </c>
      <c r="F9" s="917"/>
      <c r="G9" s="917"/>
      <c r="H9" s="701"/>
      <c r="I9" s="927"/>
      <c r="J9" s="927"/>
      <c r="K9" s="703"/>
      <c r="N9" s="707"/>
      <c r="O9" s="70"/>
    </row>
    <row r="10" spans="1:20" ht="24.95" customHeight="1" x14ac:dyDescent="0.2">
      <c r="A10" s="701"/>
      <c r="B10" s="918"/>
      <c r="C10" s="918"/>
      <c r="D10" s="714"/>
      <c r="E10" s="715" t="s">
        <v>280</v>
      </c>
      <c r="F10" s="716"/>
      <c r="G10" s="701"/>
      <c r="H10" s="701"/>
      <c r="L10" s="16"/>
      <c r="M10" s="710"/>
      <c r="N10" s="707"/>
      <c r="O10" s="70"/>
      <c r="P10" s="707"/>
      <c r="R10" s="707"/>
      <c r="S10" s="707"/>
      <c r="T10" s="707"/>
    </row>
    <row r="11" spans="1:20" ht="24.95" customHeight="1" x14ac:dyDescent="0.2">
      <c r="A11" s="701"/>
      <c r="D11" s="714"/>
      <c r="E11" s="918" t="s">
        <v>281</v>
      </c>
      <c r="F11" s="918"/>
      <c r="G11" s="717"/>
      <c r="H11" s="717"/>
      <c r="I11" s="920" t="s">
        <v>85</v>
      </c>
      <c r="J11" s="920"/>
      <c r="K11" s="920"/>
      <c r="L11" s="16"/>
      <c r="N11" s="707"/>
      <c r="O11" s="70"/>
      <c r="P11" s="707"/>
      <c r="R11" s="707"/>
      <c r="S11" s="707"/>
      <c r="T11" s="707"/>
    </row>
    <row r="12" spans="1:20" ht="24.95" customHeight="1" x14ac:dyDescent="0.2">
      <c r="A12" s="701"/>
      <c r="B12" s="913"/>
      <c r="C12" s="913"/>
      <c r="D12" s="718"/>
      <c r="E12" s="918"/>
      <c r="F12" s="918"/>
      <c r="I12" s="920"/>
      <c r="J12" s="920"/>
      <c r="K12" s="920"/>
      <c r="L12" s="16"/>
      <c r="N12" s="707"/>
      <c r="O12" s="707"/>
      <c r="P12" s="707"/>
      <c r="Q12" s="70"/>
      <c r="R12" s="707"/>
      <c r="S12" s="707"/>
      <c r="T12" s="707"/>
    </row>
    <row r="13" spans="1:20" ht="24.95" customHeight="1" x14ac:dyDescent="0.2">
      <c r="A13" s="701"/>
      <c r="B13" s="918" t="s">
        <v>282</v>
      </c>
      <c r="C13" s="918"/>
      <c r="D13" s="718" t="s">
        <v>283</v>
      </c>
      <c r="K13" s="698"/>
      <c r="L13" s="16"/>
      <c r="N13" s="707"/>
      <c r="O13" s="707"/>
      <c r="P13" s="707"/>
      <c r="R13" s="707"/>
      <c r="S13" s="707"/>
      <c r="T13" s="707"/>
    </row>
    <row r="14" spans="1:20" ht="24.95" customHeight="1" x14ac:dyDescent="0.2">
      <c r="A14" s="701"/>
      <c r="B14" s="918"/>
      <c r="C14" s="918"/>
      <c r="I14" s="918" t="s">
        <v>314</v>
      </c>
      <c r="J14" s="918"/>
      <c r="K14" s="698"/>
      <c r="L14" s="16"/>
      <c r="N14" s="707"/>
      <c r="O14" s="707"/>
      <c r="P14" s="707"/>
      <c r="Q14" s="70"/>
      <c r="R14" s="707"/>
      <c r="S14" s="707"/>
      <c r="T14" s="707"/>
    </row>
    <row r="15" spans="1:20" ht="24.95" customHeight="1" x14ac:dyDescent="0.2">
      <c r="A15" s="701"/>
      <c r="E15" s="94"/>
      <c r="F15" s="719"/>
      <c r="G15" s="720"/>
      <c r="I15" s="918"/>
      <c r="J15" s="918"/>
      <c r="K15" s="703"/>
      <c r="L15" s="16"/>
      <c r="N15" s="707"/>
      <c r="O15" s="707"/>
      <c r="P15" s="707"/>
      <c r="R15" s="707"/>
      <c r="S15" s="707"/>
      <c r="T15" s="707"/>
    </row>
    <row r="16" spans="1:20" ht="24.95" customHeight="1" x14ac:dyDescent="0.2">
      <c r="A16" s="701"/>
      <c r="D16" s="701"/>
      <c r="H16" s="778"/>
      <c r="L16" s="16"/>
      <c r="N16" s="707"/>
      <c r="O16" s="707"/>
      <c r="P16" s="707"/>
      <c r="Q16" s="70"/>
      <c r="R16" s="707"/>
      <c r="S16" s="707"/>
      <c r="T16" s="707"/>
    </row>
    <row r="17" spans="1:20" ht="24.95" customHeight="1" x14ac:dyDescent="0.2">
      <c r="A17" s="701"/>
      <c r="B17" s="913"/>
      <c r="C17" s="913"/>
      <c r="D17" s="721"/>
      <c r="H17" s="778"/>
      <c r="I17" s="928" t="s">
        <v>284</v>
      </c>
      <c r="J17" s="928"/>
      <c r="K17" s="703"/>
      <c r="L17" s="722"/>
      <c r="M17" s="70"/>
      <c r="N17" s="70"/>
      <c r="O17" s="70"/>
      <c r="P17" s="707"/>
      <c r="R17" s="707"/>
      <c r="S17" s="707"/>
      <c r="T17" s="707"/>
    </row>
    <row r="18" spans="1:20" ht="24.95" customHeight="1" x14ac:dyDescent="0.2">
      <c r="A18" s="703"/>
      <c r="B18" s="919" t="s">
        <v>285</v>
      </c>
      <c r="C18" s="919"/>
      <c r="D18" s="723" t="s">
        <v>286</v>
      </c>
      <c r="E18" s="698"/>
      <c r="F18" s="698"/>
      <c r="I18" s="928"/>
      <c r="J18" s="928"/>
      <c r="K18" s="703"/>
      <c r="N18" s="707"/>
      <c r="O18" s="707"/>
      <c r="P18" s="707"/>
      <c r="R18" s="707"/>
      <c r="S18" s="707"/>
      <c r="T18" s="707"/>
    </row>
    <row r="19" spans="1:20" ht="24.95" customHeight="1" x14ac:dyDescent="0.2">
      <c r="A19" s="724"/>
      <c r="B19" s="919"/>
      <c r="C19" s="919"/>
      <c r="D19" s="725"/>
      <c r="E19" s="715" t="s">
        <v>287</v>
      </c>
      <c r="F19" s="726"/>
      <c r="G19" s="701"/>
      <c r="H19" s="701"/>
      <c r="I19" s="921"/>
      <c r="J19" s="921"/>
      <c r="K19" s="724"/>
      <c r="N19" s="707"/>
      <c r="O19" s="70"/>
      <c r="T19" s="707"/>
    </row>
    <row r="20" spans="1:20" ht="24.95" customHeight="1" x14ac:dyDescent="0.2">
      <c r="A20" s="724"/>
      <c r="B20" s="922"/>
      <c r="C20" s="922"/>
      <c r="D20" s="725"/>
      <c r="E20" s="919" t="s">
        <v>288</v>
      </c>
      <c r="F20" s="919"/>
      <c r="I20" s="919" t="s">
        <v>312</v>
      </c>
      <c r="J20" s="919"/>
      <c r="K20" s="724"/>
      <c r="M20" s="70"/>
      <c r="N20" s="707"/>
      <c r="P20" s="70"/>
      <c r="T20" s="707"/>
    </row>
    <row r="21" spans="1:20" ht="24.95" customHeight="1" x14ac:dyDescent="0.2">
      <c r="A21" s="724"/>
      <c r="B21" s="922"/>
      <c r="C21" s="922"/>
      <c r="D21" s="725"/>
      <c r="E21" s="919"/>
      <c r="F21" s="919"/>
      <c r="I21" s="919"/>
      <c r="J21" s="919"/>
      <c r="K21" s="724"/>
      <c r="M21" s="70"/>
      <c r="N21" s="707"/>
      <c r="O21" s="70"/>
    </row>
    <row r="22" spans="1:20" ht="24.95" customHeight="1" x14ac:dyDescent="0.2">
      <c r="B22" s="919" t="s">
        <v>289</v>
      </c>
      <c r="C22" s="919"/>
      <c r="D22" s="727" t="s">
        <v>290</v>
      </c>
      <c r="K22" s="728"/>
      <c r="N22" s="707"/>
    </row>
    <row r="23" spans="1:20" ht="24.95" customHeight="1" x14ac:dyDescent="0.2">
      <c r="B23" s="919"/>
      <c r="C23" s="919"/>
      <c r="D23" s="729"/>
      <c r="H23" s="778"/>
      <c r="I23" s="930" t="s">
        <v>311</v>
      </c>
      <c r="J23" s="931"/>
      <c r="K23" s="728"/>
      <c r="L23" s="710"/>
    </row>
    <row r="24" spans="1:20" ht="24.95" customHeight="1" x14ac:dyDescent="0.2">
      <c r="A24" s="730"/>
      <c r="B24" s="730"/>
      <c r="C24" s="730"/>
      <c r="D24" s="730"/>
      <c r="F24" s="928" t="s">
        <v>291</v>
      </c>
      <c r="G24" s="928"/>
      <c r="H24" s="778"/>
      <c r="I24" s="930"/>
      <c r="J24" s="931"/>
      <c r="K24" s="728"/>
      <c r="M24" s="70"/>
      <c r="O24" s="70"/>
    </row>
    <row r="25" spans="1:20" ht="24.95" customHeight="1" x14ac:dyDescent="0.2">
      <c r="A25" s="730"/>
      <c r="D25" s="730"/>
      <c r="E25" s="781"/>
      <c r="F25" s="928"/>
      <c r="G25" s="928"/>
      <c r="H25" s="698"/>
      <c r="K25" s="728"/>
    </row>
    <row r="26" spans="1:20" ht="24.95" customHeight="1" x14ac:dyDescent="0.2">
      <c r="A26" s="730"/>
      <c r="I26" s="930" t="s">
        <v>293</v>
      </c>
      <c r="J26" s="929"/>
      <c r="K26" s="728"/>
      <c r="M26" s="70"/>
      <c r="N26" s="70"/>
    </row>
    <row r="27" spans="1:20" ht="24.95" customHeight="1" x14ac:dyDescent="0.2">
      <c r="A27" s="730"/>
      <c r="B27" s="911"/>
      <c r="C27" s="911"/>
      <c r="D27" s="911"/>
      <c r="E27" s="780"/>
      <c r="F27" s="780"/>
      <c r="I27" s="930"/>
      <c r="J27" s="929"/>
      <c r="M27" s="70"/>
      <c r="N27" s="70"/>
    </row>
    <row r="28" spans="1:20" ht="24.95" customHeight="1" x14ac:dyDescent="0.2">
      <c r="E28" s="780"/>
      <c r="F28" s="780"/>
    </row>
    <row r="29" spans="1:20" ht="24.95" customHeight="1" x14ac:dyDescent="0.2">
      <c r="F29" s="912"/>
      <c r="G29" s="912"/>
      <c r="H29" s="779"/>
      <c r="I29" s="779"/>
    </row>
    <row r="30" spans="1:20" ht="10.5" customHeight="1" x14ac:dyDescent="0.2">
      <c r="G30" s="913"/>
      <c r="H30" s="913"/>
    </row>
    <row r="31" spans="1:20" ht="24.95" customHeight="1" x14ac:dyDescent="0.2">
      <c r="F31" s="929" t="s">
        <v>294</v>
      </c>
      <c r="G31" s="929"/>
      <c r="I31" s="780"/>
      <c r="J31" s="780"/>
    </row>
    <row r="32" spans="1:20" ht="24.95" customHeight="1" x14ac:dyDescent="0.2">
      <c r="B32" s="730"/>
      <c r="C32" s="730"/>
      <c r="D32" s="730"/>
      <c r="E32" s="730"/>
      <c r="F32" s="929"/>
      <c r="G32" s="929"/>
      <c r="I32" s="780"/>
      <c r="J32" s="780"/>
      <c r="K32" s="730"/>
    </row>
    <row r="33" spans="1:11" ht="12.95" customHeight="1" x14ac:dyDescent="0.2"/>
    <row r="34" spans="1:11" ht="12.95" customHeight="1" x14ac:dyDescent="0.2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</row>
    <row r="35" spans="1:11" ht="20.100000000000001" customHeight="1" x14ac:dyDescent="0.2">
      <c r="A35" s="910"/>
      <c r="B35" s="910"/>
      <c r="C35" s="910"/>
      <c r="D35" s="910"/>
      <c r="E35" s="910"/>
      <c r="F35" s="910"/>
      <c r="G35" s="910"/>
      <c r="H35" s="910"/>
      <c r="I35" s="910"/>
      <c r="J35" s="910"/>
      <c r="K35" s="910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83"/>
      <c r="F47" s="683"/>
      <c r="G47" s="683"/>
      <c r="H47" s="683"/>
    </row>
    <row r="48" spans="1:11" ht="15" customHeight="1" x14ac:dyDescent="0.2">
      <c r="E48" s="683"/>
      <c r="F48" s="683"/>
      <c r="G48" s="683"/>
      <c r="H48" s="683"/>
    </row>
    <row r="49" spans="4:20" ht="15" customHeight="1" x14ac:dyDescent="0.2">
      <c r="E49" s="683"/>
      <c r="F49" s="683"/>
      <c r="G49" s="683"/>
      <c r="H49" s="683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2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2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2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2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2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2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2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2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2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2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2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I8:J9"/>
    <mergeCell ref="F24:G25"/>
    <mergeCell ref="F31:G32"/>
    <mergeCell ref="I23:J24"/>
    <mergeCell ref="I26:J27"/>
    <mergeCell ref="I17:J18"/>
    <mergeCell ref="I1:K1"/>
    <mergeCell ref="C2:I3"/>
    <mergeCell ref="D4:G4"/>
    <mergeCell ref="B5:C6"/>
    <mergeCell ref="E5:F5"/>
    <mergeCell ref="I5:J6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A35:K35"/>
    <mergeCell ref="B27:D27"/>
    <mergeCell ref="F29:G29"/>
    <mergeCell ref="G30:H30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>
      <selection sqref="A1:N1"/>
    </sheetView>
  </sheetViews>
  <sheetFormatPr defaultRowHeight="12.75" x14ac:dyDescent="0.2"/>
  <cols>
    <col min="1" max="16384" width="9.140625" style="42"/>
  </cols>
  <sheetData>
    <row r="1" spans="1:14" x14ac:dyDescent="0.2">
      <c r="A1" s="932"/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</row>
    <row r="2" spans="1:14" ht="15.75" x14ac:dyDescent="0.25">
      <c r="A2" s="933" t="s">
        <v>292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0"/>
      <c r="C1" s="791" t="s">
        <v>49</v>
      </c>
    </row>
    <row r="2" spans="1:3" x14ac:dyDescent="0.2">
      <c r="A2" s="201"/>
      <c r="B2" s="230"/>
      <c r="C2" s="792"/>
    </row>
    <row r="3" spans="1:3" x14ac:dyDescent="0.2">
      <c r="A3" s="201"/>
      <c r="B3" s="230"/>
      <c r="C3" s="792"/>
    </row>
    <row r="4" spans="1:3" x14ac:dyDescent="0.2">
      <c r="A4" s="181"/>
      <c r="B4" s="230"/>
      <c r="C4" s="792"/>
    </row>
    <row r="5" spans="1:3" ht="30" customHeight="1" x14ac:dyDescent="0.2">
      <c r="A5" s="631" t="s">
        <v>97</v>
      </c>
      <c r="B5" s="624" t="s">
        <v>50</v>
      </c>
      <c r="C5" s="632" t="s">
        <v>203</v>
      </c>
    </row>
    <row r="6" spans="1:3" ht="30" customHeight="1" x14ac:dyDescent="0.2">
      <c r="A6" s="635" t="s">
        <v>218</v>
      </c>
      <c r="B6" s="226" t="s">
        <v>50</v>
      </c>
      <c r="C6" s="636" t="s">
        <v>204</v>
      </c>
    </row>
    <row r="7" spans="1:3" ht="30" customHeight="1" x14ac:dyDescent="0.2">
      <c r="A7" s="635" t="s">
        <v>186</v>
      </c>
      <c r="B7" s="226" t="s">
        <v>50</v>
      </c>
      <c r="C7" s="636" t="s">
        <v>205</v>
      </c>
    </row>
    <row r="8" spans="1:3" ht="30" customHeight="1" x14ac:dyDescent="0.2">
      <c r="A8" s="635" t="s">
        <v>190</v>
      </c>
      <c r="B8" s="226" t="s">
        <v>50</v>
      </c>
      <c r="C8" s="636" t="s">
        <v>206</v>
      </c>
    </row>
    <row r="9" spans="1:3" ht="30" customHeight="1" x14ac:dyDescent="0.2">
      <c r="A9" s="635" t="s">
        <v>300</v>
      </c>
      <c r="B9" s="226" t="s">
        <v>50</v>
      </c>
      <c r="C9" s="636" t="s">
        <v>207</v>
      </c>
    </row>
    <row r="10" spans="1:3" ht="30" customHeight="1" x14ac:dyDescent="0.2">
      <c r="A10" s="635" t="s">
        <v>191</v>
      </c>
      <c r="B10" s="226" t="s">
        <v>50</v>
      </c>
      <c r="C10" s="636" t="s">
        <v>208</v>
      </c>
    </row>
    <row r="11" spans="1:3" ht="30" customHeight="1" x14ac:dyDescent="0.2">
      <c r="A11" s="635" t="s">
        <v>301</v>
      </c>
      <c r="B11" s="226" t="s">
        <v>50</v>
      </c>
      <c r="C11" s="636" t="s">
        <v>209</v>
      </c>
    </row>
    <row r="12" spans="1:3" ht="30" customHeight="1" x14ac:dyDescent="0.2">
      <c r="A12" s="635" t="s">
        <v>192</v>
      </c>
      <c r="B12" s="226" t="s">
        <v>50</v>
      </c>
      <c r="C12" s="636" t="s">
        <v>210</v>
      </c>
    </row>
    <row r="13" spans="1:3" ht="30" customHeight="1" x14ac:dyDescent="0.2">
      <c r="A13" s="635" t="s">
        <v>193</v>
      </c>
      <c r="B13" s="226" t="s">
        <v>50</v>
      </c>
      <c r="C13" s="636" t="s">
        <v>211</v>
      </c>
    </row>
    <row r="14" spans="1:3" ht="30" customHeight="1" x14ac:dyDescent="0.2">
      <c r="A14" s="635" t="s">
        <v>194</v>
      </c>
      <c r="B14" s="226" t="s">
        <v>50</v>
      </c>
      <c r="C14" s="636" t="s">
        <v>212</v>
      </c>
    </row>
    <row r="15" spans="1:3" ht="30" customHeight="1" x14ac:dyDescent="0.2">
      <c r="A15" s="635" t="s">
        <v>195</v>
      </c>
      <c r="B15" s="226" t="s">
        <v>50</v>
      </c>
      <c r="C15" s="636" t="s">
        <v>213</v>
      </c>
    </row>
    <row r="16" spans="1:3" ht="30" customHeight="1" x14ac:dyDescent="0.2">
      <c r="A16" s="635" t="s">
        <v>82</v>
      </c>
      <c r="B16" s="226" t="s">
        <v>50</v>
      </c>
      <c r="C16" s="636" t="s">
        <v>214</v>
      </c>
    </row>
    <row r="17" spans="1:3" ht="30" customHeight="1" x14ac:dyDescent="0.2">
      <c r="A17" s="635" t="s">
        <v>269</v>
      </c>
      <c r="B17" s="226" t="s">
        <v>50</v>
      </c>
      <c r="C17" s="636" t="s">
        <v>215</v>
      </c>
    </row>
    <row r="18" spans="1:3" ht="30" customHeight="1" x14ac:dyDescent="0.2">
      <c r="A18" s="635" t="s">
        <v>270</v>
      </c>
      <c r="B18" s="226" t="s">
        <v>50</v>
      </c>
      <c r="C18" s="636" t="s">
        <v>216</v>
      </c>
    </row>
    <row r="19" spans="1:3" ht="30" customHeight="1" x14ac:dyDescent="0.2">
      <c r="A19" s="635" t="s">
        <v>296</v>
      </c>
      <c r="B19" s="782" t="s">
        <v>50</v>
      </c>
      <c r="C19" s="636" t="s">
        <v>217</v>
      </c>
    </row>
    <row r="20" spans="1:3" ht="30" customHeight="1" x14ac:dyDescent="0.2">
      <c r="A20" s="633" t="s">
        <v>292</v>
      </c>
      <c r="B20" s="731" t="s">
        <v>50</v>
      </c>
      <c r="C20" s="634" t="s">
        <v>271</v>
      </c>
    </row>
    <row r="21" spans="1:3" ht="23.1" customHeight="1" x14ac:dyDescent="0.2">
      <c r="A21" s="87"/>
      <c r="B21" s="231"/>
      <c r="C21" s="233"/>
    </row>
    <row r="22" spans="1:3" ht="23.1" customHeight="1" x14ac:dyDescent="0.2">
      <c r="A22" s="87"/>
      <c r="B22" s="231"/>
      <c r="C22" s="233"/>
    </row>
    <row r="23" spans="1:3" ht="23.1" customHeight="1" x14ac:dyDescent="0.2">
      <c r="A23" s="199"/>
      <c r="B23" s="231"/>
      <c r="C23" s="233"/>
    </row>
    <row r="24" spans="1:3" ht="23.1" customHeight="1" x14ac:dyDescent="0.2">
      <c r="A24" s="85"/>
      <c r="B24" s="232"/>
      <c r="C24" s="233"/>
    </row>
    <row r="25" spans="1:3" ht="23.1" customHeight="1" x14ac:dyDescent="0.2">
      <c r="A25" s="87"/>
      <c r="B25" s="231"/>
      <c r="C25" s="233"/>
    </row>
    <row r="26" spans="1:3" ht="23.1" customHeight="1" x14ac:dyDescent="0.2">
      <c r="A26" s="87"/>
      <c r="B26" s="231"/>
      <c r="C26" s="233"/>
    </row>
    <row r="27" spans="1:3" ht="23.1" customHeight="1" x14ac:dyDescent="0.2">
      <c r="A27" s="87"/>
      <c r="B27" s="231"/>
      <c r="C27" s="233"/>
    </row>
    <row r="28" spans="1:3" ht="23.1" customHeight="1" x14ac:dyDescent="0.2">
      <c r="A28" s="794"/>
      <c r="B28" s="794"/>
      <c r="C28" s="233"/>
    </row>
    <row r="29" spans="1:3" ht="23.1" customHeight="1" x14ac:dyDescent="0.2">
      <c r="A29" s="794"/>
      <c r="B29" s="794"/>
      <c r="C29" s="233"/>
    </row>
    <row r="30" spans="1:3" ht="23.1" customHeight="1" x14ac:dyDescent="0.2">
      <c r="A30" s="794"/>
      <c r="B30" s="794"/>
      <c r="C30" s="233"/>
    </row>
    <row r="31" spans="1:3" ht="23.1" customHeight="1" x14ac:dyDescent="0.2">
      <c r="A31" s="794"/>
      <c r="B31" s="794"/>
      <c r="C31" s="233"/>
    </row>
    <row r="32" spans="1:3" ht="30" customHeight="1" x14ac:dyDescent="0.2">
      <c r="A32" s="793"/>
      <c r="B32" s="793"/>
      <c r="C32" s="233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topLeftCell="A5" zoomScaleNormal="100" zoomScaleSheetLayoutView="100" workbookViewId="0">
      <selection sqref="A1:A4"/>
    </sheetView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797" t="s">
        <v>99</v>
      </c>
      <c r="B1" s="224"/>
      <c r="C1" s="795"/>
      <c r="D1" s="795"/>
    </row>
    <row r="2" spans="1:4" x14ac:dyDescent="0.2">
      <c r="A2" s="797"/>
      <c r="B2" s="224"/>
    </row>
    <row r="3" spans="1:4" x14ac:dyDescent="0.2">
      <c r="A3" s="797"/>
      <c r="B3" s="225"/>
    </row>
    <row r="4" spans="1:4" x14ac:dyDescent="0.2">
      <c r="A4" s="798"/>
      <c r="B4" s="224"/>
      <c r="C4" s="229" t="s">
        <v>100</v>
      </c>
    </row>
    <row r="5" spans="1:4" ht="18" customHeight="1" x14ac:dyDescent="0.2">
      <c r="A5" s="623" t="s">
        <v>98</v>
      </c>
      <c r="B5" s="624" t="s">
        <v>50</v>
      </c>
      <c r="C5" s="625" t="s">
        <v>101</v>
      </c>
      <c r="D5" s="625"/>
    </row>
    <row r="6" spans="1:4" ht="18" customHeight="1" x14ac:dyDescent="0.2">
      <c r="A6" s="629" t="s">
        <v>102</v>
      </c>
      <c r="B6" s="226" t="s">
        <v>50</v>
      </c>
      <c r="C6" s="200" t="s">
        <v>4</v>
      </c>
      <c r="D6" s="200"/>
    </row>
    <row r="7" spans="1:4" ht="18" customHeight="1" x14ac:dyDescent="0.2">
      <c r="A7" s="629" t="s">
        <v>9</v>
      </c>
      <c r="B7" s="226" t="s">
        <v>50</v>
      </c>
      <c r="C7" s="200" t="s">
        <v>118</v>
      </c>
      <c r="D7" s="200"/>
    </row>
    <row r="8" spans="1:4" ht="18" customHeight="1" x14ac:dyDescent="0.2">
      <c r="A8" s="629" t="s">
        <v>122</v>
      </c>
      <c r="B8" s="226" t="s">
        <v>50</v>
      </c>
      <c r="C8" s="200" t="s">
        <v>126</v>
      </c>
      <c r="D8" s="200"/>
    </row>
    <row r="9" spans="1:4" ht="18" customHeight="1" x14ac:dyDescent="0.2">
      <c r="A9" s="629" t="s">
        <v>146</v>
      </c>
      <c r="B9" s="226" t="s">
        <v>50</v>
      </c>
      <c r="C9" s="200" t="s">
        <v>147</v>
      </c>
      <c r="D9" s="200"/>
    </row>
    <row r="10" spans="1:4" ht="18" customHeight="1" x14ac:dyDescent="0.2">
      <c r="A10" s="629" t="s">
        <v>129</v>
      </c>
      <c r="B10" s="226" t="s">
        <v>50</v>
      </c>
      <c r="C10" s="200" t="s">
        <v>130</v>
      </c>
      <c r="D10" s="200"/>
    </row>
    <row r="11" spans="1:4" ht="18" customHeight="1" x14ac:dyDescent="0.2">
      <c r="A11" s="629" t="s">
        <v>134</v>
      </c>
      <c r="B11" s="226" t="s">
        <v>50</v>
      </c>
      <c r="C11" s="200" t="s">
        <v>135</v>
      </c>
      <c r="D11" s="200"/>
    </row>
    <row r="12" spans="1:4" ht="18" customHeight="1" x14ac:dyDescent="0.2">
      <c r="A12" s="629" t="s">
        <v>111</v>
      </c>
      <c r="B12" s="226" t="s">
        <v>50</v>
      </c>
      <c r="C12" s="200" t="s">
        <v>112</v>
      </c>
      <c r="D12" s="95"/>
    </row>
    <row r="13" spans="1:4" ht="18" customHeight="1" x14ac:dyDescent="0.2">
      <c r="A13" s="629" t="s">
        <v>138</v>
      </c>
      <c r="B13" s="226" t="s">
        <v>50</v>
      </c>
      <c r="C13" s="95" t="s">
        <v>139</v>
      </c>
      <c r="D13" s="200"/>
    </row>
    <row r="14" spans="1:4" ht="18" customHeight="1" x14ac:dyDescent="0.2">
      <c r="A14" s="629" t="s">
        <v>148</v>
      </c>
      <c r="B14" s="226" t="s">
        <v>50</v>
      </c>
      <c r="C14" s="200" t="s">
        <v>149</v>
      </c>
      <c r="D14" s="200"/>
    </row>
    <row r="15" spans="1:4" ht="18" customHeight="1" x14ac:dyDescent="0.2">
      <c r="A15" s="629" t="s">
        <v>107</v>
      </c>
      <c r="B15" s="226" t="s">
        <v>50</v>
      </c>
      <c r="C15" s="200" t="s">
        <v>108</v>
      </c>
      <c r="D15" s="200"/>
    </row>
    <row r="16" spans="1:4" ht="18" customHeight="1" x14ac:dyDescent="0.2">
      <c r="A16" s="629" t="s">
        <v>8</v>
      </c>
      <c r="B16" s="226" t="s">
        <v>50</v>
      </c>
      <c r="C16" s="200" t="s">
        <v>115</v>
      </c>
      <c r="D16" s="200"/>
    </row>
    <row r="17" spans="1:4" ht="18" customHeight="1" x14ac:dyDescent="0.2">
      <c r="A17" s="629" t="s">
        <v>121</v>
      </c>
      <c r="B17" s="226" t="s">
        <v>50</v>
      </c>
      <c r="C17" s="200" t="s">
        <v>120</v>
      </c>
      <c r="D17" s="200"/>
    </row>
    <row r="18" spans="1:4" ht="18" customHeight="1" x14ac:dyDescent="0.2">
      <c r="A18" s="629" t="s">
        <v>140</v>
      </c>
      <c r="B18" s="226" t="s">
        <v>50</v>
      </c>
      <c r="C18" s="200" t="s">
        <v>141</v>
      </c>
      <c r="D18" s="200"/>
    </row>
    <row r="19" spans="1:4" ht="18" customHeight="1" x14ac:dyDescent="0.2">
      <c r="A19" s="629" t="s">
        <v>119</v>
      </c>
      <c r="B19" s="226" t="s">
        <v>50</v>
      </c>
      <c r="C19" s="200" t="s">
        <v>310</v>
      </c>
      <c r="D19" s="200"/>
    </row>
    <row r="20" spans="1:4" ht="18" customHeight="1" x14ac:dyDescent="0.2">
      <c r="A20" s="629" t="s">
        <v>136</v>
      </c>
      <c r="B20" s="226" t="s">
        <v>50</v>
      </c>
      <c r="C20" s="200" t="s">
        <v>137</v>
      </c>
      <c r="D20" s="95"/>
    </row>
    <row r="21" spans="1:4" ht="18" customHeight="1" x14ac:dyDescent="0.2">
      <c r="A21" s="629" t="s">
        <v>114</v>
      </c>
      <c r="B21" s="226" t="s">
        <v>50</v>
      </c>
      <c r="C21" s="200" t="s">
        <v>113</v>
      </c>
      <c r="D21" s="95"/>
    </row>
    <row r="22" spans="1:4" ht="18" customHeight="1" x14ac:dyDescent="0.2">
      <c r="A22" s="629" t="s">
        <v>104</v>
      </c>
      <c r="B22" s="226" t="s">
        <v>50</v>
      </c>
      <c r="C22" s="200" t="s">
        <v>103</v>
      </c>
      <c r="D22" s="95"/>
    </row>
    <row r="23" spans="1:4" ht="18" customHeight="1" x14ac:dyDescent="0.2">
      <c r="A23" s="630" t="s">
        <v>183</v>
      </c>
      <c r="B23" s="226" t="s">
        <v>50</v>
      </c>
      <c r="C23" s="200" t="s">
        <v>124</v>
      </c>
      <c r="D23" s="95"/>
    </row>
    <row r="24" spans="1:4" ht="18" customHeight="1" x14ac:dyDescent="0.2">
      <c r="A24" s="629" t="s">
        <v>106</v>
      </c>
      <c r="B24" s="226" t="s">
        <v>50</v>
      </c>
      <c r="C24" s="200" t="s">
        <v>105</v>
      </c>
      <c r="D24" s="95"/>
    </row>
    <row r="25" spans="1:4" ht="18" customHeight="1" x14ac:dyDescent="0.2">
      <c r="A25" s="630" t="s">
        <v>184</v>
      </c>
      <c r="B25" s="226" t="s">
        <v>50</v>
      </c>
      <c r="C25" s="796" t="s">
        <v>123</v>
      </c>
      <c r="D25" s="796"/>
    </row>
    <row r="26" spans="1:4" ht="18" customHeight="1" x14ac:dyDescent="0.2">
      <c r="A26" s="630" t="s">
        <v>185</v>
      </c>
      <c r="B26" s="226" t="s">
        <v>50</v>
      </c>
      <c r="C26" s="796" t="s">
        <v>125</v>
      </c>
      <c r="D26" s="796"/>
    </row>
    <row r="27" spans="1:4" ht="18" customHeight="1" x14ac:dyDescent="0.2">
      <c r="A27" s="629" t="s">
        <v>7</v>
      </c>
      <c r="B27" s="226" t="s">
        <v>50</v>
      </c>
      <c r="C27" s="200" t="s">
        <v>117</v>
      </c>
      <c r="D27" s="200"/>
    </row>
    <row r="28" spans="1:4" ht="18" customHeight="1" x14ac:dyDescent="0.2">
      <c r="A28" s="629" t="s">
        <v>131</v>
      </c>
      <c r="B28" s="226" t="s">
        <v>50</v>
      </c>
      <c r="C28" s="200" t="s">
        <v>309</v>
      </c>
      <c r="D28" s="200"/>
    </row>
    <row r="29" spans="1:4" ht="18" customHeight="1" x14ac:dyDescent="0.2">
      <c r="A29" s="629" t="s">
        <v>132</v>
      </c>
      <c r="B29" s="226" t="s">
        <v>50</v>
      </c>
      <c r="C29" s="200" t="s">
        <v>133</v>
      </c>
      <c r="D29" s="200"/>
    </row>
    <row r="30" spans="1:4" ht="18" customHeight="1" x14ac:dyDescent="0.2">
      <c r="A30" s="629" t="s">
        <v>6</v>
      </c>
      <c r="B30" s="226" t="s">
        <v>50</v>
      </c>
      <c r="C30" s="200" t="s">
        <v>116</v>
      </c>
      <c r="D30" s="200"/>
    </row>
    <row r="31" spans="1:4" ht="18" customHeight="1" x14ac:dyDescent="0.2">
      <c r="A31" s="629" t="s">
        <v>144</v>
      </c>
      <c r="B31" s="226" t="s">
        <v>50</v>
      </c>
      <c r="C31" s="200" t="s">
        <v>145</v>
      </c>
      <c r="D31" s="200"/>
    </row>
    <row r="32" spans="1:4" ht="18" customHeight="1" x14ac:dyDescent="0.2">
      <c r="A32" s="629" t="s">
        <v>179</v>
      </c>
      <c r="B32" s="226" t="s">
        <v>50</v>
      </c>
      <c r="C32" s="200" t="s">
        <v>177</v>
      </c>
      <c r="D32" s="200"/>
    </row>
    <row r="33" spans="1:4" ht="18" customHeight="1" x14ac:dyDescent="0.2">
      <c r="A33" s="629" t="s">
        <v>220</v>
      </c>
      <c r="B33" s="226" t="s">
        <v>50</v>
      </c>
      <c r="C33" s="796" t="s">
        <v>221</v>
      </c>
      <c r="D33" s="796"/>
    </row>
    <row r="34" spans="1:4" ht="18" customHeight="1" x14ac:dyDescent="0.2">
      <c r="A34" s="626" t="s">
        <v>110</v>
      </c>
      <c r="B34" s="627" t="s">
        <v>50</v>
      </c>
      <c r="C34" s="628" t="s">
        <v>109</v>
      </c>
      <c r="D34" s="628"/>
    </row>
    <row r="35" spans="1:4" ht="18" customHeight="1" x14ac:dyDescent="0.2">
      <c r="A35" s="236"/>
      <c r="B35" s="226"/>
      <c r="C35" s="156"/>
      <c r="D35" s="156"/>
    </row>
    <row r="36" spans="1:4" ht="23.1" customHeight="1" x14ac:dyDescent="0.2">
      <c r="A36" s="234"/>
      <c r="B36" s="227"/>
      <c r="C36" s="87"/>
      <c r="D36" s="87"/>
    </row>
    <row r="37" spans="1:4" ht="23.1" customHeight="1" x14ac:dyDescent="0.2">
      <c r="A37" s="234"/>
      <c r="B37" s="227"/>
      <c r="C37" s="87"/>
      <c r="D37" s="87"/>
    </row>
    <row r="38" spans="1:4" ht="23.1" customHeight="1" x14ac:dyDescent="0.2">
      <c r="A38" s="234"/>
      <c r="B38" s="227"/>
      <c r="C38" s="199"/>
      <c r="D38" s="199"/>
    </row>
    <row r="39" spans="1:4" ht="23.1" customHeight="1" x14ac:dyDescent="0.2">
      <c r="A39" s="235"/>
      <c r="B39" s="228"/>
      <c r="C39" s="85"/>
      <c r="D39" s="85"/>
    </row>
    <row r="40" spans="1:4" ht="23.1" customHeight="1" x14ac:dyDescent="0.2">
      <c r="A40" s="234"/>
      <c r="B40" s="227"/>
      <c r="C40" s="87"/>
      <c r="D40" s="87"/>
    </row>
    <row r="41" spans="1:4" ht="23.1" customHeight="1" x14ac:dyDescent="0.2">
      <c r="A41" s="234"/>
      <c r="B41" s="227"/>
      <c r="C41" s="87"/>
      <c r="D41" s="87"/>
    </row>
    <row r="42" spans="1:4" ht="23.1" customHeight="1" x14ac:dyDescent="0.2">
      <c r="A42" s="234"/>
      <c r="B42" s="227"/>
      <c r="C42" s="87"/>
      <c r="D42" s="87"/>
    </row>
    <row r="43" spans="1:4" ht="23.1" customHeight="1" x14ac:dyDescent="0.2">
      <c r="A43" s="234"/>
      <c r="B43" s="227"/>
      <c r="C43" s="794"/>
      <c r="D43" s="794"/>
    </row>
    <row r="44" spans="1:4" ht="21.75" customHeight="1" x14ac:dyDescent="0.2">
      <c r="A44" s="234"/>
      <c r="B44" s="227"/>
      <c r="C44" s="794"/>
      <c r="D44" s="794"/>
    </row>
    <row r="45" spans="1:4" ht="23.1" customHeight="1" x14ac:dyDescent="0.2">
      <c r="A45" s="86"/>
      <c r="B45" s="88"/>
      <c r="C45" s="794"/>
      <c r="D45" s="794"/>
    </row>
    <row r="46" spans="1:4" ht="23.1" customHeight="1" x14ac:dyDescent="0.2">
      <c r="A46" s="86"/>
      <c r="B46" s="88"/>
      <c r="C46" s="794"/>
      <c r="D46" s="794"/>
    </row>
    <row r="47" spans="1:4" ht="23.1" customHeight="1" x14ac:dyDescent="0.2">
      <c r="A47" s="86"/>
      <c r="B47" s="88"/>
      <c r="C47" s="794"/>
      <c r="D47" s="794"/>
    </row>
    <row r="48" spans="1:4" ht="30" customHeight="1" x14ac:dyDescent="0.2">
      <c r="A48" s="793"/>
      <c r="B48" s="793"/>
      <c r="C48" s="793"/>
      <c r="D48" s="793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799"/>
      <c r="D5" s="800"/>
    </row>
    <row r="6" spans="1:4" ht="30" customHeight="1" x14ac:dyDescent="0.2">
      <c r="A6" s="23"/>
      <c r="B6" s="20"/>
      <c r="C6" s="799"/>
      <c r="D6" s="800"/>
    </row>
    <row r="7" spans="1:4" ht="30" customHeight="1" x14ac:dyDescent="0.2">
      <c r="A7" s="23"/>
      <c r="B7" s="20"/>
      <c r="C7" s="799"/>
      <c r="D7" s="800"/>
    </row>
    <row r="8" spans="1:4" ht="30" customHeight="1" x14ac:dyDescent="0.2">
      <c r="A8" s="23"/>
      <c r="B8" s="20"/>
      <c r="C8" s="799"/>
      <c r="D8" s="800"/>
    </row>
    <row r="9" spans="1:4" ht="30" customHeight="1" x14ac:dyDescent="0.2">
      <c r="A9" s="23"/>
      <c r="B9" s="20"/>
      <c r="C9" s="799"/>
      <c r="D9" s="800"/>
    </row>
    <row r="10" spans="1:4" ht="30" customHeight="1" x14ac:dyDescent="0.2">
      <c r="A10" s="23"/>
      <c r="B10" s="20"/>
      <c r="C10" s="799"/>
      <c r="D10" s="800"/>
    </row>
    <row r="11" spans="1:4" ht="30" customHeight="1" x14ac:dyDescent="0.2">
      <c r="A11" s="23"/>
      <c r="B11" s="20"/>
      <c r="C11" s="799"/>
      <c r="D11" s="800"/>
    </row>
    <row r="12" spans="1:4" ht="30" customHeight="1" x14ac:dyDescent="0.2">
      <c r="A12" s="23"/>
      <c r="B12" s="20"/>
      <c r="C12" s="799"/>
      <c r="D12" s="800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0"/>
      <c r="D33" s="800"/>
    </row>
    <row r="34" spans="1:4" ht="23.1" customHeight="1" x14ac:dyDescent="0.2">
      <c r="A34" s="6"/>
      <c r="B34" s="22"/>
      <c r="C34" s="800"/>
      <c r="D34" s="800"/>
    </row>
    <row r="35" spans="1:4" ht="23.1" customHeight="1" x14ac:dyDescent="0.2">
      <c r="A35" s="6"/>
      <c r="B35" s="22"/>
      <c r="C35" s="800"/>
      <c r="D35" s="800"/>
    </row>
    <row r="36" spans="1:4" ht="30" customHeight="1" x14ac:dyDescent="0.2">
      <c r="A36" s="793"/>
      <c r="B36" s="793"/>
      <c r="C36" s="793"/>
      <c r="D36" s="793"/>
    </row>
  </sheetData>
  <mergeCells count="12">
    <mergeCell ref="C5:D5"/>
    <mergeCell ref="C6:D6"/>
    <mergeCell ref="C7:D7"/>
    <mergeCell ref="C8:D8"/>
    <mergeCell ref="C9:D9"/>
    <mergeCell ref="C10:D10"/>
    <mergeCell ref="C11:D11"/>
    <mergeCell ref="C12:D12"/>
    <mergeCell ref="C35:D35"/>
    <mergeCell ref="A36:D36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>
      <selection activeCell="K36" sqref="K36"/>
    </sheetView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2" t="s">
        <v>51</v>
      </c>
      <c r="I1" s="802"/>
    </row>
    <row r="2" spans="1:18" ht="15.75" customHeight="1" x14ac:dyDescent="0.25">
      <c r="A2" s="803" t="s">
        <v>219</v>
      </c>
      <c r="B2" s="803"/>
      <c r="C2" s="803"/>
      <c r="D2" s="803"/>
      <c r="E2" s="803"/>
      <c r="F2" s="803"/>
      <c r="G2" s="803"/>
      <c r="H2" s="803"/>
      <c r="I2" s="803"/>
    </row>
    <row r="3" spans="1:18" ht="19.5" customHeight="1" x14ac:dyDescent="0.2">
      <c r="A3" s="139"/>
      <c r="B3" s="480"/>
      <c r="D3" s="222" t="str">
        <f>T!G19</f>
        <v>Září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1"/>
      <c r="C4" s="40"/>
      <c r="D4" s="29"/>
      <c r="E4" s="29"/>
      <c r="F4" s="29"/>
    </row>
    <row r="5" spans="1:18" ht="15" customHeight="1" x14ac:dyDescent="0.2">
      <c r="A5" s="804"/>
      <c r="B5" s="804"/>
      <c r="C5" s="140"/>
      <c r="D5" s="805" t="s">
        <v>15</v>
      </c>
      <c r="E5" s="806"/>
      <c r="F5" s="807"/>
      <c r="G5" s="805" t="s">
        <v>1</v>
      </c>
      <c r="H5" s="806"/>
      <c r="I5" s="806"/>
    </row>
    <row r="6" spans="1:18" ht="15" customHeight="1" x14ac:dyDescent="0.2">
      <c r="A6" s="808" t="s">
        <v>150</v>
      </c>
      <c r="B6" s="809"/>
      <c r="C6" s="465"/>
      <c r="D6" s="141" t="s">
        <v>151</v>
      </c>
      <c r="E6" s="450" t="s">
        <v>152</v>
      </c>
      <c r="F6" s="446" t="s">
        <v>153</v>
      </c>
      <c r="G6" s="141" t="s">
        <v>151</v>
      </c>
      <c r="H6" s="450" t="s">
        <v>152</v>
      </c>
      <c r="I6" s="456" t="s">
        <v>153</v>
      </c>
    </row>
    <row r="7" spans="1:18" ht="15" customHeight="1" x14ac:dyDescent="0.2">
      <c r="A7" s="810"/>
      <c r="B7" s="811"/>
      <c r="C7" s="31" t="s">
        <v>154</v>
      </c>
      <c r="D7" s="63">
        <f>INDEX('[1]Přepravní soustava'!$C$13:$AL$13,1,3*T!$A$4-2)</f>
        <v>2822572.1879945146</v>
      </c>
      <c r="E7" s="451">
        <f>-INDEX('[1]Přepravní soustava'!$C$22:$AL$22,1,3*T!$A$4-2)</f>
        <v>-2117974.5414362946</v>
      </c>
      <c r="F7" s="447">
        <f>D7+E7</f>
        <v>704597.64655822003</v>
      </c>
      <c r="G7" s="63">
        <f>INDEX('[1]Přepravní soustava'!$C$13:$AL$13,1,3*T!$A$4-1)</f>
        <v>30149228.651000001</v>
      </c>
      <c r="H7" s="451">
        <f>-INDEX('[1]Přepravní soustava'!$C$22:$AL$22,1,3*T!$A$4-1)</f>
        <v>-22617914.491</v>
      </c>
      <c r="I7" s="84">
        <f>G7+H7</f>
        <v>7531314.1600000001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0"/>
      <c r="B8" s="811"/>
      <c r="C8" s="98" t="s">
        <v>155</v>
      </c>
      <c r="D8" s="63">
        <f>INDEX('[2]Z ZDS'!$C$31:$AX$31,1,4*T!$A$4-3)</f>
        <v>85.353673481835486</v>
      </c>
      <c r="E8" s="451">
        <f>-INDEX('[2]Do ZDS'!$C$32:$AL$32,1,3*T!$A$4-2)</f>
        <v>-14.98652120086658</v>
      </c>
      <c r="F8" s="447">
        <f>D8+E8</f>
        <v>70.367152280968909</v>
      </c>
      <c r="G8" s="63">
        <f>INDEX('[2]Z ZDS'!$C$31:$AX$31,1,4*T!$A$4-2)</f>
        <v>896.20718300000021</v>
      </c>
      <c r="H8" s="451">
        <f>-INDEX('[2]Do ZDS'!$C$32:$AL$32,1,3*T!$A$4-1)</f>
        <v>-160.32547339999999</v>
      </c>
      <c r="I8" s="84">
        <f>G8+H8</f>
        <v>735.88170960000025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6"/>
      <c r="B9" s="807"/>
      <c r="C9" s="459" t="s">
        <v>156</v>
      </c>
      <c r="D9" s="461">
        <f>SUM(D7:D8)</f>
        <v>2822657.5416679964</v>
      </c>
      <c r="E9" s="462">
        <f>SUM(E7:E8)</f>
        <v>-2117989.5279574953</v>
      </c>
      <c r="F9" s="463">
        <f>SUM(F7:F8)</f>
        <v>704668.01371050102</v>
      </c>
      <c r="G9" s="461">
        <f t="shared" ref="G9:I9" si="0">SUM(G7:G8)</f>
        <v>30150124.858183</v>
      </c>
      <c r="H9" s="462">
        <f t="shared" si="0"/>
        <v>-22618074.816473402</v>
      </c>
      <c r="I9" s="464">
        <f t="shared" si="0"/>
        <v>7532050.0417096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08" t="s">
        <v>157</v>
      </c>
      <c r="B10" s="809"/>
      <c r="C10" s="142"/>
      <c r="D10" s="645" t="s">
        <v>158</v>
      </c>
      <c r="E10" s="452" t="s">
        <v>159</v>
      </c>
      <c r="F10" s="448" t="s">
        <v>160</v>
      </c>
      <c r="G10" s="645" t="s">
        <v>158</v>
      </c>
      <c r="H10" s="452" t="s">
        <v>159</v>
      </c>
      <c r="I10" s="646" t="s">
        <v>160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0"/>
      <c r="B11" s="811"/>
      <c r="C11" s="63" t="s">
        <v>76</v>
      </c>
      <c r="D11" s="444">
        <f>INDEX('[1]Přepravní soustava'!$C39:$AL39,1,3*T!$A$4-2)</f>
        <v>2.1379999999999999</v>
      </c>
      <c r="E11" s="453">
        <f>-INDEX('[1]Přepravní soustava'!$C43:$AL43,1,3*T!$A$4-2)</f>
        <v>-322129.36800000002</v>
      </c>
      <c r="F11" s="449">
        <f>D11+E11</f>
        <v>-322127.23000000004</v>
      </c>
      <c r="G11" s="444">
        <f>INDEX('[1]Přepravní soustava'!$C39:$AL39,1,3*T!$A$4-1)</f>
        <v>22.827000000000002</v>
      </c>
      <c r="H11" s="453">
        <f>-INDEX('[1]Přepravní soustava'!$C43:$AL43,1,3*T!$A$4-1)</f>
        <v>-3442837.571</v>
      </c>
      <c r="I11" s="18">
        <f>G11+H11</f>
        <v>-3442814.7439999999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0"/>
      <c r="B12" s="811"/>
      <c r="C12" s="100" t="s">
        <v>77</v>
      </c>
      <c r="D12" s="64">
        <f>INDEX('[1]Přepravní soustava'!$C40:$AL40,1,3*T!$A$4-2)</f>
        <v>262.27</v>
      </c>
      <c r="E12" s="453">
        <f>-INDEX('[1]Přepravní soustava'!$C44:$AL44,1,3*T!$A$4-2)</f>
        <v>-28534.289000000001</v>
      </c>
      <c r="F12" s="449">
        <f>D12+E12</f>
        <v>-28272.019</v>
      </c>
      <c r="G12" s="64">
        <f>INDEX('[1]Přepravní soustava'!$C40:$AL40,1,3*T!$A$4-1)</f>
        <v>2805.69</v>
      </c>
      <c r="H12" s="453">
        <f>-INDEX('[1]Přepravní soustava'!$C44:$AL44,1,3*T!$A$4-1)</f>
        <v>-305286.83199999999</v>
      </c>
      <c r="I12" s="18">
        <f>G12+H12</f>
        <v>-302481.14199999999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6"/>
      <c r="B13" s="807"/>
      <c r="C13" s="460" t="s">
        <v>156</v>
      </c>
      <c r="D13" s="466">
        <f t="shared" ref="D13:H13" si="1">SUM(D11:D12)</f>
        <v>264.40799999999996</v>
      </c>
      <c r="E13" s="467">
        <f t="shared" si="1"/>
        <v>-350663.65700000001</v>
      </c>
      <c r="F13" s="468">
        <f t="shared" si="1"/>
        <v>-350399.24900000007</v>
      </c>
      <c r="G13" s="466">
        <f t="shared" si="1"/>
        <v>2828.5170000000003</v>
      </c>
      <c r="H13" s="467">
        <f t="shared" si="1"/>
        <v>-3748124.4029999999</v>
      </c>
      <c r="I13" s="469">
        <f>SUM(I11:I12)</f>
        <v>-3745295.8859999999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08" t="s">
        <v>83</v>
      </c>
      <c r="B14" s="809"/>
      <c r="C14" s="99"/>
      <c r="D14" s="143" t="s">
        <v>161</v>
      </c>
      <c r="E14" s="454" t="s">
        <v>162</v>
      </c>
      <c r="F14" s="144" t="s">
        <v>181</v>
      </c>
      <c r="G14" s="143" t="s">
        <v>161</v>
      </c>
      <c r="H14" s="454" t="s">
        <v>162</v>
      </c>
      <c r="I14" s="457" t="s">
        <v>181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0"/>
      <c r="B15" s="811"/>
      <c r="C15" s="63" t="s">
        <v>163</v>
      </c>
      <c r="D15" s="63">
        <f>INDEX('[3]Poklady MZ'!$C$9:$Z$10,1,2*T!$A$4-1)</f>
        <v>11080.218000000001</v>
      </c>
      <c r="E15" s="453">
        <f>INDEX('[3]Poklady MZ'!$C$22:$Z$22,1,2*T!$A$4-1)</f>
        <v>533.54999999999745</v>
      </c>
      <c r="F15" s="449">
        <f>D15+E15</f>
        <v>11613.767999999998</v>
      </c>
      <c r="G15" s="63">
        <f>INDEX('[3]Poklady MZ'!$C$9:$Z$10,1,2*T!$A$4)</f>
        <v>120551.7721038</v>
      </c>
      <c r="H15" s="453">
        <f>INDEX('[3]Poklady MZ'!$C$22:$Z$22,1,2*T!$A$4)</f>
        <v>5923.1469999999681</v>
      </c>
      <c r="I15" s="18">
        <f>G15+H15</f>
        <v>126474.91910379997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0"/>
      <c r="B16" s="811"/>
      <c r="C16" s="63" t="s">
        <v>164</v>
      </c>
      <c r="D16" s="445">
        <f>INDEX('[3]Poklady MZ'!$C$9:$Z$10,2,2*T!$A$4-1)</f>
        <v>877</v>
      </c>
      <c r="E16" s="453">
        <v>0</v>
      </c>
      <c r="F16" s="449">
        <f>D16+E16</f>
        <v>877</v>
      </c>
      <c r="G16" s="63">
        <f>INDEX('[3]Poklady MZ'!$C$9:$Z$10,2,2*T!$A$4)</f>
        <v>9185</v>
      </c>
      <c r="H16" s="453">
        <v>0</v>
      </c>
      <c r="I16" s="18">
        <f>G16+H16</f>
        <v>9185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6"/>
      <c r="B17" s="807"/>
      <c r="C17" s="460" t="s">
        <v>156</v>
      </c>
      <c r="D17" s="470">
        <f t="shared" ref="D17:I17" si="2">SUM(D15:D16)</f>
        <v>11957.218000000001</v>
      </c>
      <c r="E17" s="471">
        <f t="shared" si="2"/>
        <v>533.54999999999745</v>
      </c>
      <c r="F17" s="472">
        <f t="shared" si="2"/>
        <v>12490.767999999998</v>
      </c>
      <c r="G17" s="470">
        <f t="shared" si="2"/>
        <v>129736.7721038</v>
      </c>
      <c r="H17" s="471">
        <f t="shared" si="2"/>
        <v>5923.1469999999681</v>
      </c>
      <c r="I17" s="473">
        <f t="shared" si="2"/>
        <v>135659.91910379997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2" t="s">
        <v>84</v>
      </c>
      <c r="B18" s="813"/>
      <c r="C18" s="99"/>
      <c r="D18" s="143" t="s">
        <v>165</v>
      </c>
      <c r="E18" s="454" t="s">
        <v>166</v>
      </c>
      <c r="F18" s="144" t="s">
        <v>167</v>
      </c>
      <c r="G18" s="143" t="s">
        <v>165</v>
      </c>
      <c r="H18" s="454" t="s">
        <v>166</v>
      </c>
      <c r="I18" s="457" t="s">
        <v>167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4"/>
      <c r="B19" s="815"/>
      <c r="C19" s="100" t="s">
        <v>313</v>
      </c>
      <c r="D19" s="64">
        <f>-INDEX([2]DS!$B$56:$AK$58,1,3*T!$A$4-1)</f>
        <v>-9688.48</v>
      </c>
      <c r="E19" s="453">
        <v>0</v>
      </c>
      <c r="F19" s="449">
        <f>D19+E19</f>
        <v>-9688.48</v>
      </c>
      <c r="G19" s="445">
        <f>-INDEX([2]DS!$B$56:$AK$58,1,3*T!$A$4)</f>
        <v>-103537.02899999999</v>
      </c>
      <c r="H19" s="453">
        <v>0</v>
      </c>
      <c r="I19" s="18">
        <f>G19+H19</f>
        <v>-103537.02899999999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4"/>
      <c r="B20" s="815"/>
      <c r="C20" s="100" t="s">
        <v>168</v>
      </c>
      <c r="D20" s="445">
        <f>-INDEX([2]DS!$B$56:$AK$58,2,3*T!$A$4-1)</f>
        <v>-335128.55918106466</v>
      </c>
      <c r="E20" s="455">
        <f>-INDEX([2]DS!$B$60:$AK$60,1,3*T!$A$4-1)</f>
        <v>-6753.2521695609958</v>
      </c>
      <c r="F20" s="449">
        <f t="shared" ref="F20:F22" si="3">D20+E20</f>
        <v>-341881.81135062565</v>
      </c>
      <c r="G20" s="65">
        <f>-INDEX([2]DS!$B$56:$AK$58,2,3*T!$A$4)</f>
        <v>-3584894.1056699823</v>
      </c>
      <c r="H20" s="458">
        <f>-INDEX([2]DS!$B$60:$AK$60,1,3*T!$A$4)</f>
        <v>-72233.342599999989</v>
      </c>
      <c r="I20" s="18">
        <f t="shared" ref="I20:I22" si="4">G20+H20</f>
        <v>-3657127.4482699824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4"/>
      <c r="B21" s="815"/>
      <c r="C21" s="63" t="s">
        <v>169</v>
      </c>
      <c r="D21" s="445">
        <f>-INDEX([2]DS!$B$56:$AK$58,3,3*T!$A$4-1)</f>
        <v>-857</v>
      </c>
      <c r="E21" s="455">
        <v>0</v>
      </c>
      <c r="F21" s="449">
        <f t="shared" si="3"/>
        <v>-857</v>
      </c>
      <c r="G21" s="65">
        <f>-INDEX([2]DS!$B$56:$AK$58,3,3*T!$A$4)</f>
        <v>-8970</v>
      </c>
      <c r="H21" s="458">
        <v>0</v>
      </c>
      <c r="I21" s="18">
        <f t="shared" si="4"/>
        <v>-8970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4"/>
      <c r="B22" s="815"/>
      <c r="C22" s="63" t="s">
        <v>170</v>
      </c>
      <c r="D22" s="445">
        <v>0</v>
      </c>
      <c r="E22" s="455">
        <f>E15*-1</f>
        <v>-533.54999999999745</v>
      </c>
      <c r="F22" s="449">
        <f t="shared" si="3"/>
        <v>-533.54999999999745</v>
      </c>
      <c r="G22" s="65">
        <v>0</v>
      </c>
      <c r="H22" s="458">
        <f>H15*-1</f>
        <v>-5923.1469999999681</v>
      </c>
      <c r="I22" s="18">
        <f t="shared" si="4"/>
        <v>-5923.1469999999681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6"/>
      <c r="B23" s="817"/>
      <c r="C23" s="460" t="s">
        <v>156</v>
      </c>
      <c r="D23" s="474">
        <f>SUM(D19:D22)</f>
        <v>-345674.03918106464</v>
      </c>
      <c r="E23" s="475">
        <f t="shared" ref="E23:G23" si="5">SUM(E19:E22)</f>
        <v>-7286.8021695609932</v>
      </c>
      <c r="F23" s="476">
        <f t="shared" si="5"/>
        <v>-352960.84135062562</v>
      </c>
      <c r="G23" s="474">
        <f t="shared" si="5"/>
        <v>-3697401.1346699824</v>
      </c>
      <c r="H23" s="475">
        <f>SUM(H19:H22)</f>
        <v>-78156.489599999957</v>
      </c>
      <c r="I23" s="477">
        <f>SUM(I19:I22)</f>
        <v>-3775557.6242699823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18" t="s">
        <v>10</v>
      </c>
      <c r="B24" s="819"/>
      <c r="C24" s="145" t="s">
        <v>171</v>
      </c>
      <c r="D24" s="146"/>
      <c r="E24" s="147"/>
      <c r="F24" s="148">
        <f>(F9+F13+F17+F23)*-1</f>
        <v>-13798.691359875316</v>
      </c>
      <c r="G24" s="149"/>
      <c r="H24" s="150"/>
      <c r="I24" s="151">
        <f>(I9+I13+I17+I23)*-1</f>
        <v>-146856.4505434176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8"/>
      <c r="E26" s="30"/>
      <c r="F26" s="30"/>
      <c r="G26" s="27"/>
      <c r="I26" s="182"/>
    </row>
    <row r="27" spans="1:17" ht="15" customHeight="1" x14ac:dyDescent="0.2">
      <c r="A27" s="31"/>
      <c r="B27" s="31"/>
      <c r="C27" s="478"/>
      <c r="E27" s="30" t="s">
        <v>172</v>
      </c>
      <c r="F27" s="155">
        <f>D9/1000</f>
        <v>2822.6575416679966</v>
      </c>
      <c r="G27" s="138"/>
      <c r="I27" s="27"/>
    </row>
    <row r="28" spans="1:17" ht="15" customHeight="1" x14ac:dyDescent="0.2">
      <c r="A28" s="31"/>
      <c r="B28" s="31"/>
      <c r="C28" s="478"/>
      <c r="E28" s="30" t="s">
        <v>173</v>
      </c>
      <c r="F28" s="155">
        <f>E9/1000</f>
        <v>-2117.9895279574953</v>
      </c>
      <c r="G28" s="138"/>
    </row>
    <row r="29" spans="1:17" ht="15" customHeight="1" x14ac:dyDescent="0.2">
      <c r="A29" s="31"/>
      <c r="B29" s="31"/>
      <c r="C29" s="478"/>
      <c r="E29" s="30" t="s">
        <v>174</v>
      </c>
      <c r="F29" s="155">
        <f>D13/1000</f>
        <v>0.26440799999999998</v>
      </c>
      <c r="G29" s="138"/>
    </row>
    <row r="30" spans="1:17" ht="15" customHeight="1" x14ac:dyDescent="0.2">
      <c r="A30" s="820"/>
      <c r="B30" s="137"/>
      <c r="C30" s="478"/>
      <c r="E30" s="30" t="s">
        <v>175</v>
      </c>
      <c r="F30" s="155">
        <f>E13/1000</f>
        <v>-350.663657</v>
      </c>
      <c r="G30" s="138"/>
      <c r="L30" s="27"/>
    </row>
    <row r="31" spans="1:17" ht="15" customHeight="1" x14ac:dyDescent="0.2">
      <c r="A31" s="820"/>
      <c r="B31" s="137"/>
      <c r="C31" s="478"/>
      <c r="E31" s="30" t="s">
        <v>145</v>
      </c>
      <c r="F31" s="155">
        <f>F17/1000</f>
        <v>12.490767999999997</v>
      </c>
      <c r="G31" s="138"/>
    </row>
    <row r="32" spans="1:17" ht="15" customHeight="1" x14ac:dyDescent="0.2">
      <c r="A32" s="19"/>
      <c r="B32" s="19"/>
      <c r="C32" s="478"/>
      <c r="E32" s="32" t="s">
        <v>10</v>
      </c>
      <c r="F32" s="155">
        <f>F24/1000</f>
        <v>-13.798691359875317</v>
      </c>
      <c r="G32" s="84"/>
    </row>
    <row r="33" spans="1:8" ht="15" customHeight="1" x14ac:dyDescent="0.2">
      <c r="A33" s="19"/>
      <c r="B33" s="19"/>
      <c r="C33" s="478"/>
      <c r="E33" s="33" t="s">
        <v>85</v>
      </c>
      <c r="F33" s="155">
        <f>F23/1000</f>
        <v>-352.96084135062563</v>
      </c>
      <c r="G33" s="84"/>
    </row>
    <row r="34" spans="1:8" ht="15" customHeight="1" x14ac:dyDescent="0.2">
      <c r="A34" s="19"/>
      <c r="B34" s="19"/>
      <c r="C34" s="479"/>
      <c r="D34" s="30"/>
      <c r="E34" s="12"/>
      <c r="F34" s="12"/>
    </row>
    <row r="35" spans="1:8" ht="15" customHeight="1" x14ac:dyDescent="0.2">
      <c r="A35" s="19"/>
      <c r="B35" s="19"/>
      <c r="C35" s="479"/>
      <c r="D35" s="30"/>
      <c r="E35" s="12"/>
      <c r="F35" s="12"/>
    </row>
    <row r="36" spans="1:8" ht="24" customHeight="1" x14ac:dyDescent="0.2">
      <c r="A36" s="19"/>
      <c r="B36" s="19"/>
      <c r="C36" s="479"/>
      <c r="D36" s="30"/>
      <c r="E36" s="12"/>
      <c r="F36" s="12"/>
    </row>
    <row r="37" spans="1:8" ht="15" customHeight="1" x14ac:dyDescent="0.2">
      <c r="A37" s="19"/>
      <c r="B37" s="19"/>
      <c r="C37" s="479"/>
      <c r="D37" s="30"/>
      <c r="E37" s="12"/>
      <c r="F37" s="12"/>
    </row>
    <row r="38" spans="1:8" ht="20.25" customHeight="1" x14ac:dyDescent="0.2">
      <c r="A38" s="801"/>
      <c r="B38" s="801"/>
      <c r="C38" s="801"/>
      <c r="D38" s="801"/>
      <c r="E38" s="801"/>
      <c r="F38" s="801"/>
      <c r="G38" s="801"/>
      <c r="H38" s="801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70</v>
      </c>
      <c r="K1" s="827"/>
    </row>
    <row r="2" spans="1:17" ht="6.75" customHeight="1" x14ac:dyDescent="0.2"/>
    <row r="3" spans="1:17" ht="30" customHeight="1" x14ac:dyDescent="0.2">
      <c r="A3" s="835" t="s">
        <v>225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Září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Září</v>
      </c>
      <c r="F7" s="265">
        <f>F4</f>
        <v>2015</v>
      </c>
      <c r="G7" s="265"/>
      <c r="H7" s="838"/>
      <c r="I7" s="280" t="str">
        <f>D4</f>
        <v>Září</v>
      </c>
      <c r="J7" s="260">
        <f>F4-1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40" t="s">
        <v>4</v>
      </c>
      <c r="B10" s="840"/>
      <c r="C10" s="237"/>
      <c r="D10" s="238"/>
      <c r="E10" s="237"/>
      <c r="F10" s="237"/>
      <c r="G10" s="333"/>
      <c r="H10" s="315"/>
      <c r="I10" s="282"/>
      <c r="J10" s="237"/>
      <c r="K10" s="351"/>
    </row>
    <row r="11" spans="1:17" ht="14.45" customHeight="1" x14ac:dyDescent="0.2">
      <c r="A11" s="95"/>
      <c r="B11" s="95"/>
      <c r="C11" s="257" t="s">
        <v>6</v>
      </c>
      <c r="D11" s="245">
        <f>INDEX([2]DS!B36:AK36,1,3*T!$A$4-2)</f>
        <v>1595</v>
      </c>
      <c r="E11" s="96">
        <f>INDEX([2]DS!C36:AL36,1,3*T!$A$4-2)</f>
        <v>233971.8208013642</v>
      </c>
      <c r="F11" s="96">
        <f>INDEX([2]DS!D36:AM36,1,3*T!$A$4-2)</f>
        <v>2502587.5773899998</v>
      </c>
      <c r="G11" s="334">
        <f>E11/$E$17</f>
        <v>0.6628832249664216</v>
      </c>
      <c r="H11" s="316">
        <f>(E11-I11)/I11</f>
        <v>-3.9346527635483186E-2</v>
      </c>
      <c r="I11" s="283">
        <f>INDEX([4]DS!C36:AL36,1,3*T!$A$4-2)</f>
        <v>243554.85878323496</v>
      </c>
      <c r="J11" s="96">
        <f>INDEX([4]DS!D36:AM36,1,3*T!$A$4-2)</f>
        <v>2594246.87757</v>
      </c>
      <c r="K11" s="352">
        <f>I11/$I$17</f>
        <v>0.66770925416045679</v>
      </c>
    </row>
    <row r="12" spans="1:17" ht="14.45" customHeight="1" x14ac:dyDescent="0.2">
      <c r="A12" s="95"/>
      <c r="B12" s="95"/>
      <c r="C12" s="257" t="s">
        <v>7</v>
      </c>
      <c r="D12" s="245">
        <f>INDEX([2]DS!B37:AK37,1,3*T!$A$4-2)</f>
        <v>6792</v>
      </c>
      <c r="E12" s="96">
        <f>INDEX([2]DS!C37:AL37,1,3*T!$A$4-2)</f>
        <v>32392.12342452474</v>
      </c>
      <c r="F12" s="96">
        <f>INDEX([2]DS!D37:AM37,1,3*T!$A$4-2)</f>
        <v>346473.01228000008</v>
      </c>
      <c r="G12" s="334">
        <f t="shared" ref="G12:G16" si="0">E12/$E$17</f>
        <v>9.1772569729192496E-2</v>
      </c>
      <c r="H12" s="316">
        <f>(E12-I12)/I12</f>
        <v>-1.436509258203365E-2</v>
      </c>
      <c r="I12" s="283">
        <f>INDEX([4]DS!C37:AL37,1,3*T!$A$4-2)</f>
        <v>32864.221001852769</v>
      </c>
      <c r="J12" s="96">
        <f>INDEX([4]DS!D37:AM37,1,3*T!$A$4-2)</f>
        <v>350036.63074999989</v>
      </c>
      <c r="K12" s="352">
        <f t="shared" ref="K12:K16" si="1">I12/$I$17</f>
        <v>9.0097748833011693E-2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257" t="s">
        <v>8</v>
      </c>
      <c r="D13" s="245">
        <f>INDEX([2]DS!B38:AK38,1,3*T!$A$4-2)</f>
        <v>198280</v>
      </c>
      <c r="E13" s="96">
        <f>INDEX([2]DS!C38:AL38,1,3*T!$A$4-2)</f>
        <v>25943.329980122489</v>
      </c>
      <c r="F13" s="96">
        <f>INDEX([2]DS!D38:AM38,1,3*T!$A$4-2)</f>
        <v>277500.72203007678</v>
      </c>
      <c r="G13" s="334">
        <f>E13/$E$17</f>
        <v>7.3502006287294641E-2</v>
      </c>
      <c r="H13" s="316">
        <f t="shared" ref="H13:H17" si="2">(E13-I13)/I13</f>
        <v>-1.235906092487964E-2</v>
      </c>
      <c r="I13" s="283">
        <f>INDEX([4]DS!C38:AL38,1,3*T!$A$4-2)</f>
        <v>26267.977514598784</v>
      </c>
      <c r="J13" s="96">
        <f>INDEX([4]DS!D38:AM38,1,3*T!$A$4-2)</f>
        <v>279782.11437764729</v>
      </c>
      <c r="K13" s="352">
        <f t="shared" si="1"/>
        <v>7.2014049574706016E-2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257" t="s">
        <v>9</v>
      </c>
      <c r="D14" s="245">
        <f>INDEX([2]DS!B39:AK39,1,3*T!$A$4-2)</f>
        <v>2632371</v>
      </c>
      <c r="E14" s="96">
        <f>INDEX([2]DS!C39:AL39,1,3*T!$A$4-2)</f>
        <v>53366.764975053222</v>
      </c>
      <c r="F14" s="96">
        <f>INDEX([2]DS!D39:AM39,1,3*T!$A$4-2)</f>
        <v>570839.8229699058</v>
      </c>
      <c r="G14" s="334">
        <f t="shared" si="0"/>
        <v>0.15119740980569438</v>
      </c>
      <c r="H14" s="316">
        <f t="shared" si="2"/>
        <v>-9.1488970539910161E-3</v>
      </c>
      <c r="I14" s="283">
        <f>INDEX([4]DS!C39:AL39,1,3*T!$A$4-2)</f>
        <v>53859.52018056254</v>
      </c>
      <c r="J14" s="96">
        <f>INDEX([4]DS!D39:AM39,1,3*T!$A$4-2)</f>
        <v>573673.38002235279</v>
      </c>
      <c r="K14" s="352">
        <f t="shared" si="1"/>
        <v>0.14765667262343674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258" t="s">
        <v>220</v>
      </c>
      <c r="D15" s="246">
        <f>SUM(D11:D14)</f>
        <v>2839038</v>
      </c>
      <c r="E15" s="244">
        <f t="shared" ref="E15:F15" si="3">SUM(E11:E14)</f>
        <v>345674.03918106464</v>
      </c>
      <c r="F15" s="261">
        <f t="shared" si="3"/>
        <v>3697401.1346699819</v>
      </c>
      <c r="G15" s="335">
        <f t="shared" si="0"/>
        <v>0.9793552107886031</v>
      </c>
      <c r="H15" s="317">
        <f t="shared" si="2"/>
        <v>-3.0494019536021915E-2</v>
      </c>
      <c r="I15" s="285">
        <f t="shared" ref="I15:J15" si="4">SUM(I11:I14)</f>
        <v>356546.57748024911</v>
      </c>
      <c r="J15" s="261">
        <f t="shared" si="4"/>
        <v>3797739.0027200002</v>
      </c>
      <c r="K15" s="353">
        <f>I15/$I$17</f>
        <v>0.97747772519161136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 t="s">
        <v>178</v>
      </c>
      <c r="D16" s="245"/>
      <c r="E16" s="96">
        <f>INDEX([2]DS!B40:AK40,1,3*T!$A$4-1)</f>
        <v>7286.8021695609932</v>
      </c>
      <c r="F16" s="96">
        <f>INDEX([2]DS!C40:AL40,1,3*T!$A$4-1)</f>
        <v>78156.489599999957</v>
      </c>
      <c r="G16" s="334">
        <f t="shared" si="0"/>
        <v>2.064478921139697E-2</v>
      </c>
      <c r="H16" s="316">
        <f t="shared" si="2"/>
        <v>-0.11301694487048136</v>
      </c>
      <c r="I16" s="283">
        <f>INDEX([4]DS!C40:AL40,1,3*T!$A$4-2)</f>
        <v>8215.2664895012713</v>
      </c>
      <c r="J16" s="96">
        <f>INDEX([4]DS!D40:AM40,1,3*T!$A$4-2)</f>
        <v>87906.703990000009</v>
      </c>
      <c r="K16" s="352">
        <f t="shared" si="1"/>
        <v>2.252227480838857E-2</v>
      </c>
      <c r="L16" s="284"/>
      <c r="M16" s="284"/>
      <c r="O16" s="284"/>
      <c r="P16" s="284"/>
      <c r="Q16" s="284"/>
    </row>
    <row r="17" spans="1:16" ht="14.45" customHeight="1" x14ac:dyDescent="0.2">
      <c r="A17" s="292"/>
      <c r="B17" s="268"/>
      <c r="C17" s="259" t="s">
        <v>2</v>
      </c>
      <c r="D17" s="253">
        <f>D15</f>
        <v>2839038</v>
      </c>
      <c r="E17" s="251">
        <f>SUM(E15:E16)</f>
        <v>352960.84135062562</v>
      </c>
      <c r="F17" s="252">
        <f>SUM(F15:F16)</f>
        <v>3775557.6242699819</v>
      </c>
      <c r="G17" s="336">
        <f>SUM(G15:G16)</f>
        <v>1</v>
      </c>
      <c r="H17" s="318">
        <f t="shared" si="2"/>
        <v>-3.2352623538396817E-2</v>
      </c>
      <c r="I17" s="286">
        <f>SUM(I15:I16)</f>
        <v>364761.84396975039</v>
      </c>
      <c r="J17" s="252">
        <f>SUM(J15:J16)</f>
        <v>3885645.7067100001</v>
      </c>
      <c r="K17" s="354">
        <f>SUM(K15:K16)</f>
        <v>0.99999999999999989</v>
      </c>
      <c r="L17" s="284"/>
      <c r="M17" s="284"/>
    </row>
    <row r="18" spans="1:16" ht="14.45" customHeight="1" x14ac:dyDescent="0.2">
      <c r="A18" s="292"/>
      <c r="B18" s="269"/>
      <c r="C18" s="293"/>
      <c r="D18" s="294"/>
      <c r="E18" s="293"/>
      <c r="F18" s="293"/>
      <c r="G18" s="337"/>
      <c r="H18" s="319"/>
      <c r="I18" s="295"/>
      <c r="J18" s="296"/>
      <c r="K18" s="355"/>
      <c r="L18" s="284"/>
      <c r="M18" s="284"/>
    </row>
    <row r="19" spans="1:16" ht="14.45" customHeight="1" x14ac:dyDescent="0.2">
      <c r="A19" s="836" t="s">
        <v>11</v>
      </c>
      <c r="B19" s="836"/>
      <c r="C19" s="836"/>
      <c r="D19" s="297"/>
      <c r="E19" s="174"/>
      <c r="F19" s="174"/>
      <c r="G19" s="338"/>
      <c r="H19" s="320"/>
      <c r="I19" s="298"/>
      <c r="J19" s="299"/>
      <c r="K19" s="356"/>
      <c r="L19" s="284"/>
      <c r="M19" s="284"/>
    </row>
    <row r="20" spans="1:16" ht="14.45" customHeight="1" x14ac:dyDescent="0.2">
      <c r="A20" s="95"/>
      <c r="B20" s="95"/>
      <c r="C20" s="257" t="s">
        <v>6</v>
      </c>
      <c r="D20" s="245">
        <f>INDEX([2]DS!B3:AK3,1,3*T!$A$4-2)</f>
        <v>185</v>
      </c>
      <c r="E20" s="89">
        <f>INDEX([2]DS!C3:AL3,1,3*T!$A$4-2)</f>
        <v>10011.381801364159</v>
      </c>
      <c r="F20" s="96">
        <f>INDEX([2]DS!D3:AM3,1,3*T!$A$4-2)</f>
        <v>107040.15700000001</v>
      </c>
      <c r="G20" s="339">
        <f>E20/$E$26</f>
        <v>0.34216101316554548</v>
      </c>
      <c r="H20" s="321">
        <f>(E20-I20)/I20</f>
        <v>4.3280482206903082E-3</v>
      </c>
      <c r="I20" s="300">
        <f>INDEX([4]DS!C3:AL3,1,3*T!$A$4-2)</f>
        <v>9968.2387832349632</v>
      </c>
      <c r="J20" s="301">
        <f>INDEX([4]DS!D3:AM3,1,3*T!$A$4-2)</f>
        <v>106140.19100000001</v>
      </c>
      <c r="K20" s="352">
        <f>I20/$I$26</f>
        <v>0.34643861905236145</v>
      </c>
      <c r="L20" s="284"/>
      <c r="M20" s="284"/>
      <c r="N20" s="284"/>
    </row>
    <row r="21" spans="1:16" ht="14.45" customHeight="1" x14ac:dyDescent="0.2">
      <c r="A21" s="95"/>
      <c r="B21" s="95"/>
      <c r="C21" s="257" t="s">
        <v>7</v>
      </c>
      <c r="D21" s="245">
        <f>INDEX([2]DS!B4:AK4,1,3*T!$A$4-2)</f>
        <v>1621</v>
      </c>
      <c r="E21" s="89">
        <f>INDEX([2]DS!C4:AL4,1,3*T!$A$4-2)</f>
        <v>5270.5184245247365</v>
      </c>
      <c r="F21" s="96">
        <f>INDEX([2]DS!D4:AM4,1,3*T!$A$4-2)</f>
        <v>56351.546999999999</v>
      </c>
      <c r="G21" s="339">
        <f>E21/$E$26</f>
        <v>0.18013157022912965</v>
      </c>
      <c r="H21" s="321">
        <f t="shared" ref="H21:H23" si="5">(E21-I21)/I21</f>
        <v>3.1137569883858941E-2</v>
      </c>
      <c r="I21" s="300">
        <f>INDEX([4]DS!C4:AL4,1,3*T!$A$4-2)</f>
        <v>5111.3630018527747</v>
      </c>
      <c r="J21" s="301">
        <f>INDEX([4]DS!D4:AM4,1,3*T!$A$4-2)</f>
        <v>54424.953000000001</v>
      </c>
      <c r="K21" s="352">
        <f t="shared" ref="K21:K25" si="6">I21/$I$26</f>
        <v>0.17764156520963117</v>
      </c>
      <c r="L21" s="287"/>
      <c r="M21" s="287"/>
      <c r="N21" s="284"/>
    </row>
    <row r="22" spans="1:16" ht="14.45" customHeight="1" x14ac:dyDescent="0.2">
      <c r="A22" s="292"/>
      <c r="B22" s="829"/>
      <c r="C22" s="257" t="s">
        <v>8</v>
      </c>
      <c r="D22" s="245">
        <f>INDEX([2]DS!B5:AK5,1,3*T!$A$4-2)</f>
        <v>38581</v>
      </c>
      <c r="E22" s="89">
        <f>INDEX([2]DS!C5:AL5,1,3*T!$A$4-2)</f>
        <v>4799.1070721224905</v>
      </c>
      <c r="F22" s="96">
        <f>INDEX([2]DS!D5:AM5,1,3*T!$A$4-2)</f>
        <v>51311.291594076793</v>
      </c>
      <c r="G22" s="339">
        <f>E22/$E$26</f>
        <v>0.16402004944648266</v>
      </c>
      <c r="H22" s="321">
        <f t="shared" si="5"/>
        <v>3.0640609498727087E-2</v>
      </c>
      <c r="I22" s="300">
        <f>INDEX([4]DS!C5:AL5,1,3*T!$A$4-2)</f>
        <v>4656.4311825987852</v>
      </c>
      <c r="J22" s="301">
        <f>INDEX([4]DS!D5:AM5,1,3*T!$A$4-2)</f>
        <v>49580.913773647277</v>
      </c>
      <c r="K22" s="352">
        <f t="shared" si="6"/>
        <v>0.16183075302379152</v>
      </c>
      <c r="L22" s="284"/>
      <c r="M22" s="284"/>
      <c r="N22" s="284"/>
      <c r="O22" s="284"/>
      <c r="P22" s="284"/>
    </row>
    <row r="23" spans="1:16" ht="14.45" customHeight="1" x14ac:dyDescent="0.2">
      <c r="A23" s="292"/>
      <c r="B23" s="829"/>
      <c r="C23" s="257" t="s">
        <v>9</v>
      </c>
      <c r="D23" s="245">
        <f>INDEX([2]DS!B6:AK6,1,3*T!$A$4-2)</f>
        <v>388109</v>
      </c>
      <c r="E23" s="89">
        <f>INDEX([2]DS!C6:AL6,1,3*T!$A$4-2)</f>
        <v>7506.9758830532292</v>
      </c>
      <c r="F23" s="96">
        <f>INDEX([2]DS!D6:AM6,1,3*T!$A$4-2)</f>
        <v>80263.395405905772</v>
      </c>
      <c r="G23" s="339">
        <f t="shared" ref="G23:G25" si="7">E23/$E$26</f>
        <v>0.2565674274459106</v>
      </c>
      <c r="H23" s="321">
        <f t="shared" si="5"/>
        <v>-8.3806749971952147E-4</v>
      </c>
      <c r="I23" s="300">
        <f>INDEX([4]DS!C6:AL6,1,3*T!$A$4-2)</f>
        <v>7513.2725125625439</v>
      </c>
      <c r="J23" s="301">
        <f>INDEX([4]DS!D6:AM6,1,3*T!$A$4-2)</f>
        <v>80000.090626352743</v>
      </c>
      <c r="K23" s="352">
        <f t="shared" si="6"/>
        <v>0.26111811829727521</v>
      </c>
      <c r="L23" s="284"/>
      <c r="M23" s="284"/>
      <c r="N23" s="284"/>
      <c r="O23" s="284"/>
      <c r="P23" s="284"/>
    </row>
    <row r="24" spans="1:16" ht="14.45" customHeight="1" x14ac:dyDescent="0.2">
      <c r="A24" s="292"/>
      <c r="B24" s="829"/>
      <c r="C24" s="258" t="s">
        <v>220</v>
      </c>
      <c r="D24" s="246">
        <f>SUM(D20:D23)</f>
        <v>428496</v>
      </c>
      <c r="E24" s="244">
        <f>SUM(E20:E23)</f>
        <v>27587.983181064617</v>
      </c>
      <c r="F24" s="261">
        <f>SUM(F20:F23)</f>
        <v>294966.39099998254</v>
      </c>
      <c r="G24" s="340">
        <f t="shared" si="7"/>
        <v>0.94288006028706839</v>
      </c>
      <c r="H24" s="322">
        <f>(E24-I24)/I24</f>
        <v>1.2428856253273423E-2</v>
      </c>
      <c r="I24" s="302">
        <f>SUM(I20:I23)</f>
        <v>27249.305480249066</v>
      </c>
      <c r="J24" s="303">
        <f>SUM(J20:J23)</f>
        <v>290146.14840000001</v>
      </c>
      <c r="K24" s="353">
        <f t="shared" si="6"/>
        <v>0.94702905558305928</v>
      </c>
      <c r="L24" s="284"/>
      <c r="M24" s="284"/>
      <c r="N24" s="284"/>
      <c r="O24" s="284"/>
      <c r="P24" s="284"/>
    </row>
    <row r="25" spans="1:16" ht="14.45" customHeight="1" x14ac:dyDescent="0.2">
      <c r="A25" s="292"/>
      <c r="B25" s="829"/>
      <c r="C25" s="240" t="s">
        <v>119</v>
      </c>
      <c r="D25" s="249"/>
      <c r="E25" s="173">
        <f>INDEX([2]DS!C7:AL7,1,3*T!$A$4-2)</f>
        <v>1671.2877941485024</v>
      </c>
      <c r="F25" s="173">
        <f>INDEX([2]DS!D7:AM7,1,3*T!$A$4-2)</f>
        <v>17869.144</v>
      </c>
      <c r="G25" s="339">
        <f t="shared" si="7"/>
        <v>5.7119939712931583E-2</v>
      </c>
      <c r="H25" s="323">
        <f>(E25-I25)/I25</f>
        <v>9.6532205262779655E-2</v>
      </c>
      <c r="I25" s="298">
        <f>INDEX([4]DS!C7:AL7,1,3*T!$A$4-2)</f>
        <v>1524.157508668872</v>
      </c>
      <c r="J25" s="299">
        <f>INDEX([4]DS!D7:AM7,1,3*T!$A$4-2)</f>
        <v>16228.978599999999</v>
      </c>
      <c r="K25" s="352">
        <f t="shared" si="6"/>
        <v>5.2970944416940682E-2</v>
      </c>
      <c r="L25" s="284"/>
      <c r="M25" s="284"/>
      <c r="N25" s="284"/>
      <c r="O25" s="284"/>
      <c r="P25" s="284"/>
    </row>
    <row r="26" spans="1:16" ht="14.45" customHeight="1" x14ac:dyDescent="0.2">
      <c r="A26" s="292"/>
      <c r="B26" s="829"/>
      <c r="C26" s="259" t="s">
        <v>2</v>
      </c>
      <c r="D26" s="253">
        <f>D24</f>
        <v>428496</v>
      </c>
      <c r="E26" s="252">
        <f>SUM(E24:E25)</f>
        <v>29259.27097521312</v>
      </c>
      <c r="F26" s="252">
        <f>SUM(F24:F25)</f>
        <v>312835.53499998257</v>
      </c>
      <c r="G26" s="341">
        <f>SUM(G24:G25)</f>
        <v>1</v>
      </c>
      <c r="H26" s="324">
        <f>(E26-I26)/I26</f>
        <v>1.6883890078934542E-2</v>
      </c>
      <c r="I26" s="304">
        <f>SUM(I24:I25)</f>
        <v>28773.462988917938</v>
      </c>
      <c r="J26" s="305">
        <f>SUM(J24:J25)</f>
        <v>306375.12699999998</v>
      </c>
      <c r="K26" s="354">
        <f>SUM(K24:K25)</f>
        <v>1</v>
      </c>
      <c r="L26" s="284"/>
      <c r="M26" s="284"/>
      <c r="N26" s="284"/>
      <c r="O26" s="284"/>
      <c r="P26" s="284"/>
    </row>
    <row r="27" spans="1:16" ht="14.45" customHeight="1" x14ac:dyDescent="0.2">
      <c r="A27" s="306"/>
      <c r="B27" s="841"/>
      <c r="C27" s="293"/>
      <c r="D27" s="294"/>
      <c r="E27" s="293"/>
      <c r="F27" s="293"/>
      <c r="G27" s="337"/>
      <c r="H27" s="319"/>
      <c r="I27" s="295"/>
      <c r="J27" s="296"/>
      <c r="K27" s="355"/>
      <c r="L27" s="287"/>
      <c r="N27" s="284"/>
      <c r="O27" s="284"/>
      <c r="P27" s="284"/>
    </row>
    <row r="28" spans="1:16" ht="14.45" customHeight="1" x14ac:dyDescent="0.2">
      <c r="A28" s="821" t="s">
        <v>12</v>
      </c>
      <c r="B28" s="821"/>
      <c r="C28" s="307"/>
      <c r="D28" s="308"/>
      <c r="E28" s="307"/>
      <c r="F28" s="307"/>
      <c r="G28" s="342"/>
      <c r="H28" s="325"/>
      <c r="I28" s="298"/>
      <c r="J28" s="299"/>
      <c r="K28" s="357"/>
      <c r="L28" s="287"/>
      <c r="N28" s="284"/>
      <c r="O28" s="284"/>
      <c r="P28" s="284"/>
    </row>
    <row r="29" spans="1:16" ht="14.45" customHeight="1" x14ac:dyDescent="0.2">
      <c r="A29" s="822"/>
      <c r="B29" s="822"/>
      <c r="C29" s="257" t="s">
        <v>6</v>
      </c>
      <c r="D29" s="245">
        <f>INDEX([2]DS!B10:AK10,1,3*T!$A$4-2)</f>
        <v>1259</v>
      </c>
      <c r="E29" s="89">
        <f>INDEX([2]DS!C10:AL10,1,3*T!$A$4-2)</f>
        <v>204193.60000000003</v>
      </c>
      <c r="F29" s="96">
        <f>INDEX([2]DS!D10:AM10,1,3*T!$A$4-2)</f>
        <v>2184459.6263899994</v>
      </c>
      <c r="G29" s="334">
        <f>E29/$E$35</f>
        <v>0.68515979785509085</v>
      </c>
      <c r="H29" s="316">
        <f>(E29-I29)/I29</f>
        <v>-6.4187648631319871E-2</v>
      </c>
      <c r="I29" s="300">
        <f>INDEX([4]DS!C10:AL10,1,3*T!$A$4-2)</f>
        <v>218199.3</v>
      </c>
      <c r="J29" s="301">
        <f>INDEX([4]DS!D10:AM10,1,3*T!$A$4-2)</f>
        <v>2324347.6395700001</v>
      </c>
      <c r="K29" s="352">
        <f>I29/$I$35</f>
        <v>0.69702668676929702</v>
      </c>
    </row>
    <row r="30" spans="1:16" ht="14.45" customHeight="1" x14ac:dyDescent="0.2">
      <c r="A30" s="822"/>
      <c r="B30" s="822"/>
      <c r="C30" s="257" t="s">
        <v>7</v>
      </c>
      <c r="D30" s="245">
        <f>INDEX([2]DS!B11:AK11,1,3*T!$A$4-2)</f>
        <v>4813</v>
      </c>
      <c r="E30" s="89">
        <f>INDEX([2]DS!C11:AL11,1,3*T!$A$4-2)</f>
        <v>26264.000000000004</v>
      </c>
      <c r="F30" s="96">
        <f>INDEX([2]DS!D11:AM11,1,3*T!$A$4-2)</f>
        <v>280971.42028000008</v>
      </c>
      <c r="G30" s="334">
        <f t="shared" ref="G30:G34" si="8">E30/$E$35</f>
        <v>8.8127330782483415E-2</v>
      </c>
      <c r="H30" s="316">
        <f t="shared" ref="H30:H32" si="9">(E30-I30)/I30</f>
        <v>1.095872483092339E-2</v>
      </c>
      <c r="I30" s="300">
        <f>INDEX([4]DS!C11:AL11,1,3*T!$A$4-2)</f>
        <v>25979.299999999996</v>
      </c>
      <c r="J30" s="301">
        <f>INDEX([4]DS!D11:AM11,1,3*T!$A$4-2)</f>
        <v>276742.69274999993</v>
      </c>
      <c r="K30" s="352">
        <f t="shared" ref="K30:K34" si="10">I30/$I$35</f>
        <v>8.2989566894053263E-2</v>
      </c>
    </row>
    <row r="31" spans="1:16" ht="14.45" customHeight="1" x14ac:dyDescent="0.2">
      <c r="A31" s="292"/>
      <c r="B31" s="292"/>
      <c r="C31" s="257" t="s">
        <v>8</v>
      </c>
      <c r="D31" s="245">
        <f>INDEX([2]DS!B12:AK12,1,3*T!$A$4-2)</f>
        <v>150304</v>
      </c>
      <c r="E31" s="89">
        <f>INDEX([2]DS!C12:AL12,1,3*T!$A$4-2)</f>
        <v>19775.297999999999</v>
      </c>
      <c r="F31" s="96">
        <f>INDEX([2]DS!D12:AM12,1,3*T!$A$4-2)</f>
        <v>211555.62</v>
      </c>
      <c r="G31" s="334">
        <f t="shared" si="8"/>
        <v>6.6354867048742855E-2</v>
      </c>
      <c r="H31" s="316">
        <f t="shared" si="9"/>
        <v>-1.2227218981255271E-2</v>
      </c>
      <c r="I31" s="300">
        <f>INDEX([4]DS!C12:AL12,1,3*T!$A$4-2)</f>
        <v>20020.088</v>
      </c>
      <c r="J31" s="301">
        <f>INDEX([4]DS!D12:AM12,1,3*T!$A$4-2)</f>
        <v>213262.00800000003</v>
      </c>
      <c r="K31" s="352">
        <f t="shared" si="10"/>
        <v>6.3953163953641298E-2</v>
      </c>
    </row>
    <row r="32" spans="1:16" ht="14.45" customHeight="1" x14ac:dyDescent="0.2">
      <c r="A32" s="292"/>
      <c r="B32" s="292"/>
      <c r="C32" s="257" t="s">
        <v>9</v>
      </c>
      <c r="D32" s="245">
        <f>INDEX([2]DS!B13:AK13,1,3*T!$A$4-2)</f>
        <v>2140276</v>
      </c>
      <c r="E32" s="89">
        <f>INDEX([2]DS!C13:AL13,1,3*T!$A$4-2)</f>
        <v>42979.499999999993</v>
      </c>
      <c r="F32" s="96">
        <f>INDEX([2]DS!D13:AM13,1,3*T!$A$4-2)</f>
        <v>459793.10000000003</v>
      </c>
      <c r="G32" s="334">
        <f t="shared" si="8"/>
        <v>0.14421522286649957</v>
      </c>
      <c r="H32" s="316">
        <f t="shared" si="9"/>
        <v>-4.651216874614822E-4</v>
      </c>
      <c r="I32" s="300">
        <f>INDEX([4]DS!C13:AL13,1,3*T!$A$4-2)</f>
        <v>42999.499999999993</v>
      </c>
      <c r="J32" s="301">
        <f>INDEX([4]DS!D13:AM13,1,3*T!$A$4-2)</f>
        <v>458046.3</v>
      </c>
      <c r="K32" s="352">
        <f t="shared" si="10"/>
        <v>0.13735973954882708</v>
      </c>
    </row>
    <row r="33" spans="1:11" ht="14.45" customHeight="1" x14ac:dyDescent="0.2">
      <c r="A33" s="292"/>
      <c r="B33" s="292"/>
      <c r="C33" s="258" t="s">
        <v>220</v>
      </c>
      <c r="D33" s="246">
        <f>SUM(D29:D32)</f>
        <v>2296652</v>
      </c>
      <c r="E33" s="244">
        <f>SUM(E29:E32)</f>
        <v>293212.39800000004</v>
      </c>
      <c r="F33" s="261">
        <f>SUM(F29:F32)</f>
        <v>3136779.7666699998</v>
      </c>
      <c r="G33" s="335">
        <f t="shared" si="8"/>
        <v>0.98385721855281671</v>
      </c>
      <c r="H33" s="317">
        <f>(E33-I33)/I33</f>
        <v>-4.5526928693993218E-2</v>
      </c>
      <c r="I33" s="302">
        <f>SUM(I29:I32)</f>
        <v>307198.18799999997</v>
      </c>
      <c r="J33" s="303">
        <f>SUM(J29:J32)</f>
        <v>3272398.6403199998</v>
      </c>
      <c r="K33" s="353">
        <f t="shared" si="10"/>
        <v>0.9813291571658187</v>
      </c>
    </row>
    <row r="34" spans="1:11" ht="14.45" customHeight="1" x14ac:dyDescent="0.2">
      <c r="A34" s="292"/>
      <c r="B34" s="292"/>
      <c r="C34" s="240" t="s">
        <v>119</v>
      </c>
      <c r="D34" s="249"/>
      <c r="E34" s="173">
        <f>INDEX([2]DS!C14:AL14,1,3*T!$A$4-2)</f>
        <v>4810.9253754124938</v>
      </c>
      <c r="F34" s="173">
        <f>INDEX([2]DS!D14:AM14,1,3*T!$A$4-2)</f>
        <v>51467.173599999995</v>
      </c>
      <c r="G34" s="334">
        <f t="shared" si="8"/>
        <v>1.6142781447183216E-2</v>
      </c>
      <c r="H34" s="326">
        <f>(E34-I34)/I34</f>
        <v>-0.17688455619348906</v>
      </c>
      <c r="I34" s="298">
        <f>INDEX([4]DS!C14:AL14,1,3*T!$A$4-2)</f>
        <v>5844.7759808323972</v>
      </c>
      <c r="J34" s="299">
        <f>INDEX([4]DS!D14:AM14,1,3*T!$A$4-2)</f>
        <v>62260.904220000004</v>
      </c>
      <c r="K34" s="352">
        <f t="shared" si="10"/>
        <v>1.8670842834181293E-2</v>
      </c>
    </row>
    <row r="35" spans="1:11" ht="14.45" customHeight="1" x14ac:dyDescent="0.2">
      <c r="A35" s="292"/>
      <c r="B35" s="292"/>
      <c r="C35" s="259" t="s">
        <v>2</v>
      </c>
      <c r="D35" s="253">
        <f>D33</f>
        <v>2296652</v>
      </c>
      <c r="E35" s="252">
        <f>SUM(E33:E34)</f>
        <v>298023.32337541255</v>
      </c>
      <c r="F35" s="252">
        <f>SUM(F33:F34)</f>
        <v>3188246.9402699997</v>
      </c>
      <c r="G35" s="336">
        <f>SUM(G33:G34)</f>
        <v>0.99999999999999989</v>
      </c>
      <c r="H35" s="318">
        <f>(E35-I35)/I35</f>
        <v>-4.797948631210721E-2</v>
      </c>
      <c r="I35" s="304">
        <f>SUM(I33:I34)</f>
        <v>313042.96398083237</v>
      </c>
      <c r="J35" s="305">
        <f>SUM(J33:J34)</f>
        <v>3334659.5445399997</v>
      </c>
      <c r="K35" s="354">
        <f>SUM(K33:K34)</f>
        <v>1</v>
      </c>
    </row>
    <row r="36" spans="1:11" ht="14.45" customHeight="1" x14ac:dyDescent="0.2">
      <c r="A36" s="95"/>
      <c r="B36" s="95"/>
      <c r="C36" s="95"/>
      <c r="D36" s="247"/>
      <c r="E36" s="95"/>
      <c r="F36" s="95"/>
      <c r="G36" s="343"/>
      <c r="H36" s="327"/>
      <c r="I36" s="288"/>
      <c r="J36" s="309"/>
      <c r="K36" s="358"/>
    </row>
    <row r="37" spans="1:11" ht="14.45" customHeight="1" x14ac:dyDescent="0.2">
      <c r="A37" s="828" t="s">
        <v>86</v>
      </c>
      <c r="B37" s="828"/>
      <c r="C37" s="241"/>
      <c r="D37" s="256"/>
      <c r="E37" s="241"/>
      <c r="F37" s="241"/>
      <c r="G37" s="344"/>
      <c r="H37" s="328"/>
      <c r="I37" s="289"/>
      <c r="J37" s="301"/>
      <c r="K37" s="359"/>
    </row>
    <row r="38" spans="1:11" ht="14.45" customHeight="1" x14ac:dyDescent="0.2">
      <c r="A38" s="95"/>
      <c r="B38" s="95"/>
      <c r="C38" s="257" t="s">
        <v>6</v>
      </c>
      <c r="D38" s="245">
        <f>INDEX([2]DS!B17:AK17,1,3*T!$A$4-2)</f>
        <v>135</v>
      </c>
      <c r="E38" s="89">
        <f>INDEX([2]DS!C17:AL17,1,3*T!$A$4-2)</f>
        <v>9277.3590000000022</v>
      </c>
      <c r="F38" s="96">
        <f>INDEX([2]DS!D17:AM17,1,3*T!$A$4-2)</f>
        <v>99165.764999999985</v>
      </c>
      <c r="G38" s="334">
        <f>E38/$E$44</f>
        <v>0.63546962826842024</v>
      </c>
      <c r="H38" s="316">
        <f>(E38-I38)/I38</f>
        <v>0.20792056390534006</v>
      </c>
      <c r="I38" s="300">
        <f>INDEX([4]DS!C17:AL17,1,3*T!$A$4-2)</f>
        <v>7680.4380000000001</v>
      </c>
      <c r="J38" s="301">
        <f>INDEX([4]DS!D17:AM17,1,3*T!$A$4-2)</f>
        <v>81758.304000000004</v>
      </c>
      <c r="K38" s="352">
        <f>I38/$I$44</f>
        <v>0.52548922103812956</v>
      </c>
    </row>
    <row r="39" spans="1:11" ht="14.45" customHeight="1" x14ac:dyDescent="0.2">
      <c r="A39" s="95"/>
      <c r="B39" s="95"/>
      <c r="C39" s="257" t="s">
        <v>7</v>
      </c>
      <c r="D39" s="245">
        <f>INDEX([2]DS!B18:AK18,1,3*T!$A$4-2)</f>
        <v>352</v>
      </c>
      <c r="E39" s="89">
        <f>INDEX([2]DS!C18:AL18,1,3*T!$A$4-2)</f>
        <v>802.60500000000002</v>
      </c>
      <c r="F39" s="96">
        <f>INDEX([2]DS!D18:AM18,1,3*T!$A$4-2)</f>
        <v>8579.0450000000001</v>
      </c>
      <c r="G39" s="334">
        <f t="shared" ref="G39:G43" si="11">E39/$E$44</f>
        <v>5.4975893570182566E-2</v>
      </c>
      <c r="H39" s="316">
        <f t="shared" ref="H39:H41" si="12">(E39-I39)/I39</f>
        <v>-0.5337914842253354</v>
      </c>
      <c r="I39" s="300">
        <f>INDEX([4]DS!C18:AL18,1,3*T!$A$4-2)</f>
        <v>1721.558</v>
      </c>
      <c r="J39" s="301">
        <f>INDEX([4]DS!D18:AM18,1,3*T!$A$4-2)</f>
        <v>18325.985000000001</v>
      </c>
      <c r="K39" s="352">
        <f t="shared" ref="K39:K43" si="13">I39/$I$44</f>
        <v>0.1177875757075261</v>
      </c>
    </row>
    <row r="40" spans="1:11" ht="14.45" customHeight="1" x14ac:dyDescent="0.2">
      <c r="A40" s="292"/>
      <c r="B40" s="829"/>
      <c r="C40" s="257" t="s">
        <v>8</v>
      </c>
      <c r="D40" s="245">
        <f>INDEX([2]DS!B19:AK19,1,3*T!$A$4-2)</f>
        <v>9388</v>
      </c>
      <c r="E40" s="89">
        <f>INDEX([2]DS!C19:AL19,1,3*T!$A$4-2)</f>
        <v>1367.924908</v>
      </c>
      <c r="F40" s="96">
        <f>INDEX([2]DS!D19:AM19,1,3*T!$A$4-2)</f>
        <v>14619.810436</v>
      </c>
      <c r="G40" s="334">
        <f t="shared" si="11"/>
        <v>9.3698511913344384E-2</v>
      </c>
      <c r="H40" s="316">
        <f t="shared" si="12"/>
        <v>-0.1393766791742484</v>
      </c>
      <c r="I40" s="300">
        <f>INDEX([4]DS!C19:AL19,1,3*T!$A$4-2)</f>
        <v>1589.4583319999999</v>
      </c>
      <c r="J40" s="301">
        <f>INDEX([4]DS!D19:AM19,1,3*T!$A$4-2)</f>
        <v>16920.192604</v>
      </c>
      <c r="K40" s="352">
        <f t="shared" si="13"/>
        <v>0.10874942558682782</v>
      </c>
    </row>
    <row r="41" spans="1:11" ht="14.45" customHeight="1" x14ac:dyDescent="0.2">
      <c r="A41" s="292"/>
      <c r="B41" s="829"/>
      <c r="C41" s="257" t="s">
        <v>9</v>
      </c>
      <c r="D41" s="245">
        <f>INDEX([2]DS!B20:AK20,1,3*T!$A$4-2)</f>
        <v>103846</v>
      </c>
      <c r="E41" s="89">
        <f>INDEX([2]DS!C20:AL20,1,3*T!$A$4-2)</f>
        <v>2880.289092</v>
      </c>
      <c r="F41" s="96">
        <f>INDEX([2]DS!D20:AM20,1,3*T!$A$4-2)</f>
        <v>30783.327563999999</v>
      </c>
      <c r="G41" s="334">
        <f t="shared" si="11"/>
        <v>0.19729065551940217</v>
      </c>
      <c r="H41" s="316">
        <f t="shared" si="12"/>
        <v>-0.13937667917424851</v>
      </c>
      <c r="I41" s="300">
        <f>INDEX([4]DS!C20:AL20,1,3*T!$A$4-2)</f>
        <v>3346.7476680000004</v>
      </c>
      <c r="J41" s="301">
        <f>INDEX([4]DS!D20:AM20,1,3*T!$A$4-2)</f>
        <v>35626.989395999997</v>
      </c>
      <c r="K41" s="352">
        <f t="shared" si="13"/>
        <v>0.22898170977599155</v>
      </c>
    </row>
    <row r="42" spans="1:11" ht="14.45" customHeight="1" x14ac:dyDescent="0.2">
      <c r="A42" s="292"/>
      <c r="B42" s="829"/>
      <c r="C42" s="258" t="s">
        <v>220</v>
      </c>
      <c r="D42" s="246">
        <f>SUM(D38:D41)</f>
        <v>113721</v>
      </c>
      <c r="E42" s="244">
        <f>SUM(E38:E41)</f>
        <v>14328.178</v>
      </c>
      <c r="F42" s="261">
        <f>SUM(F38:F41)</f>
        <v>153147.94799999997</v>
      </c>
      <c r="G42" s="335">
        <f t="shared" si="11"/>
        <v>0.98143468927134925</v>
      </c>
      <c r="H42" s="317">
        <f>(E42-I42)/I42</f>
        <v>-6.9911136696214999E-4</v>
      </c>
      <c r="I42" s="302">
        <f>SUM(I38:I41)</f>
        <v>14338.201999999999</v>
      </c>
      <c r="J42" s="303">
        <f>SUM(J38:J41)</f>
        <v>152631.47099999999</v>
      </c>
      <c r="K42" s="353">
        <f t="shared" si="13"/>
        <v>0.98100793210847503</v>
      </c>
    </row>
    <row r="43" spans="1:11" ht="14.45" customHeight="1" x14ac:dyDescent="0.2">
      <c r="A43" s="292"/>
      <c r="B43" s="829"/>
      <c r="C43" s="240" t="s">
        <v>119</v>
      </c>
      <c r="D43" s="249"/>
      <c r="E43" s="173">
        <f>INDEX([2]DS!C21:AL21,1,3*T!$A$4-2)</f>
        <v>271.03899999999999</v>
      </c>
      <c r="F43" s="173">
        <f>INDEX([2]DS!D21:AM21,1,3*T!$A$4-2)</f>
        <v>2897.0250000000001</v>
      </c>
      <c r="G43" s="334">
        <f t="shared" si="11"/>
        <v>1.8565310728650721E-2</v>
      </c>
      <c r="H43" s="326">
        <f>(E43-I43)/I43</f>
        <v>-2.3578448325551962E-2</v>
      </c>
      <c r="I43" s="298">
        <f>INDEX([4]DS!C21:AL21,1,3*T!$A$4-2)</f>
        <v>277.584</v>
      </c>
      <c r="J43" s="299">
        <f>INDEX([4]DS!D21:AM21,1,3*T!$A$4-2)</f>
        <v>2954.904</v>
      </c>
      <c r="K43" s="352">
        <f t="shared" si="13"/>
        <v>1.8992067891524959E-2</v>
      </c>
    </row>
    <row r="44" spans="1:11" ht="14.45" customHeight="1" x14ac:dyDescent="0.2">
      <c r="A44" s="292"/>
      <c r="B44" s="829"/>
      <c r="C44" s="259" t="s">
        <v>2</v>
      </c>
      <c r="D44" s="253">
        <f>D42</f>
        <v>113721</v>
      </c>
      <c r="E44" s="252">
        <f>SUM(E42:E43)</f>
        <v>14599.217000000001</v>
      </c>
      <c r="F44" s="252">
        <f>SUM(F42:F43)</f>
        <v>156044.97299999997</v>
      </c>
      <c r="G44" s="336">
        <f>SUM(G42:G43)</f>
        <v>1</v>
      </c>
      <c r="H44" s="318">
        <f>(E44-I44)/I44</f>
        <v>-1.1336372877927678E-3</v>
      </c>
      <c r="I44" s="304">
        <f>SUM(I42:I43)</f>
        <v>14615.786</v>
      </c>
      <c r="J44" s="305">
        <f>SUM(J42:J43)</f>
        <v>155586.375</v>
      </c>
      <c r="K44" s="354">
        <f>SUM(K42:K43)</f>
        <v>1</v>
      </c>
    </row>
    <row r="45" spans="1:11" ht="14.45" customHeight="1" x14ac:dyDescent="0.2">
      <c r="A45" s="292"/>
      <c r="B45" s="829"/>
      <c r="C45" s="292"/>
      <c r="D45" s="310"/>
      <c r="E45" s="306"/>
      <c r="F45" s="306"/>
      <c r="G45" s="345"/>
      <c r="H45" s="329"/>
      <c r="I45" s="311"/>
      <c r="J45" s="309"/>
      <c r="K45" s="360"/>
    </row>
    <row r="46" spans="1:11" ht="14.45" customHeight="1" x14ac:dyDescent="0.2">
      <c r="A46" s="828" t="s">
        <v>228</v>
      </c>
      <c r="B46" s="828"/>
      <c r="C46" s="241"/>
      <c r="D46" s="239"/>
      <c r="E46" s="830"/>
      <c r="F46" s="828"/>
      <c r="G46" s="346"/>
      <c r="H46" s="328"/>
      <c r="I46" s="290"/>
      <c r="J46" s="312"/>
      <c r="K46" s="361"/>
    </row>
    <row r="47" spans="1:11" ht="14.45" customHeight="1" x14ac:dyDescent="0.2">
      <c r="A47" s="831" t="s">
        <v>222</v>
      </c>
      <c r="B47" s="831"/>
      <c r="C47" s="257" t="s">
        <v>6</v>
      </c>
      <c r="D47" s="249">
        <f>INDEX([2]DS!B26:AK26,1,3*T!$A$4-2)</f>
        <v>11</v>
      </c>
      <c r="E47" s="248">
        <f>INDEX([2]DS!C26:AL26,1,3*T!$A$4-2)</f>
        <v>9688.48</v>
      </c>
      <c r="F47" s="173">
        <f>INDEX([2]DS!D26:AM26,1,3*T!$A$4-2)</f>
        <v>103537.02899999999</v>
      </c>
      <c r="G47" s="347">
        <f>E47/$E$51</f>
        <v>0.87448810951861333</v>
      </c>
      <c r="H47" s="316">
        <f t="shared" ref="H47:H51" si="14">(E47-I47)/I47</f>
        <v>0.37818529528660655</v>
      </c>
      <c r="I47" s="300">
        <f>INDEX([4]DS!C26:AL26,1,3*T!$A$4-2)</f>
        <v>7029.8819999999996</v>
      </c>
      <c r="J47" s="301">
        <f>INDEX([4]DS!D26:AM26,1,3*T!$A$4-2)</f>
        <v>74921.743000000002</v>
      </c>
      <c r="K47" s="362">
        <f>I47/$I$51</f>
        <v>0.84396079490195886</v>
      </c>
    </row>
    <row r="48" spans="1:11" ht="14.45" customHeight="1" x14ac:dyDescent="0.2">
      <c r="A48" s="831" t="s">
        <v>223</v>
      </c>
      <c r="B48" s="831"/>
      <c r="C48" s="257" t="s">
        <v>220</v>
      </c>
      <c r="D48" s="249">
        <f>INDEX([2]DS!B32:AK32,1,3*T!$A$4-2)</f>
        <v>158</v>
      </c>
      <c r="E48" s="248">
        <f>INDEX([2]DS!C32:AL32,1,3*T!$A$4-2)</f>
        <v>857</v>
      </c>
      <c r="F48" s="173">
        <f>INDEX([2]DS!D32:AM32,1,3*T!$A$4-2)</f>
        <v>8970</v>
      </c>
      <c r="G48" s="347">
        <f t="shared" ref="G48:G50" si="15">E48/$E$51</f>
        <v>7.7353342305237938E-2</v>
      </c>
      <c r="H48" s="316">
        <f t="shared" si="14"/>
        <v>0.17236662106703146</v>
      </c>
      <c r="I48" s="300">
        <f>INDEX([4]DS!C32:AL32,1,3*T!$A$4-2)</f>
        <v>731</v>
      </c>
      <c r="J48" s="301">
        <f>INDEX([4]DS!D32:AM32,1,3*T!$A$4-2)</f>
        <v>7641</v>
      </c>
      <c r="K48" s="362">
        <f>I48/$I$51</f>
        <v>8.7758989563883436E-2</v>
      </c>
    </row>
    <row r="49" spans="1:11" ht="14.45" customHeight="1" x14ac:dyDescent="0.2">
      <c r="A49" s="330"/>
      <c r="B49" s="330"/>
      <c r="C49" s="258" t="s">
        <v>220</v>
      </c>
      <c r="D49" s="246">
        <f>SUM(D47:D48)</f>
        <v>169</v>
      </c>
      <c r="E49" s="244">
        <f>SUM(E47:E48)</f>
        <v>10545.48</v>
      </c>
      <c r="F49" s="261">
        <f>SUM(F47:F48)</f>
        <v>112507.02899999999</v>
      </c>
      <c r="G49" s="335">
        <f t="shared" si="15"/>
        <v>0.95184145182385127</v>
      </c>
      <c r="H49" s="317">
        <f t="shared" si="14"/>
        <v>0.35879916741421919</v>
      </c>
      <c r="I49" s="302">
        <f>SUM(I47:I48)</f>
        <v>7760.8819999999996</v>
      </c>
      <c r="J49" s="303">
        <f>SUM(J47:J48)</f>
        <v>82562.743000000002</v>
      </c>
      <c r="K49" s="353">
        <f t="shared" ref="K49:K50" si="16">I49/$I$51</f>
        <v>0.93171978446584225</v>
      </c>
    </row>
    <row r="50" spans="1:11" ht="14.45" customHeight="1" x14ac:dyDescent="0.2">
      <c r="A50" s="831" t="s">
        <v>227</v>
      </c>
      <c r="B50" s="831"/>
      <c r="C50" s="257" t="s">
        <v>179</v>
      </c>
      <c r="D50" s="249"/>
      <c r="E50" s="248">
        <f>INDEX([2]DS!C34:AL34,1,3*T!$A$4-2)</f>
        <v>533.54999999999745</v>
      </c>
      <c r="F50" s="173">
        <f>INDEX([2]DS!D34:AM34,1,3*T!$A$4-2)</f>
        <v>5923.1469999999681</v>
      </c>
      <c r="G50" s="347">
        <f t="shared" si="15"/>
        <v>4.8158548176148779E-2</v>
      </c>
      <c r="H50" s="316">
        <f t="shared" si="14"/>
        <v>-6.1888460463234332E-2</v>
      </c>
      <c r="I50" s="298">
        <f>INDEX([4]DS!C34:AL34,1,3*T!$A$4-2)</f>
        <v>568.74900000000162</v>
      </c>
      <c r="J50" s="299">
        <f>INDEX([4]DS!D34:AM34,1,3*T!$A$4-2)</f>
        <v>6461.9171700000152</v>
      </c>
      <c r="K50" s="362">
        <f t="shared" si="16"/>
        <v>6.8280215534157696E-2</v>
      </c>
    </row>
    <row r="51" spans="1:11" ht="14.45" customHeight="1" x14ac:dyDescent="0.2">
      <c r="A51" s="313"/>
      <c r="B51" s="313"/>
      <c r="C51" s="259" t="s">
        <v>2</v>
      </c>
      <c r="D51" s="253">
        <f>D49</f>
        <v>169</v>
      </c>
      <c r="E51" s="251">
        <f>SUM(E49:E50)</f>
        <v>11079.029999999997</v>
      </c>
      <c r="F51" s="252">
        <f>SUM(F49:F50)</f>
        <v>118430.17599999996</v>
      </c>
      <c r="G51" s="336">
        <f>SUM(G49:G50)</f>
        <v>1</v>
      </c>
      <c r="H51" s="318">
        <f t="shared" si="14"/>
        <v>0.33007452551019312</v>
      </c>
      <c r="I51" s="291">
        <f>SUM(I49:I50)</f>
        <v>8329.6310000000012</v>
      </c>
      <c r="J51" s="262">
        <f>SUM(J49:J50)</f>
        <v>89024.660170000017</v>
      </c>
      <c r="K51" s="354">
        <f>SUM(K49:K50)</f>
        <v>1</v>
      </c>
    </row>
    <row r="52" spans="1:11" ht="14.45" customHeight="1" x14ac:dyDescent="0.2">
      <c r="A52" s="313"/>
      <c r="B52" s="313"/>
      <c r="C52" s="240"/>
      <c r="D52" s="249"/>
      <c r="E52" s="248"/>
      <c r="F52" s="173"/>
      <c r="G52" s="348"/>
      <c r="H52" s="267"/>
      <c r="I52" s="289"/>
      <c r="J52" s="301"/>
      <c r="K52" s="363"/>
    </row>
    <row r="53" spans="1:11" ht="14.45" customHeight="1" x14ac:dyDescent="0.2">
      <c r="A53" s="313"/>
      <c r="B53" s="313"/>
      <c r="C53" s="240"/>
      <c r="D53" s="173"/>
      <c r="E53" s="173"/>
      <c r="F53" s="173"/>
      <c r="G53" s="173"/>
      <c r="H53" s="95"/>
      <c r="I53" s="289"/>
      <c r="J53" s="301"/>
      <c r="K53" s="314"/>
    </row>
    <row r="54" spans="1:11" ht="15.75" customHeight="1" x14ac:dyDescent="0.2">
      <c r="A54" s="62"/>
      <c r="B54" s="243"/>
      <c r="C54" s="243"/>
      <c r="D54" s="243"/>
      <c r="E54" s="243"/>
      <c r="F54" s="243"/>
      <c r="G54" s="243"/>
      <c r="H54" s="243"/>
      <c r="I54" s="87"/>
      <c r="J54" s="243"/>
    </row>
    <row r="55" spans="1:11" ht="15" customHeight="1" x14ac:dyDescent="0.2">
      <c r="A55" s="799" t="s">
        <v>316</v>
      </c>
      <c r="B55" s="799"/>
      <c r="C55" s="799"/>
      <c r="D55" s="799"/>
      <c r="E55" s="799"/>
      <c r="F55" s="799"/>
      <c r="G55" s="799"/>
      <c r="H55" s="799"/>
      <c r="I55" s="799"/>
      <c r="J55" s="799"/>
      <c r="K55" s="799"/>
    </row>
    <row r="56" spans="1:11" ht="15" customHeight="1" x14ac:dyDescent="0.2">
      <c r="A56" s="799"/>
      <c r="B56" s="799"/>
      <c r="C56" s="799"/>
      <c r="D56" s="799"/>
      <c r="E56" s="799"/>
      <c r="F56" s="799"/>
      <c r="G56" s="799"/>
      <c r="H56" s="799"/>
      <c r="I56" s="799"/>
      <c r="J56" s="799"/>
      <c r="K56" s="799"/>
    </row>
    <row r="57" spans="1:11" ht="15" customHeight="1" x14ac:dyDescent="0.2">
      <c r="A57" s="799"/>
      <c r="B57" s="799"/>
      <c r="C57" s="799"/>
      <c r="D57" s="799"/>
      <c r="E57" s="799"/>
      <c r="F57" s="799"/>
      <c r="G57" s="799"/>
      <c r="H57" s="799"/>
      <c r="I57" s="799"/>
      <c r="J57" s="799"/>
      <c r="K57" s="799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  <mergeCell ref="A28:B28"/>
    <mergeCell ref="A29:B30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topLeftCell="A4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264</v>
      </c>
      <c r="K1" s="827"/>
    </row>
    <row r="2" spans="1:17" ht="6.75" customHeight="1" x14ac:dyDescent="0.2"/>
    <row r="3" spans="1:17" ht="30" customHeight="1" x14ac:dyDescent="0.2">
      <c r="A3" s="835" t="s">
        <v>299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Září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Září</v>
      </c>
      <c r="F7" s="265">
        <f>F4</f>
        <v>2015</v>
      </c>
      <c r="G7" s="265"/>
      <c r="H7" s="838"/>
      <c r="I7" s="280" t="str">
        <f>D4</f>
        <v>Září</v>
      </c>
      <c r="J7" s="260">
        <f>F4-1</f>
        <v>2014</v>
      </c>
      <c r="K7" s="274"/>
    </row>
    <row r="8" spans="1:17" ht="14.1" customHeight="1" x14ac:dyDescent="0.2">
      <c r="A8" s="278"/>
      <c r="B8" s="372"/>
      <c r="C8" s="842" t="s">
        <v>95</v>
      </c>
      <c r="D8" s="823"/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373"/>
      <c r="C9" s="84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40" t="s">
        <v>4</v>
      </c>
      <c r="B10" s="840"/>
      <c r="C10" s="365"/>
      <c r="D10" s="254"/>
      <c r="E10" s="365"/>
      <c r="F10" s="365"/>
      <c r="G10" s="333"/>
      <c r="H10" s="315"/>
      <c r="I10" s="282"/>
      <c r="J10" s="365"/>
      <c r="K10" s="351"/>
    </row>
    <row r="11" spans="1:17" ht="14.45" customHeight="1" x14ac:dyDescent="0.2">
      <c r="A11" s="95"/>
      <c r="B11" s="95"/>
      <c r="C11" s="845" t="s">
        <v>72</v>
      </c>
      <c r="D11" s="846"/>
      <c r="E11" s="96">
        <f>'5'!E26</f>
        <v>29259.27097521312</v>
      </c>
      <c r="F11" s="96">
        <f>'5'!F26</f>
        <v>312835.53499998257</v>
      </c>
      <c r="G11" s="334">
        <f>E11/$E$15</f>
        <v>8.2896648997239419E-2</v>
      </c>
      <c r="H11" s="316">
        <f>(E11-I11)/I11</f>
        <v>1.6883890078934542E-2</v>
      </c>
      <c r="I11" s="283">
        <f>'5'!I26</f>
        <v>28773.462988917938</v>
      </c>
      <c r="J11" s="96">
        <f>'5'!J26</f>
        <v>306375.12699999998</v>
      </c>
      <c r="K11" s="352">
        <f>I11/$I$15</f>
        <v>7.888287512688448E-2</v>
      </c>
    </row>
    <row r="12" spans="1:17" ht="14.45" customHeight="1" x14ac:dyDescent="0.2">
      <c r="A12" s="95"/>
      <c r="B12" s="95"/>
      <c r="C12" s="845" t="s">
        <v>73</v>
      </c>
      <c r="D12" s="846"/>
      <c r="E12" s="96">
        <f>'5'!E35</f>
        <v>298023.32337541255</v>
      </c>
      <c r="F12" s="96">
        <f>'5'!F35</f>
        <v>3188246.9402699997</v>
      </c>
      <c r="G12" s="334">
        <f>E12/$E$15</f>
        <v>0.84435237131407725</v>
      </c>
      <c r="H12" s="316">
        <f t="shared" ref="H12:H13" si="0">(E12-I12)/I12</f>
        <v>-4.797948631210721E-2</v>
      </c>
      <c r="I12" s="283">
        <f>'5'!I35</f>
        <v>313042.96398083237</v>
      </c>
      <c r="J12" s="96">
        <f>'5'!J35</f>
        <v>3334659.5445399997</v>
      </c>
      <c r="K12" s="352">
        <f>I12/$I$15</f>
        <v>0.85821192418029613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845" t="s">
        <v>74</v>
      </c>
      <c r="D13" s="846"/>
      <c r="E13" s="96">
        <f>'5'!E44</f>
        <v>14599.217000000001</v>
      </c>
      <c r="F13" s="96">
        <f>'5'!F44</f>
        <v>156044.97299999997</v>
      </c>
      <c r="G13" s="334">
        <f>E13/$E$15</f>
        <v>4.1362143585490188E-2</v>
      </c>
      <c r="H13" s="316">
        <f t="shared" si="0"/>
        <v>-1.1336372877927678E-3</v>
      </c>
      <c r="I13" s="283">
        <f>'5'!I44</f>
        <v>14615.786</v>
      </c>
      <c r="J13" s="96">
        <f>'5'!J44</f>
        <v>155586.375</v>
      </c>
      <c r="K13" s="352">
        <f>I13/$I$15</f>
        <v>4.0069393884334253E-2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845" t="s">
        <v>180</v>
      </c>
      <c r="D14" s="846"/>
      <c r="E14" s="96">
        <f>'5'!E51</f>
        <v>11079.029999999997</v>
      </c>
      <c r="F14" s="96">
        <f>'5'!F51</f>
        <v>118430.17599999996</v>
      </c>
      <c r="G14" s="334">
        <f>E14/$E$15</f>
        <v>3.1388836103193291E-2</v>
      </c>
      <c r="H14" s="316">
        <f>(E14-I14)/I14</f>
        <v>0.33007452551019312</v>
      </c>
      <c r="I14" s="283">
        <f>'5'!I51</f>
        <v>8329.6310000000012</v>
      </c>
      <c r="J14" s="96">
        <f>'5'!J51</f>
        <v>89024.660170000017</v>
      </c>
      <c r="K14" s="352">
        <f>I14/$I$15</f>
        <v>2.2835806808485092E-2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847" t="s">
        <v>5</v>
      </c>
      <c r="D15" s="848"/>
      <c r="E15" s="251">
        <f>SUM(E11:E14)</f>
        <v>352960.84135062562</v>
      </c>
      <c r="F15" s="252">
        <f>SUM(F11:F14)</f>
        <v>3775557.6242699819</v>
      </c>
      <c r="G15" s="336">
        <f>SUM(G11:G14)</f>
        <v>1</v>
      </c>
      <c r="H15" s="318">
        <f>(E15-I15)/I15</f>
        <v>-3.2352623538396665E-2</v>
      </c>
      <c r="I15" s="286">
        <f>SUM(I11:I14)</f>
        <v>364761.84396975033</v>
      </c>
      <c r="J15" s="252">
        <f>SUM(J11:J14)</f>
        <v>3885645.7067099996</v>
      </c>
      <c r="K15" s="354">
        <f>SUM(K11:K14)</f>
        <v>1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/>
      <c r="D16" s="376"/>
      <c r="E16" s="377"/>
      <c r="F16" s="377"/>
      <c r="G16" s="378"/>
      <c r="H16" s="379"/>
      <c r="I16" s="380"/>
      <c r="J16" s="377"/>
      <c r="K16" s="381"/>
      <c r="L16" s="284"/>
      <c r="M16" s="284"/>
      <c r="O16" s="284"/>
      <c r="P16" s="284"/>
      <c r="Q16" s="284"/>
    </row>
    <row r="17" spans="1:16" ht="14.45" customHeight="1" x14ac:dyDescent="0.2">
      <c r="A17" s="836"/>
      <c r="B17" s="836"/>
      <c r="C17" s="836"/>
      <c r="D17" s="297"/>
      <c r="E17" s="174"/>
      <c r="F17" s="174"/>
      <c r="G17" s="338"/>
      <c r="H17" s="320"/>
      <c r="I17" s="298"/>
      <c r="J17" s="299"/>
      <c r="K17" s="356"/>
      <c r="L17" s="284"/>
      <c r="M17" s="284"/>
    </row>
    <row r="18" spans="1:16" ht="6" customHeight="1" x14ac:dyDescent="0.2">
      <c r="A18" s="95"/>
      <c r="B18" s="95"/>
      <c r="C18" s="257"/>
      <c r="D18" s="96"/>
      <c r="E18" s="96"/>
      <c r="F18" s="96"/>
      <c r="G18" s="382"/>
      <c r="H18" s="383"/>
      <c r="I18" s="301"/>
      <c r="J18" s="301"/>
      <c r="K18" s="384"/>
      <c r="L18" s="284"/>
      <c r="M18" s="284"/>
      <c r="N18" s="284"/>
    </row>
    <row r="19" spans="1:16" ht="14.45" customHeight="1" x14ac:dyDescent="0.2">
      <c r="A19" s="822" t="s">
        <v>245</v>
      </c>
      <c r="B19" s="822"/>
      <c r="C19" s="822"/>
      <c r="D19" s="822"/>
      <c r="E19" s="822"/>
      <c r="F19" s="822"/>
      <c r="G19" s="822"/>
      <c r="H19" s="822"/>
      <c r="I19" s="822"/>
      <c r="J19" s="822"/>
      <c r="K19" s="822"/>
      <c r="L19" s="287"/>
      <c r="M19" s="287"/>
      <c r="N19" s="284"/>
    </row>
    <row r="20" spans="1:16" ht="14.45" customHeight="1" x14ac:dyDescent="0.2">
      <c r="A20" s="174"/>
      <c r="B20" s="850"/>
      <c r="C20" s="367"/>
      <c r="D20" s="173"/>
      <c r="E20" s="849" t="str">
        <f>E7</f>
        <v>Září</v>
      </c>
      <c r="F20" s="849"/>
      <c r="G20" s="387"/>
      <c r="H20" s="385"/>
      <c r="I20" s="299"/>
      <c r="J20" s="299"/>
      <c r="K20" s="388"/>
      <c r="L20" s="284"/>
      <c r="M20" s="284"/>
      <c r="N20" s="284"/>
      <c r="O20" s="284"/>
      <c r="P20" s="284"/>
    </row>
    <row r="21" spans="1:16" ht="14.45" customHeight="1" x14ac:dyDescent="0.2">
      <c r="A21" s="174"/>
      <c r="B21" s="850"/>
      <c r="C21" s="367"/>
      <c r="D21" s="173"/>
      <c r="E21" s="483">
        <f>F7</f>
        <v>2015</v>
      </c>
      <c r="F21" s="484">
        <f>J7</f>
        <v>2014</v>
      </c>
      <c r="H21" s="385"/>
      <c r="I21" s="299"/>
      <c r="J21" s="299"/>
      <c r="K21" s="388"/>
      <c r="L21" s="284"/>
      <c r="M21" s="284"/>
      <c r="N21" s="284"/>
      <c r="O21" s="284"/>
      <c r="P21" s="284"/>
    </row>
    <row r="22" spans="1:16" ht="14.45" customHeight="1" x14ac:dyDescent="0.2">
      <c r="A22" s="174"/>
      <c r="B22" s="850"/>
      <c r="C22" s="367"/>
      <c r="D22" s="173" t="str">
        <f>C11</f>
        <v>PP Distribuce</v>
      </c>
      <c r="E22" s="173">
        <f>E11</f>
        <v>29259.27097521312</v>
      </c>
      <c r="F22" s="482">
        <f>I11</f>
        <v>28773.462988917938</v>
      </c>
      <c r="H22" s="385"/>
      <c r="I22" s="299"/>
      <c r="J22" s="299"/>
      <c r="K22" s="388"/>
      <c r="L22" s="284"/>
      <c r="M22" s="284"/>
      <c r="N22" s="284"/>
      <c r="O22" s="284"/>
      <c r="P22" s="284"/>
    </row>
    <row r="23" spans="1:16" ht="14.45" customHeight="1" x14ac:dyDescent="0.2">
      <c r="A23" s="174"/>
      <c r="B23" s="850"/>
      <c r="C23" s="367"/>
      <c r="D23" s="173" t="str">
        <f>C12</f>
        <v>RWE GasNet</v>
      </c>
      <c r="E23" s="173">
        <f>E12</f>
        <v>298023.32337541255</v>
      </c>
      <c r="F23" s="482">
        <f>I12</f>
        <v>313042.96398083237</v>
      </c>
      <c r="H23" s="385"/>
      <c r="I23" s="299"/>
      <c r="J23" s="299"/>
      <c r="K23" s="388"/>
      <c r="L23" s="284"/>
      <c r="M23" s="284"/>
      <c r="N23" s="284"/>
      <c r="O23" s="284"/>
      <c r="P23" s="284"/>
    </row>
    <row r="24" spans="1:16" ht="14.45" customHeight="1" x14ac:dyDescent="0.2">
      <c r="A24" s="174"/>
      <c r="B24" s="850"/>
      <c r="C24" s="367"/>
      <c r="D24" s="173" t="str">
        <f>C13</f>
        <v>E.ON Distribuce</v>
      </c>
      <c r="E24" s="173">
        <f>E13</f>
        <v>14599.217000000001</v>
      </c>
      <c r="F24" s="482">
        <f>I13</f>
        <v>14615.786</v>
      </c>
      <c r="H24" s="385"/>
      <c r="I24" s="299"/>
      <c r="J24" s="299"/>
      <c r="K24" s="388"/>
      <c r="L24" s="284"/>
      <c r="M24" s="284"/>
      <c r="N24" s="284"/>
      <c r="O24" s="284"/>
      <c r="P24" s="284"/>
    </row>
    <row r="25" spans="1:16" ht="14.45" customHeight="1" x14ac:dyDescent="0.2">
      <c r="A25" s="174"/>
      <c r="B25" s="850"/>
      <c r="C25" s="174"/>
      <c r="D25" s="173" t="str">
        <f>C14</f>
        <v>Ostatní společnosti</v>
      </c>
      <c r="E25" s="173">
        <f>E14</f>
        <v>11079.029999999997</v>
      </c>
      <c r="F25" s="482">
        <f>I14</f>
        <v>8329.6310000000012</v>
      </c>
      <c r="H25" s="386"/>
      <c r="I25" s="299"/>
      <c r="J25" s="299"/>
      <c r="K25" s="174"/>
      <c r="L25" s="287"/>
      <c r="N25" s="284"/>
      <c r="O25" s="284"/>
      <c r="P25" s="284"/>
    </row>
    <row r="26" spans="1:16" ht="14.45" customHeight="1" x14ac:dyDescent="0.2">
      <c r="A26" s="844"/>
      <c r="B26" s="844"/>
      <c r="C26" s="174"/>
      <c r="D26" s="174"/>
      <c r="E26" s="174"/>
      <c r="F26" s="174"/>
      <c r="G26" s="174"/>
      <c r="H26" s="386"/>
      <c r="I26" s="299"/>
      <c r="J26" s="299"/>
      <c r="K26" s="174"/>
      <c r="L26" s="287"/>
      <c r="N26" s="284"/>
      <c r="O26" s="284"/>
      <c r="P26" s="284"/>
    </row>
    <row r="27" spans="1:16" ht="14.45" customHeight="1" x14ac:dyDescent="0.2">
      <c r="A27" s="851"/>
      <c r="B27" s="851"/>
      <c r="C27" s="367"/>
      <c r="D27" s="173"/>
      <c r="E27" s="173"/>
      <c r="F27" s="173"/>
      <c r="G27" s="388"/>
      <c r="H27" s="389"/>
      <c r="I27" s="299"/>
      <c r="J27" s="299"/>
      <c r="K27" s="388"/>
    </row>
    <row r="28" spans="1:16" ht="14.45" customHeight="1" x14ac:dyDescent="0.2">
      <c r="A28" s="851"/>
      <c r="B28" s="851"/>
      <c r="C28" s="367"/>
      <c r="D28" s="173"/>
      <c r="E28" s="173"/>
      <c r="F28" s="173"/>
      <c r="G28" s="388"/>
      <c r="H28" s="389"/>
      <c r="I28" s="299"/>
      <c r="J28" s="299"/>
      <c r="K28" s="388"/>
    </row>
    <row r="29" spans="1:16" ht="14.45" customHeight="1" x14ac:dyDescent="0.2">
      <c r="A29" s="174"/>
      <c r="B29" s="174"/>
      <c r="C29" s="367"/>
      <c r="D29" s="173"/>
      <c r="E29" s="173"/>
      <c r="F29" s="173"/>
      <c r="G29" s="388"/>
      <c r="H29" s="389"/>
      <c r="I29" s="299"/>
      <c r="J29" s="299"/>
      <c r="K29" s="388"/>
    </row>
    <row r="30" spans="1:16" ht="14.45" customHeight="1" x14ac:dyDescent="0.2">
      <c r="A30" s="174"/>
      <c r="B30" s="174"/>
      <c r="C30" s="367"/>
      <c r="D30" s="173"/>
      <c r="E30" s="173"/>
      <c r="F30" s="173"/>
      <c r="G30" s="388"/>
      <c r="H30" s="389"/>
      <c r="I30" s="299"/>
      <c r="J30" s="299"/>
      <c r="K30" s="388"/>
    </row>
    <row r="31" spans="1:16" ht="14.45" customHeight="1" x14ac:dyDescent="0.2">
      <c r="A31" s="174"/>
      <c r="B31" s="174"/>
      <c r="C31" s="367"/>
      <c r="D31" s="173"/>
      <c r="E31" s="173"/>
      <c r="F31" s="173"/>
      <c r="G31" s="388"/>
      <c r="H31" s="389"/>
      <c r="I31" s="299"/>
      <c r="J31" s="299"/>
      <c r="K31" s="388"/>
    </row>
    <row r="32" spans="1:16" ht="14.45" customHeight="1" x14ac:dyDescent="0.2">
      <c r="A32" s="844" t="s">
        <v>96</v>
      </c>
      <c r="B32" s="844"/>
      <c r="C32" s="844"/>
      <c r="D32" s="844"/>
      <c r="E32" s="844"/>
      <c r="F32" s="844"/>
      <c r="G32" s="844"/>
      <c r="H32" s="844"/>
      <c r="I32" s="844"/>
      <c r="J32" s="844"/>
      <c r="K32" s="844"/>
    </row>
    <row r="33" spans="1:11" ht="14.45" customHeight="1" x14ac:dyDescent="0.2">
      <c r="A33" s="174"/>
      <c r="B33" s="174"/>
      <c r="C33" s="367"/>
      <c r="D33" s="173"/>
      <c r="E33" s="173" t="str">
        <f>E7</f>
        <v>Září</v>
      </c>
      <c r="F33" s="427">
        <f>F7</f>
        <v>2015</v>
      </c>
      <c r="G33" s="388"/>
      <c r="H33" s="389"/>
      <c r="I33" s="299"/>
      <c r="J33" s="299"/>
      <c r="K33" s="388"/>
    </row>
    <row r="34" spans="1:11" ht="14.45" customHeight="1" x14ac:dyDescent="0.2">
      <c r="A34" s="390"/>
      <c r="B34" s="390"/>
      <c r="C34" s="390"/>
      <c r="D34" s="390"/>
      <c r="E34" s="390"/>
      <c r="F34" s="390"/>
      <c r="G34" s="390"/>
      <c r="H34" s="391"/>
      <c r="I34" s="392"/>
      <c r="J34" s="299"/>
      <c r="K34" s="390"/>
    </row>
    <row r="35" spans="1:11" ht="14.45" customHeight="1" x14ac:dyDescent="0.2">
      <c r="A35" s="851"/>
      <c r="B35" s="851"/>
      <c r="C35" s="390"/>
      <c r="D35" s="390"/>
      <c r="E35" s="390" t="str">
        <f>C11</f>
        <v>PP Distribuce</v>
      </c>
      <c r="F35" s="392">
        <f>E11</f>
        <v>29259.27097521312</v>
      </c>
      <c r="G35" s="390"/>
      <c r="H35" s="391"/>
      <c r="I35" s="392"/>
      <c r="J35" s="299"/>
      <c r="K35" s="390"/>
    </row>
    <row r="36" spans="1:11" ht="14.45" customHeight="1" x14ac:dyDescent="0.2">
      <c r="A36" s="390"/>
      <c r="B36" s="390"/>
      <c r="C36" s="367"/>
      <c r="D36" s="173"/>
      <c r="E36" s="390" t="str">
        <f t="shared" ref="E36:E38" si="1">C12</f>
        <v>RWE GasNet</v>
      </c>
      <c r="F36" s="392">
        <f t="shared" ref="F36:F38" si="2">E12</f>
        <v>298023.32337541255</v>
      </c>
      <c r="G36" s="388"/>
      <c r="H36" s="389"/>
      <c r="I36" s="299"/>
      <c r="J36" s="299"/>
      <c r="K36" s="388"/>
    </row>
    <row r="37" spans="1:11" ht="14.45" customHeight="1" x14ac:dyDescent="0.2">
      <c r="A37" s="390"/>
      <c r="B37" s="390"/>
      <c r="C37" s="367"/>
      <c r="D37" s="173"/>
      <c r="E37" s="390" t="str">
        <f t="shared" si="1"/>
        <v>E.ON Distribuce</v>
      </c>
      <c r="F37" s="392">
        <f t="shared" si="2"/>
        <v>14599.217000000001</v>
      </c>
      <c r="G37" s="388"/>
      <c r="H37" s="389"/>
      <c r="I37" s="299"/>
      <c r="J37" s="299"/>
      <c r="K37" s="388"/>
    </row>
    <row r="38" spans="1:11" ht="14.45" customHeight="1" x14ac:dyDescent="0.2">
      <c r="A38" s="174"/>
      <c r="B38" s="850"/>
      <c r="C38" s="367"/>
      <c r="D38" s="173"/>
      <c r="E38" s="390" t="str">
        <f t="shared" si="1"/>
        <v>Ostatní společnosti</v>
      </c>
      <c r="F38" s="392">
        <f t="shared" si="2"/>
        <v>11079.029999999997</v>
      </c>
      <c r="G38" s="388"/>
      <c r="H38" s="389"/>
      <c r="I38" s="299"/>
      <c r="J38" s="299"/>
      <c r="K38" s="388"/>
    </row>
    <row r="39" spans="1:11" ht="14.45" customHeight="1" x14ac:dyDescent="0.2">
      <c r="A39" s="174"/>
      <c r="B39" s="850"/>
      <c r="C39" s="367"/>
      <c r="D39" s="173"/>
      <c r="E39" s="390"/>
      <c r="F39" s="390"/>
      <c r="G39" s="388"/>
      <c r="H39" s="389"/>
      <c r="I39" s="299"/>
      <c r="J39" s="299"/>
      <c r="K39" s="388"/>
    </row>
    <row r="40" spans="1:11" ht="14.45" customHeight="1" x14ac:dyDescent="0.2">
      <c r="A40" s="174"/>
      <c r="B40" s="850"/>
      <c r="C40" s="367"/>
      <c r="D40" s="173"/>
      <c r="E40" s="173"/>
      <c r="F40" s="173"/>
      <c r="G40" s="388"/>
      <c r="H40" s="389"/>
      <c r="I40" s="299"/>
      <c r="J40" s="299"/>
      <c r="K40" s="388"/>
    </row>
    <row r="41" spans="1:11" ht="14.45" customHeight="1" x14ac:dyDescent="0.2">
      <c r="A41" s="174"/>
      <c r="B41" s="850"/>
      <c r="C41" s="367"/>
      <c r="D41" s="173"/>
      <c r="E41" s="173"/>
      <c r="F41" s="173"/>
      <c r="G41" s="388"/>
      <c r="H41" s="389"/>
      <c r="I41" s="299"/>
      <c r="J41" s="299"/>
      <c r="K41" s="388"/>
    </row>
    <row r="42" spans="1:11" ht="14.45" customHeight="1" x14ac:dyDescent="0.2">
      <c r="A42" s="174"/>
      <c r="B42" s="850"/>
      <c r="C42" s="367"/>
      <c r="D42" s="173"/>
      <c r="E42" s="173"/>
      <c r="F42" s="173"/>
      <c r="G42" s="388"/>
      <c r="H42" s="389"/>
      <c r="I42" s="299"/>
      <c r="J42" s="299"/>
      <c r="K42" s="388"/>
    </row>
    <row r="43" spans="1:11" ht="14.45" customHeight="1" x14ac:dyDescent="0.2">
      <c r="A43" s="851"/>
      <c r="B43" s="851"/>
      <c r="C43" s="390"/>
      <c r="D43" s="366"/>
      <c r="E43" s="851"/>
      <c r="F43" s="851"/>
      <c r="G43" s="366"/>
      <c r="H43" s="391"/>
      <c r="I43" s="392"/>
      <c r="J43" s="299"/>
      <c r="K43" s="366"/>
    </row>
    <row r="44" spans="1:11" ht="14.45" customHeight="1" x14ac:dyDescent="0.25">
      <c r="A44" s="271"/>
      <c r="B44" s="126"/>
      <c r="C44" s="274"/>
      <c r="D44" s="274"/>
      <c r="E44" s="275"/>
      <c r="F44" s="274"/>
      <c r="G44" s="276"/>
      <c r="H44" s="852" t="s">
        <v>244</v>
      </c>
      <c r="I44" s="276"/>
      <c r="J44" s="276"/>
      <c r="K44" s="276"/>
    </row>
    <row r="45" spans="1:11" ht="14.45" customHeight="1" x14ac:dyDescent="0.25">
      <c r="A45" s="278"/>
      <c r="B45" s="279"/>
      <c r="C45" s="263"/>
      <c r="D45" s="263"/>
      <c r="E45" s="264" t="str">
        <f>E7</f>
        <v>Září</v>
      </c>
      <c r="F45" s="265">
        <f>F7</f>
        <v>2015</v>
      </c>
      <c r="G45" s="265"/>
      <c r="H45" s="853"/>
      <c r="I45" s="398" t="str">
        <f>I7</f>
        <v>Září</v>
      </c>
      <c r="J45" s="260">
        <f>J7</f>
        <v>2014</v>
      </c>
      <c r="K45" s="276"/>
    </row>
    <row r="46" spans="1:11" ht="14.45" customHeight="1" x14ac:dyDescent="0.2">
      <c r="A46" s="278"/>
      <c r="B46" s="372"/>
      <c r="C46" s="842" t="s">
        <v>95</v>
      </c>
      <c r="D46" s="823"/>
      <c r="E46" s="825" t="s">
        <v>243</v>
      </c>
      <c r="F46" s="793"/>
      <c r="G46" s="426"/>
      <c r="H46" s="853"/>
      <c r="I46" s="826" t="s">
        <v>243</v>
      </c>
      <c r="J46" s="793"/>
      <c r="K46" s="87"/>
    </row>
    <row r="47" spans="1:11" ht="12.95" customHeight="1" x14ac:dyDescent="0.2">
      <c r="A47" s="409"/>
      <c r="B47" s="372"/>
      <c r="C47" s="842"/>
      <c r="D47" s="823"/>
      <c r="E47" s="412" t="s">
        <v>69</v>
      </c>
      <c r="F47" s="374" t="s">
        <v>142</v>
      </c>
      <c r="G47" s="394" t="s">
        <v>143</v>
      </c>
      <c r="H47" s="853"/>
      <c r="I47" s="419" t="s">
        <v>69</v>
      </c>
      <c r="J47" s="374" t="s">
        <v>142</v>
      </c>
      <c r="K47" s="374" t="s">
        <v>143</v>
      </c>
    </row>
    <row r="48" spans="1:11" ht="12.95" customHeight="1" x14ac:dyDescent="0.2">
      <c r="A48" s="250"/>
      <c r="B48" s="373"/>
      <c r="C48" s="843"/>
      <c r="D48" s="824"/>
      <c r="E48" s="413" t="s">
        <v>14</v>
      </c>
      <c r="F48" s="266" t="s">
        <v>14</v>
      </c>
      <c r="G48" s="266" t="s">
        <v>14</v>
      </c>
      <c r="H48" s="411" t="s">
        <v>14</v>
      </c>
      <c r="I48" s="420" t="s">
        <v>14</v>
      </c>
      <c r="J48" s="266" t="s">
        <v>14</v>
      </c>
      <c r="K48" s="266" t="s">
        <v>14</v>
      </c>
    </row>
    <row r="49" spans="1:11" ht="14.45" customHeight="1" x14ac:dyDescent="0.2">
      <c r="A49" s="842" t="s">
        <v>4</v>
      </c>
      <c r="B49" s="842"/>
      <c r="C49" s="365"/>
      <c r="D49" s="254"/>
      <c r="E49" s="414"/>
      <c r="F49" s="365"/>
      <c r="G49" s="395"/>
      <c r="H49" s="410"/>
      <c r="I49" s="421"/>
      <c r="J49" s="365"/>
      <c r="K49" s="365"/>
    </row>
    <row r="50" spans="1:11" ht="14.45" customHeight="1" x14ac:dyDescent="0.2">
      <c r="A50" s="95"/>
      <c r="B50" s="95"/>
      <c r="C50" s="845" t="s">
        <v>72</v>
      </c>
      <c r="D50" s="846"/>
      <c r="E50" s="415">
        <f>INDEX([5]MZ!D21:BK21,1,5*T!$A$4-4)</f>
        <v>14.2</v>
      </c>
      <c r="F50" s="401">
        <f>INDEX([5]MZ!E21:BL21,1,5*T!$A$4-4)</f>
        <v>24.5</v>
      </c>
      <c r="G50" s="402">
        <f>INDEX([5]MZ!F21:BM21,1,5*T!$A$4-4)</f>
        <v>8.4</v>
      </c>
      <c r="H50" s="403">
        <f>E50-I50</f>
        <v>-0.75333333333333208</v>
      </c>
      <c r="I50" s="422">
        <f>INDEX([6]MZ!D21:BK21,1,5*T!$A$4-4)</f>
        <v>14.953333333333331</v>
      </c>
      <c r="J50" s="401">
        <f>INDEX([6]MZ!E21:BL21,1,5*T!$A$4-4)</f>
        <v>19.2</v>
      </c>
      <c r="K50" s="404">
        <f>INDEX([6]MZ!F21:BM21,1,5*T!$A$4-4)</f>
        <v>8.4</v>
      </c>
    </row>
    <row r="51" spans="1:11" ht="14.45" customHeight="1" x14ac:dyDescent="0.2">
      <c r="A51" s="95"/>
      <c r="B51" s="95"/>
      <c r="C51" s="845" t="s">
        <v>73</v>
      </c>
      <c r="D51" s="846"/>
      <c r="E51" s="415">
        <f>INDEX([5]MZ!D22:BK22,1,5*T!$A$4-4)</f>
        <v>13.571111111111115</v>
      </c>
      <c r="F51" s="401">
        <f>INDEX([5]MZ!E22:BL22,1,5*T!$A$4-4)</f>
        <v>23.333333333333332</v>
      </c>
      <c r="G51" s="402">
        <f>INDEX([5]MZ!F22:BM22,1,5*T!$A$4-4)</f>
        <v>7.6166666666666663</v>
      </c>
      <c r="H51" s="403">
        <f t="shared" ref="H51:H54" si="3">E51-I51</f>
        <v>-0.75222222222222079</v>
      </c>
      <c r="I51" s="422">
        <f>INDEX([6]MZ!D22:BK22,1,5*T!$A$4-4)</f>
        <v>14.323333333333336</v>
      </c>
      <c r="J51" s="401">
        <f>INDEX([6]MZ!E22:BL22,1,5*T!$A$4-4)</f>
        <v>18.183333333333334</v>
      </c>
      <c r="K51" s="404">
        <f>INDEX([6]MZ!F22:BM22,1,5*T!$A$4-4)</f>
        <v>8.0833333333333321</v>
      </c>
    </row>
    <row r="52" spans="1:11" ht="15.75" customHeight="1" x14ac:dyDescent="0.2">
      <c r="A52" s="292"/>
      <c r="B52" s="268"/>
      <c r="C52" s="845" t="s">
        <v>74</v>
      </c>
      <c r="D52" s="846"/>
      <c r="E52" s="415">
        <f>INDEX([5]MZ!D23:BK23,1,5*T!$A$4-4)</f>
        <v>12.703333333333331</v>
      </c>
      <c r="F52" s="401">
        <f>INDEX([5]MZ!E23:BL23,1,5*T!$A$4-4)</f>
        <v>24.3</v>
      </c>
      <c r="G52" s="402">
        <f>INDEX([5]MZ!F23:BM23,1,5*T!$A$4-4)</f>
        <v>6.9</v>
      </c>
      <c r="H52" s="403">
        <f t="shared" si="3"/>
        <v>-0.94333333333333513</v>
      </c>
      <c r="I52" s="422">
        <f>INDEX([6]MZ!D23:BK23,1,5*T!$A$4-4)</f>
        <v>13.646666666666667</v>
      </c>
      <c r="J52" s="401">
        <f>INDEX([6]MZ!E23:BL23,1,5*T!$A$4-4)</f>
        <v>18</v>
      </c>
      <c r="K52" s="404">
        <f>INDEX([6]MZ!F23:BM23,1,5*T!$A$4-4)</f>
        <v>6.9</v>
      </c>
    </row>
    <row r="53" spans="1:11" ht="15" customHeight="1" x14ac:dyDescent="0.2">
      <c r="A53" s="292"/>
      <c r="B53" s="268"/>
      <c r="C53" s="845" t="s">
        <v>180</v>
      </c>
      <c r="D53" s="846"/>
      <c r="E53" s="415">
        <f>INDEX([5]MZ!D24:BK24,1,5*T!$A$4-4)</f>
        <v>13.526666666666667</v>
      </c>
      <c r="F53" s="401">
        <f>INDEX([5]MZ!E24:BL24,1,5*T!$A$4-4)</f>
        <v>23.5</v>
      </c>
      <c r="G53" s="402">
        <f>INDEX([5]MZ!F24:BM24,1,5*T!$A$4-4)</f>
        <v>7.6</v>
      </c>
      <c r="H53" s="403">
        <f t="shared" si="3"/>
        <v>-0.7333333333333325</v>
      </c>
      <c r="I53" s="422">
        <f>INDEX([6]MZ!D24:BK24,1,5*T!$A$4-4)</f>
        <v>14.26</v>
      </c>
      <c r="J53" s="401">
        <f>INDEX([6]MZ!E24:BL24,1,5*T!$A$4-4)</f>
        <v>18.2</v>
      </c>
      <c r="K53" s="404">
        <f>INDEX([6]MZ!F24:BM24,1,5*T!$A$4-4)</f>
        <v>8</v>
      </c>
    </row>
    <row r="54" spans="1:11" ht="15" customHeight="1" x14ac:dyDescent="0.2">
      <c r="A54" s="292"/>
      <c r="B54" s="268"/>
      <c r="C54" s="847" t="s">
        <v>5</v>
      </c>
      <c r="D54" s="848"/>
      <c r="E54" s="416">
        <f>INDEX([5]MZ!D25:BK25,1,5*T!$A$4-4)</f>
        <v>13.526666666666667</v>
      </c>
      <c r="F54" s="405">
        <f>INDEX([5]MZ!E25:BL25,1,5*T!$A$4-4)</f>
        <v>23.5</v>
      </c>
      <c r="G54" s="406">
        <f>INDEX([5]MZ!F25:BM25,1,5*T!$A$4-4)</f>
        <v>7.6</v>
      </c>
      <c r="H54" s="407">
        <f t="shared" si="3"/>
        <v>-0.7333333333333325</v>
      </c>
      <c r="I54" s="423">
        <f>INDEX([6]MZ!D25:BK25,1,5*T!$A$4-4)</f>
        <v>14.26</v>
      </c>
      <c r="J54" s="405">
        <f>INDEX([6]MZ!E25:BL25,1,5*T!$A$4-4)</f>
        <v>18.2</v>
      </c>
      <c r="K54" s="408">
        <f>INDEX([6]MZ!F25:BM25,1,5*T!$A$4-4)</f>
        <v>8</v>
      </c>
    </row>
    <row r="55" spans="1:11" ht="15" customHeight="1" x14ac:dyDescent="0.2">
      <c r="A55" s="292"/>
      <c r="B55" s="268"/>
      <c r="C55" s="257"/>
      <c r="D55" s="376"/>
      <c r="E55" s="417"/>
      <c r="F55" s="377"/>
      <c r="G55" s="396"/>
      <c r="H55" s="399"/>
      <c r="I55" s="424"/>
      <c r="J55" s="377"/>
      <c r="K55" s="393"/>
    </row>
    <row r="56" spans="1:11" ht="15" customHeight="1" x14ac:dyDescent="0.2">
      <c r="A56" s="836"/>
      <c r="B56" s="836"/>
      <c r="C56" s="836"/>
      <c r="D56" s="297"/>
      <c r="E56" s="418"/>
      <c r="F56" s="174"/>
      <c r="G56" s="397"/>
      <c r="H56" s="400"/>
      <c r="I56" s="425"/>
      <c r="J56" s="299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C54:D54"/>
    <mergeCell ref="A56:C56"/>
    <mergeCell ref="I46:J46"/>
    <mergeCell ref="A49:B49"/>
    <mergeCell ref="C50:D50"/>
    <mergeCell ref="C51:D51"/>
    <mergeCell ref="C52:D52"/>
    <mergeCell ref="C53:D53"/>
    <mergeCell ref="A35:B35"/>
    <mergeCell ref="B38:B42"/>
    <mergeCell ref="A43:B43"/>
    <mergeCell ref="E43:F43"/>
    <mergeCell ref="H44:H47"/>
    <mergeCell ref="C46:D48"/>
    <mergeCell ref="E46:F46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topLeftCell="A4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 t="s">
        <v>265</v>
      </c>
      <c r="K1" s="827"/>
    </row>
    <row r="2" spans="1:17" ht="6.75" customHeight="1" x14ac:dyDescent="0.2"/>
    <row r="3" spans="1:17" ht="30" customHeight="1" x14ac:dyDescent="0.2">
      <c r="A3" s="835" t="s">
        <v>229</v>
      </c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 t="str">
        <f>T!G19</f>
        <v>Září</v>
      </c>
      <c r="E4" s="834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Září</v>
      </c>
      <c r="F7" s="265">
        <f>F4</f>
        <v>2015</v>
      </c>
      <c r="G7" s="265"/>
      <c r="H7" s="838"/>
      <c r="I7" s="280" t="str">
        <f>D4</f>
        <v>Září</v>
      </c>
      <c r="J7" s="260">
        <f>F4-1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40" t="s">
        <v>230</v>
      </c>
      <c r="B10" s="840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INDEX([2]Kraje!B3:AK3,1,3*T!$A$4-2)</f>
        <v>117</v>
      </c>
      <c r="E11" s="96">
        <f>INDEX([2]Kraje!C3:AL3,1,3*T!$A$4-2)</f>
        <v>8314.9360000000015</v>
      </c>
      <c r="F11" s="96">
        <f>INDEX([2]Kraje!D3:AM3,1,3*T!$A$4-2)</f>
        <v>88878.425999999992</v>
      </c>
      <c r="G11" s="334">
        <f>E11/$E$15</f>
        <v>0.67457465165029484</v>
      </c>
      <c r="H11" s="316">
        <f>(E11-I11)/I11</f>
        <v>0.24698819663723029</v>
      </c>
      <c r="I11" s="283">
        <f>INDEX([4]Kraje!C3:AL3,1,3*T!$A$4-2)</f>
        <v>6668.0150000000003</v>
      </c>
      <c r="J11" s="96">
        <f>INDEX([4]Kraje!D3:AM3,1,3*T!$A$4-2)</f>
        <v>70981.061000000002</v>
      </c>
      <c r="K11" s="352">
        <f>I11/$I$15</f>
        <v>0.54278955596446476</v>
      </c>
    </row>
    <row r="12" spans="1:17" ht="14.1" customHeight="1" x14ac:dyDescent="0.2">
      <c r="A12" s="95"/>
      <c r="B12" s="95"/>
      <c r="C12" s="257" t="s">
        <v>7</v>
      </c>
      <c r="D12" s="245">
        <f>INDEX([2]Kraje!B4:AK4,1,3*T!$A$4-2)</f>
        <v>312</v>
      </c>
      <c r="E12" s="96">
        <f>INDEX([2]Kraje!C4:AL4,1,3*T!$A$4-2)</f>
        <v>532.21799999999996</v>
      </c>
      <c r="F12" s="96">
        <f>INDEX([2]Kraje!D4:AM4,1,3*T!$A$4-2)</f>
        <v>5689.4993400000003</v>
      </c>
      <c r="G12" s="334">
        <f>E12/$E$15</f>
        <v>4.317781543381892E-2</v>
      </c>
      <c r="H12" s="316">
        <f>(E12-I12)/I12</f>
        <v>-0.63357753786478355</v>
      </c>
      <c r="I12" s="283">
        <f>INDEX([4]Kraje!C4:AL4,1,3*T!$A$4-2)</f>
        <v>1452.471</v>
      </c>
      <c r="J12" s="96">
        <f>INDEX([4]Kraje!D4:AM4,1,3*T!$A$4-2)</f>
        <v>15462.264979</v>
      </c>
      <c r="K12" s="352">
        <f>I12/$I$15</f>
        <v>0.11823400054457918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INDEX([2]Kraje!B5:AK5,1,3*T!$A$4-2)</f>
        <v>8553</v>
      </c>
      <c r="E13" s="96">
        <f>INDEX([2]Kraje!C5:AL5,1,3*T!$A$4-2)</f>
        <v>1122.461114</v>
      </c>
      <c r="F13" s="96">
        <f>INDEX([2]Kraje!D5:AM5,1,3*T!$A$4-2)</f>
        <v>11995.979798</v>
      </c>
      <c r="G13" s="334">
        <f>E13/$E$15</f>
        <v>9.1063095971821287E-2</v>
      </c>
      <c r="H13" s="316">
        <f t="shared" ref="H13:H15" si="0">(E13-I13)/I13</f>
        <v>-0.16302610875296838</v>
      </c>
      <c r="I13" s="283">
        <f>INDEX([4]Kraje!C5:AL5,1,3*T!$A$4-2)</f>
        <v>1341.0945379999998</v>
      </c>
      <c r="J13" s="96">
        <f>INDEX([4]Kraje!D5:AM5,1,3*T!$A$4-2)</f>
        <v>14276.39057</v>
      </c>
      <c r="K13" s="352">
        <f>I13/$I$15</f>
        <v>0.10916773714327112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INDEX([2]Kraje!B6:AK6,1,3*T!$A$4-2)</f>
        <v>97941</v>
      </c>
      <c r="E14" s="96">
        <f>INDEX([2]Kraje!C6:AL6,1,3*T!$A$4-2)</f>
        <v>2356.5758860000001</v>
      </c>
      <c r="F14" s="96">
        <f>INDEX([2]Kraje!D6:AM6,1,3*T!$A$4-2)</f>
        <v>25185.179201999999</v>
      </c>
      <c r="G14" s="334">
        <f>E14/$E$15</f>
        <v>0.19118443694406484</v>
      </c>
      <c r="H14" s="316">
        <f t="shared" si="0"/>
        <v>-0.16526261227723282</v>
      </c>
      <c r="I14" s="283">
        <f>INDEX([4]Kraje!C6:AL6,1,3*T!$A$4-2)</f>
        <v>2823.1344620000004</v>
      </c>
      <c r="J14" s="96">
        <f>INDEX([4]Kraje!D6:AM6,1,3*T!$A$4-2)</f>
        <v>30052.794429999998</v>
      </c>
      <c r="K14" s="352">
        <f>I14/$I$15</f>
        <v>0.22980870634768494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106923</v>
      </c>
      <c r="E15" s="251">
        <f>SUM(E11:E14)</f>
        <v>12326.191000000003</v>
      </c>
      <c r="F15" s="252">
        <f>SUM(F11:F14)</f>
        <v>131749.08434</v>
      </c>
      <c r="G15" s="336">
        <f>SUM(G11:G14)</f>
        <v>0.99999999999999989</v>
      </c>
      <c r="H15" s="318">
        <f t="shared" si="0"/>
        <v>3.3762281013440185E-3</v>
      </c>
      <c r="I15" s="286">
        <f>SUM(I11:I14)</f>
        <v>12284.715</v>
      </c>
      <c r="J15" s="252">
        <f>SUM(J11:J14)</f>
        <v>130772.510979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21" ht="12.95" customHeight="1" x14ac:dyDescent="0.2">
      <c r="A17" s="840" t="s">
        <v>231</v>
      </c>
      <c r="B17" s="840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21" ht="14.1" customHeight="1" x14ac:dyDescent="0.2">
      <c r="A18" s="95"/>
      <c r="B18" s="95"/>
      <c r="C18" s="257" t="s">
        <v>6</v>
      </c>
      <c r="D18" s="245">
        <f>INDEX([2]Kraje!B9:AK9,1,3*T!$A$4-2)</f>
        <v>189</v>
      </c>
      <c r="E18" s="96">
        <f>INDEX([2]Kraje!C9:AL9,1,3*T!$A$4-2)</f>
        <v>21034.2</v>
      </c>
      <c r="F18" s="96">
        <f>INDEX([2]Kraje!D9:AM9,1,3*T!$A$4-2)</f>
        <v>225023.89578999983</v>
      </c>
      <c r="G18" s="334">
        <f>E18/$E$22</f>
        <v>0.55182817250959537</v>
      </c>
      <c r="H18" s="316">
        <f>(E18-I18)/I18</f>
        <v>-3.7675510232092119E-2</v>
      </c>
      <c r="I18" s="283">
        <f>INDEX([4]Kraje!C9:AL9,1,3*T!$A$4-2)</f>
        <v>21857.7</v>
      </c>
      <c r="J18" s="96">
        <f>INDEX([4]Kraje!D9:AM9,1,3*T!$A$4-2)</f>
        <v>232837.49847799994</v>
      </c>
      <c r="K18" s="352">
        <f>I18/$I$22</f>
        <v>0.56441925321489439</v>
      </c>
      <c r="L18" s="284"/>
      <c r="M18" s="284"/>
      <c r="N18" s="284"/>
    </row>
    <row r="19" spans="1:21" ht="14.1" customHeight="1" x14ac:dyDescent="0.2">
      <c r="A19" s="95"/>
      <c r="B19" s="95"/>
      <c r="C19" s="257" t="s">
        <v>7</v>
      </c>
      <c r="D19" s="245">
        <f>INDEX([2]Kraje!B10:AK10,1,3*T!$A$4-2)</f>
        <v>941</v>
      </c>
      <c r="E19" s="96">
        <f>INDEX([2]Kraje!C10:AL10,1,3*T!$A$4-2)</f>
        <v>4862.3999999999996</v>
      </c>
      <c r="F19" s="96">
        <f>INDEX([2]Kraje!D10:AM10,1,3*T!$A$4-2)</f>
        <v>52017.348690000057</v>
      </c>
      <c r="G19" s="334">
        <f t="shared" ref="G19:G20" si="1">E19/$E$22</f>
        <v>0.12756412442644152</v>
      </c>
      <c r="H19" s="316">
        <f>(E19-I19)/I19</f>
        <v>-3.0754090294009104E-3</v>
      </c>
      <c r="I19" s="283">
        <f>INDEX([4]Kraje!C10:AL10,1,3*T!$A$4-2)</f>
        <v>4877.3999999999996</v>
      </c>
      <c r="J19" s="96">
        <f>INDEX([4]Kraje!D10:AM10,1,3*T!$A$4-2)</f>
        <v>51955.952217999969</v>
      </c>
      <c r="K19" s="352">
        <f t="shared" ref="K19:K21" si="2">I19/$I$22</f>
        <v>0.12594639260445178</v>
      </c>
      <c r="L19" s="287"/>
      <c r="M19" s="287"/>
      <c r="N19" s="284"/>
    </row>
    <row r="20" spans="1:21" ht="14.1" customHeight="1" x14ac:dyDescent="0.2">
      <c r="A20" s="292"/>
      <c r="B20" s="268"/>
      <c r="C20" s="257" t="s">
        <v>8</v>
      </c>
      <c r="D20" s="245">
        <f>INDEX([2]Kraje!B11:AK11,1,3*T!$A$4-2)</f>
        <v>23769</v>
      </c>
      <c r="E20" s="96">
        <f>INDEX([2]Kraje!C11:AL11,1,3*T!$A$4-2)</f>
        <v>3273.7</v>
      </c>
      <c r="F20" s="96">
        <f>INDEX([2]Kraje!D11:AM11,1,3*T!$A$4-2)</f>
        <v>35021.599999999999</v>
      </c>
      <c r="G20" s="334">
        <f t="shared" si="1"/>
        <v>8.5884886914865413E-2</v>
      </c>
      <c r="H20" s="316">
        <f t="shared" ref="H20:H22" si="3">(E20-I20)/I20</f>
        <v>8.5025107051538498E-3</v>
      </c>
      <c r="I20" s="283">
        <f>INDEX([4]Kraje!C11:AL11,1,3*T!$A$4-2)</f>
        <v>3246.1</v>
      </c>
      <c r="J20" s="96">
        <f>INDEX([4]Kraje!D11:AM11,1,3*T!$A$4-2)</f>
        <v>34579.1</v>
      </c>
      <c r="K20" s="352">
        <f>I20/$I$22</f>
        <v>8.3822238289521248E-2</v>
      </c>
      <c r="L20" s="284"/>
      <c r="M20" s="284"/>
      <c r="N20" s="284"/>
      <c r="O20" s="284"/>
      <c r="P20" s="284"/>
    </row>
    <row r="21" spans="1:21" ht="14.1" customHeight="1" x14ac:dyDescent="0.2">
      <c r="A21" s="292"/>
      <c r="B21" s="268"/>
      <c r="C21" s="257" t="s">
        <v>9</v>
      </c>
      <c r="D21" s="245">
        <f>INDEX([2]Kraje!B12:AK12,1,3*T!$A$4-2)</f>
        <v>361100</v>
      </c>
      <c r="E21" s="96">
        <f>INDEX([2]Kraje!C12:AL12,1,3*T!$A$4-2)</f>
        <v>8947</v>
      </c>
      <c r="F21" s="96">
        <f>INDEX([2]Kraje!D12:AM12,1,3*T!$A$4-2)</f>
        <v>95715.199999999997</v>
      </c>
      <c r="G21" s="334">
        <f>E21/$E$22</f>
        <v>0.23472281614909762</v>
      </c>
      <c r="H21" s="316">
        <f t="shared" si="3"/>
        <v>2.3122312688683647E-2</v>
      </c>
      <c r="I21" s="283">
        <f>INDEX([4]Kraje!C12:AL12,1,3*T!$A$4-2)</f>
        <v>8744.7999999999993</v>
      </c>
      <c r="J21" s="96">
        <f>INDEX([4]Kraje!D12:AM12,1,3*T!$A$4-2)</f>
        <v>93153.1</v>
      </c>
      <c r="K21" s="352">
        <f t="shared" si="2"/>
        <v>0.22581211589113256</v>
      </c>
      <c r="L21" s="284"/>
      <c r="M21" s="284"/>
      <c r="N21" s="284"/>
      <c r="O21" s="284"/>
      <c r="P21" s="284"/>
    </row>
    <row r="22" spans="1:21" ht="14.1" customHeight="1" x14ac:dyDescent="0.2">
      <c r="A22" s="292"/>
      <c r="B22" s="268"/>
      <c r="C22" s="259" t="s">
        <v>2</v>
      </c>
      <c r="D22" s="253">
        <f>SUM(D18:D21)</f>
        <v>385999</v>
      </c>
      <c r="E22" s="251">
        <f>SUM(E18:E21)</f>
        <v>38117.300000000003</v>
      </c>
      <c r="F22" s="252">
        <f>SUM(F18:F21)</f>
        <v>407778.04447999987</v>
      </c>
      <c r="G22" s="336">
        <f>SUM(G18:G21)</f>
        <v>0.99999999999999989</v>
      </c>
      <c r="H22" s="318">
        <f t="shared" si="3"/>
        <v>-1.5718122191809045E-2</v>
      </c>
      <c r="I22" s="286">
        <f>SUM(I18:I21)</f>
        <v>38726</v>
      </c>
      <c r="J22" s="252">
        <f>SUM(J18:J21)</f>
        <v>412525.65069599985</v>
      </c>
      <c r="K22" s="354">
        <f>SUM(K18:K21)</f>
        <v>1</v>
      </c>
      <c r="L22" s="284"/>
      <c r="M22" s="284"/>
      <c r="N22" s="284"/>
      <c r="O22" s="284"/>
      <c r="P22" s="284"/>
    </row>
    <row r="23" spans="1:21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21" ht="12.95" customHeight="1" x14ac:dyDescent="0.2">
      <c r="A24" s="840" t="s">
        <v>232</v>
      </c>
      <c r="B24" s="840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21" ht="14.1" customHeight="1" x14ac:dyDescent="0.2">
      <c r="A25" s="95"/>
      <c r="B25" s="95"/>
      <c r="C25" s="257" t="s">
        <v>6</v>
      </c>
      <c r="D25" s="245">
        <f>INDEX([2]Kraje!B15:AK15,1,3*T!$A$4-2)</f>
        <v>51</v>
      </c>
      <c r="E25" s="96">
        <f>INDEX([2]Kraje!C15:AL15,1,3*T!$A$4-2)</f>
        <v>7623.3</v>
      </c>
      <c r="F25" s="96">
        <f>INDEX([2]Kraje!D15:AM15,1,3*T!$A$4-2)</f>
        <v>81554.39694999998</v>
      </c>
      <c r="G25" s="334">
        <f>E25/$E$29</f>
        <v>0.71219835760797467</v>
      </c>
      <c r="H25" s="316">
        <f>(E25-I25)/I25</f>
        <v>1.4127788641896451E-2</v>
      </c>
      <c r="I25" s="283">
        <f>INDEX([4]Kraje!C15:AL15,1,3*T!$A$4-2)</f>
        <v>7517.1</v>
      </c>
      <c r="J25" s="96">
        <f>INDEX([4]Kraje!D15:AM15,1,3*T!$A$4-2)</f>
        <v>80075.514179999998</v>
      </c>
      <c r="K25" s="352">
        <f>I25/$I$29</f>
        <v>0.72135536619069551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7" t="s">
        <v>7</v>
      </c>
      <c r="D26" s="245">
        <f>INDEX([2]Kraje!B16:AK16,1,3*T!$A$4-2)</f>
        <v>193</v>
      </c>
      <c r="E26" s="96">
        <f>INDEX([2]Kraje!C16:AL16,1,3*T!$A$4-2)</f>
        <v>1193.5</v>
      </c>
      <c r="F26" s="96">
        <f>INDEX([2]Kraje!D16:AM16,1,3*T!$A$4-2)</f>
        <v>12768.458299999989</v>
      </c>
      <c r="G26" s="334">
        <f t="shared" ref="G26:G28" si="4">E26/$E$29</f>
        <v>0.11150141537196723</v>
      </c>
      <c r="H26" s="316">
        <f t="shared" ref="H26:H29" si="5">(E26-I26)/I26</f>
        <v>0.16359559325338788</v>
      </c>
      <c r="I26" s="283">
        <f>INDEX([4]Kraje!C16:AL16,1,3*T!$A$4-2)</f>
        <v>1025.7</v>
      </c>
      <c r="J26" s="96">
        <f>INDEX([4]Kraje!D16:AM16,1,3*T!$A$4-2)</f>
        <v>10926.613411999993</v>
      </c>
      <c r="K26" s="352">
        <f t="shared" ref="K26:K27" si="6">I26/$I$29</f>
        <v>9.8428143712574842E-2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2"/>
      <c r="B27" s="268"/>
      <c r="C27" s="257" t="s">
        <v>8</v>
      </c>
      <c r="D27" s="245">
        <f>INDEX([2]Kraje!B17:AK17,1,3*T!$A$4-2)</f>
        <v>5963</v>
      </c>
      <c r="E27" s="96">
        <f>INDEX([2]Kraje!C17:AL17,1,3*T!$A$4-2)</f>
        <v>786</v>
      </c>
      <c r="F27" s="96">
        <f>INDEX([2]Kraje!D17:AM17,1,3*T!$A$4-2)</f>
        <v>8408.2000000000007</v>
      </c>
      <c r="G27" s="334">
        <f t="shared" si="4"/>
        <v>7.3431179289791579E-2</v>
      </c>
      <c r="H27" s="316">
        <f t="shared" si="5"/>
        <v>-6.8233510235026253E-3</v>
      </c>
      <c r="I27" s="283">
        <f>INDEX([4]Kraje!C17:AL17,1,3*T!$A$4-2)</f>
        <v>791.4</v>
      </c>
      <c r="J27" s="96">
        <f>INDEX([4]Kraje!D17:AM17,1,3*T!$A$4-2)</f>
        <v>8430.6</v>
      </c>
      <c r="K27" s="352">
        <f t="shared" si="6"/>
        <v>7.5944265315522785E-2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2"/>
      <c r="B28" s="268"/>
      <c r="C28" s="257" t="s">
        <v>9</v>
      </c>
      <c r="D28" s="245">
        <f>INDEX([2]Kraje!B18:AK18,1,3*T!$A$4-2)</f>
        <v>79812</v>
      </c>
      <c r="E28" s="96">
        <f>INDEX([2]Kraje!C18:AL18,1,3*T!$A$4-2)</f>
        <v>1101.0999999999999</v>
      </c>
      <c r="F28" s="96">
        <f>INDEX([2]Kraje!D18:AM18,1,3*T!$A$4-2)</f>
        <v>11779.1</v>
      </c>
      <c r="G28" s="334">
        <f t="shared" si="4"/>
        <v>0.10286904773026653</v>
      </c>
      <c r="H28" s="316">
        <f t="shared" si="5"/>
        <v>1.3344376955641451E-2</v>
      </c>
      <c r="I28" s="283">
        <f>INDEX([4]Kraje!C18:AL18,1,3*T!$A$4-2)</f>
        <v>1086.5999999999999</v>
      </c>
      <c r="J28" s="96">
        <f>INDEX([4]Kraje!D18:AM18,1,3*T!$A$4-2)</f>
        <v>11574.5</v>
      </c>
      <c r="K28" s="352">
        <f>I28/$I$29</f>
        <v>0.1042722247812068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2"/>
      <c r="B29" s="268"/>
      <c r="C29" s="259" t="s">
        <v>2</v>
      </c>
      <c r="D29" s="253">
        <f>SUM(D25:D28)</f>
        <v>86019</v>
      </c>
      <c r="E29" s="251">
        <f>SUM(E25:E28)</f>
        <v>10703.9</v>
      </c>
      <c r="F29" s="252">
        <f>SUM(F25:F28)</f>
        <v>114510.15524999997</v>
      </c>
      <c r="G29" s="336">
        <f>SUM(G25:G28)</f>
        <v>1</v>
      </c>
      <c r="H29" s="318">
        <f t="shared" si="5"/>
        <v>2.716682020574222E-2</v>
      </c>
      <c r="I29" s="286">
        <f>SUM(I25:I28)</f>
        <v>10420.800000000001</v>
      </c>
      <c r="J29" s="252">
        <f>SUM(J25:J28)</f>
        <v>111007.227592</v>
      </c>
      <c r="K29" s="354">
        <f>SUM(K25:K28)</f>
        <v>0.99999999999999989</v>
      </c>
    </row>
    <row r="30" spans="1:21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21" ht="12.95" customHeight="1" x14ac:dyDescent="0.2">
      <c r="A31" s="840" t="s">
        <v>233</v>
      </c>
      <c r="B31" s="840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21" ht="14.1" customHeight="1" x14ac:dyDescent="0.2">
      <c r="A32" s="95"/>
      <c r="B32" s="95"/>
      <c r="C32" s="257" t="s">
        <v>6</v>
      </c>
      <c r="D32" s="245">
        <f>INDEX([2]Kraje!B21:AK21,1,3*T!$A$4-2)</f>
        <v>81</v>
      </c>
      <c r="E32" s="96">
        <f>INDEX([2]Kraje!C21:AL21,1,3*T!$A$4-2)</f>
        <v>8541.1</v>
      </c>
      <c r="F32" s="96">
        <f>INDEX([2]Kraje!D21:AM21,1,3*T!$A$4-2)</f>
        <v>91372.807049999989</v>
      </c>
      <c r="G32" s="334">
        <f>E32/$E$36</f>
        <v>0.63937089215935805</v>
      </c>
      <c r="H32" s="316">
        <f>(E32-I32)/I32</f>
        <v>-3.2980843258910292E-2</v>
      </c>
      <c r="I32" s="283">
        <f>INDEX([4]Kraje!C21:AL21,1,3*T!$A$4-2)</f>
        <v>8832.4</v>
      </c>
      <c r="J32" s="96">
        <f>INDEX([4]Kraje!D21:AM21,1,3*T!$A$4-2)</f>
        <v>94086.045363999991</v>
      </c>
      <c r="K32" s="352">
        <f>I32/$I$36</f>
        <v>0.63886236727135959</v>
      </c>
    </row>
    <row r="33" spans="1:11" ht="14.1" customHeight="1" x14ac:dyDescent="0.2">
      <c r="A33" s="95"/>
      <c r="B33" s="95"/>
      <c r="C33" s="257" t="s">
        <v>7</v>
      </c>
      <c r="D33" s="245">
        <f>INDEX([2]Kraje!B22:AK22,1,3*T!$A$4-2)</f>
        <v>259</v>
      </c>
      <c r="E33" s="96">
        <f>INDEX([2]Kraje!C22:AL22,1,3*T!$A$4-2)</f>
        <v>1216.2</v>
      </c>
      <c r="F33" s="96">
        <f>INDEX([2]Kraje!D22:AM22,1,3*T!$A$4-2)</f>
        <v>13011.152239999999</v>
      </c>
      <c r="G33" s="334">
        <f t="shared" ref="G33:G35" si="7">E33/$E$36</f>
        <v>9.1042474510802038E-2</v>
      </c>
      <c r="H33" s="316">
        <f t="shared" ref="H33:H36" si="8">(E33-I33)/I33</f>
        <v>-2.1560740144810905E-2</v>
      </c>
      <c r="I33" s="283">
        <f>INDEX([4]Kraje!C22:AL22,1,3*T!$A$4-2)</f>
        <v>1243</v>
      </c>
      <c r="J33" s="96">
        <f>INDEX([4]Kraje!D22:AM22,1,3*T!$A$4-2)</f>
        <v>13241.107863000007</v>
      </c>
      <c r="K33" s="352">
        <f t="shared" ref="K33:K35" si="9">I33/$I$36</f>
        <v>8.9908283424471269E-2</v>
      </c>
    </row>
    <row r="34" spans="1:11" ht="14.1" customHeight="1" x14ac:dyDescent="0.2">
      <c r="A34" s="292"/>
      <c r="B34" s="268"/>
      <c r="C34" s="257" t="s">
        <v>8</v>
      </c>
      <c r="D34" s="245">
        <f>INDEX([2]Kraje!B23:AK23,1,3*T!$A$4-2)</f>
        <v>9389</v>
      </c>
      <c r="E34" s="96">
        <f>INDEX([2]Kraje!C23:AL23,1,3*T!$A$4-2)</f>
        <v>1233.3</v>
      </c>
      <c r="F34" s="96">
        <f>INDEX([2]Kraje!D23:AM23,1,3*T!$A$4-2)</f>
        <v>13193.7</v>
      </c>
      <c r="G34" s="334">
        <f t="shared" si="7"/>
        <v>9.2322548770080698E-2</v>
      </c>
      <c r="H34" s="316">
        <f t="shared" si="8"/>
        <v>-5.4507819687212612E-2</v>
      </c>
      <c r="I34" s="283">
        <f>INDEX([4]Kraje!C23:AL23,1,3*T!$A$4-2)</f>
        <v>1304.4000000000001</v>
      </c>
      <c r="J34" s="96">
        <f>INDEX([4]Kraje!D23:AM23,1,3*T!$A$4-2)</f>
        <v>13895.4</v>
      </c>
      <c r="K34" s="352">
        <f t="shared" si="9"/>
        <v>9.4349448832566629E-2</v>
      </c>
    </row>
    <row r="35" spans="1:11" ht="14.1" customHeight="1" x14ac:dyDescent="0.2">
      <c r="A35" s="292"/>
      <c r="B35" s="268"/>
      <c r="C35" s="257" t="s">
        <v>9</v>
      </c>
      <c r="D35" s="245">
        <f>INDEX([2]Kraje!B24:AK24,1,3*T!$A$4-2)</f>
        <v>108622</v>
      </c>
      <c r="E35" s="96">
        <f>INDEX([2]Kraje!C24:AL24,1,3*T!$A$4-2)</f>
        <v>2368</v>
      </c>
      <c r="F35" s="96">
        <f>INDEX([2]Kraje!D24:AM24,1,3*T!$A$4-2)</f>
        <v>25332.799999999999</v>
      </c>
      <c r="G35" s="334">
        <f t="shared" si="7"/>
        <v>0.17726408455975926</v>
      </c>
      <c r="H35" s="316">
        <f t="shared" si="8"/>
        <v>-3.1651263596957586E-2</v>
      </c>
      <c r="I35" s="283">
        <f>INDEX([4]Kraje!C24:AL24,1,3*T!$A$4-2)</f>
        <v>2445.4</v>
      </c>
      <c r="J35" s="96">
        <f>INDEX([4]Kraje!D24:AM24,1,3*T!$A$4-2)</f>
        <v>26049.1</v>
      </c>
      <c r="K35" s="352">
        <f t="shared" si="9"/>
        <v>0.1768799004716026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118351</v>
      </c>
      <c r="E36" s="251">
        <f>SUM(E32:E35)</f>
        <v>13358.6</v>
      </c>
      <c r="F36" s="252">
        <f>SUM(F32:F35)</f>
        <v>142910.45928999997</v>
      </c>
      <c r="G36" s="336">
        <f>SUM(G32:G35)</f>
        <v>1</v>
      </c>
      <c r="H36" s="318">
        <f t="shared" si="8"/>
        <v>-3.3749963834157813E-2</v>
      </c>
      <c r="I36" s="286">
        <f>SUM(I32:I35)</f>
        <v>13825.199999999999</v>
      </c>
      <c r="J36" s="252">
        <f>SUM(J32:J35)</f>
        <v>147271.653227</v>
      </c>
      <c r="K36" s="354">
        <f>SUM(K32:K35)</f>
        <v>1.0000000000000002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40" t="s">
        <v>234</v>
      </c>
      <c r="B38" s="840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INDEX([2]Kraje!B27:AK27,1,3*T!$A$4-2)</f>
        <v>93</v>
      </c>
      <c r="E39" s="96">
        <f>INDEX([2]Kraje!C27:AL27,1,3*T!$A$4-2)</f>
        <v>9571.7999999999993</v>
      </c>
      <c r="F39" s="96">
        <f>INDEX([2]Kraje!D27:AM27,1,3*T!$A$4-2)</f>
        <v>102399.38298000001</v>
      </c>
      <c r="G39" s="334">
        <f>E39/$E$43</f>
        <v>0.66150645832325472</v>
      </c>
      <c r="H39" s="316">
        <f>(E39-I39)/I39</f>
        <v>2.9989992575136272E-2</v>
      </c>
      <c r="I39" s="283">
        <f>INDEX([4]Kraje!C27:AL27,1,3*T!$A$4-2)</f>
        <v>9293.1</v>
      </c>
      <c r="J39" s="96">
        <f>INDEX([4]Kraje!D27:AM27,1,3*T!$A$4-2)</f>
        <v>98993.797174999971</v>
      </c>
      <c r="K39" s="352">
        <f>I39/$I$43</f>
        <v>0.66958958987808737</v>
      </c>
    </row>
    <row r="40" spans="1:11" ht="14.1" customHeight="1" x14ac:dyDescent="0.2">
      <c r="A40" s="95"/>
      <c r="B40" s="95"/>
      <c r="C40" s="257" t="s">
        <v>7</v>
      </c>
      <c r="D40" s="245">
        <f>INDEX([2]Kraje!B28:AK28,1,3*T!$A$4-2)</f>
        <v>302</v>
      </c>
      <c r="E40" s="96">
        <f>INDEX([2]Kraje!C28:AL28,1,3*T!$A$4-2)</f>
        <v>1876.7</v>
      </c>
      <c r="F40" s="96">
        <f>INDEX([2]Kraje!D28:AM28,1,3*T!$A$4-2)</f>
        <v>20076.424780000012</v>
      </c>
      <c r="G40" s="334">
        <f>E40/$E$43</f>
        <v>0.12969861158144261</v>
      </c>
      <c r="H40" s="316">
        <f t="shared" ref="H40:H43" si="10">(E40-I40)/I40</f>
        <v>0.16935634618979373</v>
      </c>
      <c r="I40" s="283">
        <f>INDEX([4]Kraje!C28:AL28,1,3*T!$A$4-2)</f>
        <v>1604.9</v>
      </c>
      <c r="J40" s="96">
        <f>INDEX([4]Kraje!D28:AM28,1,3*T!$A$4-2)</f>
        <v>17096.367576000001</v>
      </c>
      <c r="K40" s="352">
        <f t="shared" ref="K40:K41" si="11">I40/$I$43</f>
        <v>0.11563679857048159</v>
      </c>
    </row>
    <row r="41" spans="1:11" ht="14.1" customHeight="1" x14ac:dyDescent="0.2">
      <c r="A41" s="292"/>
      <c r="B41" s="268"/>
      <c r="C41" s="257" t="s">
        <v>8</v>
      </c>
      <c r="D41" s="245">
        <f>INDEX([2]Kraje!B29:AK29,1,3*T!$A$4-2)</f>
        <v>8513</v>
      </c>
      <c r="E41" s="96">
        <f>INDEX([2]Kraje!C29:AL29,1,3*T!$A$4-2)</f>
        <v>1225</v>
      </c>
      <c r="F41" s="96">
        <f>INDEX([2]Kraje!D29:AM29,1,3*T!$A$4-2)</f>
        <v>13105.2</v>
      </c>
      <c r="G41" s="334">
        <f t="shared" ref="G41:G42" si="12">E41/$E$43</f>
        <v>8.4659668134100904E-2</v>
      </c>
      <c r="H41" s="316">
        <f t="shared" si="10"/>
        <v>4.9160671462829819E-2</v>
      </c>
      <c r="I41" s="283">
        <f>INDEX([4]Kraje!C29:AL29,1,3*T!$A$4-2)</f>
        <v>1167.5999999999999</v>
      </c>
      <c r="J41" s="96">
        <f>INDEX([4]Kraje!D29:AM29,1,3*T!$A$4-2)</f>
        <v>12437.3</v>
      </c>
      <c r="K41" s="352">
        <f t="shared" si="11"/>
        <v>8.4128310804968714E-2</v>
      </c>
    </row>
    <row r="42" spans="1:11" ht="14.1" customHeight="1" x14ac:dyDescent="0.2">
      <c r="A42" s="292"/>
      <c r="B42" s="268"/>
      <c r="C42" s="257" t="s">
        <v>9</v>
      </c>
      <c r="D42" s="245">
        <f>INDEX([2]Kraje!B30:AK30,1,3*T!$A$4-2)</f>
        <v>83587</v>
      </c>
      <c r="E42" s="96">
        <f>INDEX([2]Kraje!C30:AL30,1,3*T!$A$4-2)</f>
        <v>1796.2</v>
      </c>
      <c r="F42" s="96">
        <f>INDEX([2]Kraje!D30:AM30,1,3*T!$A$4-2)</f>
        <v>19215.2</v>
      </c>
      <c r="G42" s="334">
        <f t="shared" si="12"/>
        <v>0.12413526196120168</v>
      </c>
      <c r="H42" s="316">
        <f t="shared" si="10"/>
        <v>-9.3756893889256569E-3</v>
      </c>
      <c r="I42" s="283">
        <f>INDEX([4]Kraje!C30:AL30,1,3*T!$A$4-2)</f>
        <v>1813.2</v>
      </c>
      <c r="J42" s="96">
        <f>INDEX([4]Kraje!D30:AM30,1,3*T!$A$4-2)</f>
        <v>19314.8</v>
      </c>
      <c r="K42" s="352">
        <f>I42/$I$43</f>
        <v>0.13064530074646222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92495</v>
      </c>
      <c r="E43" s="251">
        <f>SUM(E39:E42)</f>
        <v>14469.7</v>
      </c>
      <c r="F43" s="252">
        <f>SUM(F39:F42)</f>
        <v>154796.20776000005</v>
      </c>
      <c r="G43" s="336">
        <f>SUM(G39:G42)</f>
        <v>0.99999999999999989</v>
      </c>
      <c r="H43" s="318">
        <f t="shared" si="10"/>
        <v>4.2575727008098654E-2</v>
      </c>
      <c r="I43" s="286">
        <f>SUM(I39:I42)</f>
        <v>13878.800000000001</v>
      </c>
      <c r="J43" s="252">
        <f>SUM(J39:J42)</f>
        <v>147842.26475099998</v>
      </c>
      <c r="K43" s="354">
        <f>SUM(K39:K42)</f>
        <v>0.99999999999999989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40" t="s">
        <v>235</v>
      </c>
      <c r="B45" s="840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INDEX([2]Kraje!B33:AK33,1,3*T!$A$4-2)</f>
        <v>134</v>
      </c>
      <c r="E46" s="96">
        <f>INDEX([2]Kraje!C33:AL33,1,3*T!$A$4-2)</f>
        <v>39097</v>
      </c>
      <c r="F46" s="96">
        <f>INDEX([2]Kraje!D33:AM33,1,3*T!$A$4-2)</f>
        <v>418074.47353999992</v>
      </c>
      <c r="G46" s="334">
        <f>E46/$E$50</f>
        <v>0.79268567876881724</v>
      </c>
      <c r="H46" s="316">
        <f>(E46-I46)/I46</f>
        <v>4.390337679259447E-2</v>
      </c>
      <c r="I46" s="283">
        <f>INDEX([4]Kraje!C33:AL33,1,3*T!$A$4-2)</f>
        <v>37452.699999999997</v>
      </c>
      <c r="J46" s="96">
        <f>INDEX([4]Kraje!D33:AM33,1,3*T!$A$4-2)</f>
        <v>398828.67629000015</v>
      </c>
      <c r="K46" s="352">
        <f>I46/$I$50</f>
        <v>0.78115334054654006</v>
      </c>
    </row>
    <row r="47" spans="1:11" ht="14.1" customHeight="1" x14ac:dyDescent="0.2">
      <c r="A47" s="95"/>
      <c r="B47" s="95"/>
      <c r="C47" s="257" t="s">
        <v>7</v>
      </c>
      <c r="D47" s="245">
        <f>INDEX([2]Kraje!B34:AK34,1,3*T!$A$4-2)</f>
        <v>481</v>
      </c>
      <c r="E47" s="96">
        <f>INDEX([2]Kraje!C34:AL34,1,3*T!$A$4-2)</f>
        <v>2693.4</v>
      </c>
      <c r="F47" s="96">
        <f>INDEX([2]Kraje!D34:AM34,1,3*T!$A$4-2)</f>
        <v>28796.464299999989</v>
      </c>
      <c r="G47" s="334">
        <f t="shared" ref="G47:G49" si="13">E47/$E$50</f>
        <v>5.4608271918457491E-2</v>
      </c>
      <c r="H47" s="316">
        <f t="shared" ref="H47:H50" si="14">(E47-I47)/I47</f>
        <v>1.4463276836158227E-2</v>
      </c>
      <c r="I47" s="283">
        <f>INDEX([4]Kraje!C34:AL34,1,3*T!$A$4-2)</f>
        <v>2655</v>
      </c>
      <c r="J47" s="96">
        <f>INDEX([4]Kraje!D34:AM34,1,3*T!$A$4-2)</f>
        <v>28270.791609000007</v>
      </c>
      <c r="K47" s="352">
        <f t="shared" ref="K47:K49" si="15">I47/$I$50</f>
        <v>5.5375503479083328E-2</v>
      </c>
    </row>
    <row r="48" spans="1:11" ht="14.1" customHeight="1" x14ac:dyDescent="0.2">
      <c r="A48" s="292"/>
      <c r="B48" s="268"/>
      <c r="C48" s="257" t="s">
        <v>8</v>
      </c>
      <c r="D48" s="245">
        <f>INDEX([2]Kraje!B35:AK35,1,3*T!$A$4-2)</f>
        <v>17960</v>
      </c>
      <c r="E48" s="96">
        <f>INDEX([2]Kraje!C35:AL35,1,3*T!$A$4-2)</f>
        <v>2265.6979999999999</v>
      </c>
      <c r="F48" s="96">
        <f>INDEX([2]Kraje!D35:AM35,1,3*T!$A$4-2)</f>
        <v>24244.719999999998</v>
      </c>
      <c r="G48" s="334">
        <f t="shared" si="13"/>
        <v>4.5936679464285028E-2</v>
      </c>
      <c r="H48" s="316">
        <f t="shared" si="14"/>
        <v>-5.0255953668445819E-2</v>
      </c>
      <c r="I48" s="283">
        <f>INDEX([4]Kraje!C35:AL35,1,3*T!$A$4-2)</f>
        <v>2385.5880000000002</v>
      </c>
      <c r="J48" s="96">
        <f>INDEX([4]Kraje!D35:AM35,1,3*T!$A$4-2)</f>
        <v>25408.508000000002</v>
      </c>
      <c r="K48" s="352">
        <f t="shared" si="15"/>
        <v>4.9756360298930116E-2</v>
      </c>
    </row>
    <row r="49" spans="1:11" ht="14.1" customHeight="1" x14ac:dyDescent="0.2">
      <c r="A49" s="292"/>
      <c r="B49" s="268"/>
      <c r="C49" s="257" t="s">
        <v>9</v>
      </c>
      <c r="D49" s="245">
        <f>INDEX([2]Kraje!B36:AK36,1,3*T!$A$4-2)</f>
        <v>366345</v>
      </c>
      <c r="E49" s="96">
        <f>INDEX([2]Kraje!C36:AL36,1,3*T!$A$4-2)</f>
        <v>5266.1</v>
      </c>
      <c r="F49" s="96">
        <f>INDEX([2]Kraje!D36:AM36,1,3*T!$A$4-2)</f>
        <v>56337.1</v>
      </c>
      <c r="G49" s="334">
        <f t="shared" si="13"/>
        <v>0.10676936984844027</v>
      </c>
      <c r="H49" s="316">
        <f t="shared" si="14"/>
        <v>-3.4115295023935732E-2</v>
      </c>
      <c r="I49" s="283">
        <f>INDEX([4]Kraje!C36:AL36,1,3*T!$A$4-2)</f>
        <v>5452.1</v>
      </c>
      <c r="J49" s="96">
        <f>INDEX([4]Kraje!D36:AM36,1,3*T!$A$4-2)</f>
        <v>58077.7</v>
      </c>
      <c r="K49" s="352">
        <f t="shared" si="15"/>
        <v>0.11371479567544641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384920</v>
      </c>
      <c r="E50" s="251">
        <f>SUM(E46:E49)</f>
        <v>49322.197999999997</v>
      </c>
      <c r="F50" s="252">
        <f>SUM(F46:F49)</f>
        <v>527452.75783999986</v>
      </c>
      <c r="G50" s="336">
        <f>SUM(G46:G49)</f>
        <v>1</v>
      </c>
      <c r="H50" s="318">
        <f t="shared" si="14"/>
        <v>2.8716213538620184E-2</v>
      </c>
      <c r="I50" s="286">
        <f>SUM(I46:I49)</f>
        <v>47945.387999999999</v>
      </c>
      <c r="J50" s="252">
        <f>SUM(J46:J49)</f>
        <v>510585.6758990002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40" t="s">
        <v>236</v>
      </c>
      <c r="B52" s="840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INDEX([2]Kraje!B39:AK39,1,3*T!$A$4-2)</f>
        <v>109</v>
      </c>
      <c r="E53" s="96">
        <f>INDEX([2]Kraje!C39:AL39,1,3*T!$A$4-2)</f>
        <v>11445.6</v>
      </c>
      <c r="F53" s="96">
        <f>INDEX([2]Kraje!D39:AM39,1,3*T!$A$4-2)</f>
        <v>122445.10243000003</v>
      </c>
      <c r="G53" s="334">
        <f>E53/$E$57</f>
        <v>0.6220333364129933</v>
      </c>
      <c r="H53" s="316">
        <f>(E53-I53)/I53</f>
        <v>-5.4520222045995242E-2</v>
      </c>
      <c r="I53" s="283">
        <f>INDEX([4]Kraje!C39:AL39,1,3*T!$A$4-2)</f>
        <v>12105.6</v>
      </c>
      <c r="J53" s="96">
        <f>INDEX([4]Kraje!D39:AM39,1,3*T!$A$4-2)</f>
        <v>128954.08596199995</v>
      </c>
      <c r="K53" s="352">
        <f>I53/$I$57</f>
        <v>0.62736318407960201</v>
      </c>
    </row>
    <row r="54" spans="1:11" ht="14.1" customHeight="1" x14ac:dyDescent="0.2">
      <c r="A54" s="95"/>
      <c r="B54" s="95"/>
      <c r="C54" s="257" t="s">
        <v>7</v>
      </c>
      <c r="D54" s="245">
        <f>INDEX([2]Kraje!B40:AK40,1,3*T!$A$4-2)</f>
        <v>379</v>
      </c>
      <c r="E54" s="96">
        <f>INDEX([2]Kraje!C40:AL40,1,3*T!$A$4-2)</f>
        <v>1941.8</v>
      </c>
      <c r="F54" s="96">
        <f>INDEX([2]Kraje!D40:AM40,1,3*T!$A$4-2)</f>
        <v>20773.054120000004</v>
      </c>
      <c r="G54" s="334">
        <f>E54/$E$57</f>
        <v>0.10553088808334647</v>
      </c>
      <c r="H54" s="316">
        <f t="shared" ref="H54:H57" si="16">(E54-I54)/I54</f>
        <v>-2.7203045939582164E-2</v>
      </c>
      <c r="I54" s="283">
        <f>INDEX([4]Kraje!C40:AL40,1,3*T!$A$4-2)</f>
        <v>1996.1</v>
      </c>
      <c r="J54" s="96">
        <f>INDEX([4]Kraje!D40:AM40,1,3*T!$A$4-2)</f>
        <v>21263.060027999985</v>
      </c>
      <c r="K54" s="352">
        <f t="shared" ref="K54:K55" si="17">I54/$I$57</f>
        <v>0.10344631011608624</v>
      </c>
    </row>
    <row r="55" spans="1:11" ht="14.1" customHeight="1" x14ac:dyDescent="0.2">
      <c r="A55" s="292"/>
      <c r="B55" s="268"/>
      <c r="C55" s="257" t="s">
        <v>8</v>
      </c>
      <c r="D55" s="245">
        <f>INDEX([2]Kraje!B41:AK41,1,3*T!$A$4-2)</f>
        <v>12740</v>
      </c>
      <c r="E55" s="96">
        <f>INDEX([2]Kraje!C41:AL41,1,3*T!$A$4-2)</f>
        <v>1609.5</v>
      </c>
      <c r="F55" s="96">
        <f>INDEX([2]Kraje!D41:AM41,1,3*T!$A$4-2)</f>
        <v>17218</v>
      </c>
      <c r="G55" s="334">
        <f>E55/$E$57</f>
        <v>8.7471399922827348E-2</v>
      </c>
      <c r="H55" s="316">
        <f t="shared" si="16"/>
        <v>-6.0530002334812073E-2</v>
      </c>
      <c r="I55" s="283">
        <f>INDEX([4]Kraje!C41:AL41,1,3*T!$A$4-2)</f>
        <v>1713.2</v>
      </c>
      <c r="J55" s="96">
        <f>INDEX([4]Kraje!D41:AM41,1,3*T!$A$4-2)</f>
        <v>18250.2</v>
      </c>
      <c r="K55" s="352">
        <f t="shared" si="17"/>
        <v>8.8785240464344939E-2</v>
      </c>
    </row>
    <row r="56" spans="1:11" ht="14.1" customHeight="1" x14ac:dyDescent="0.2">
      <c r="A56" s="292"/>
      <c r="B56" s="268"/>
      <c r="C56" s="257" t="s">
        <v>9</v>
      </c>
      <c r="D56" s="245">
        <f>INDEX([2]Kraje!B42:AK42,1,3*T!$A$4-2)</f>
        <v>174197</v>
      </c>
      <c r="E56" s="96">
        <f>INDEX([2]Kraje!C42:AL42,1,3*T!$A$4-2)</f>
        <v>3403.4</v>
      </c>
      <c r="F56" s="96">
        <f>INDEX([2]Kraje!D42:AM42,1,3*T!$A$4-2)</f>
        <v>36409.699999999997</v>
      </c>
      <c r="G56" s="334">
        <f t="shared" ref="G56" si="18">E56/$E$57</f>
        <v>0.18496437558083292</v>
      </c>
      <c r="H56" s="316">
        <f t="shared" si="16"/>
        <v>-2.2320530866680021E-2</v>
      </c>
      <c r="I56" s="283">
        <f>INDEX([4]Kraje!C42:AL42,1,3*T!$A$4-2)</f>
        <v>3481.1</v>
      </c>
      <c r="J56" s="96">
        <f>INDEX([4]Kraje!D42:AM42,1,3*T!$A$4-2)</f>
        <v>37082.300000000003</v>
      </c>
      <c r="K56" s="352">
        <f>I56/$I$57</f>
        <v>0.18040526533996684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187425</v>
      </c>
      <c r="E57" s="251">
        <f>SUM(E53:E56)</f>
        <v>18400.3</v>
      </c>
      <c r="F57" s="252">
        <f>SUM(F53:F56)</f>
        <v>196845.85655000003</v>
      </c>
      <c r="G57" s="336">
        <f>SUM(G53:G56)</f>
        <v>1</v>
      </c>
      <c r="H57" s="318">
        <f t="shared" si="16"/>
        <v>-4.6418946932006669E-2</v>
      </c>
      <c r="I57" s="286">
        <f>SUM(I53:I56)</f>
        <v>19296</v>
      </c>
      <c r="J57" s="252">
        <f>SUM(J53:J56)</f>
        <v>205549.64598999993</v>
      </c>
      <c r="K57" s="354">
        <f>SUM(K53:K56)</f>
        <v>1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7:B17"/>
    <mergeCell ref="A24:B24"/>
    <mergeCell ref="A31:B31"/>
    <mergeCell ref="A38:B38"/>
    <mergeCell ref="A52:B52"/>
    <mergeCell ref="A45:B45"/>
    <mergeCell ref="A10:B10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topLeftCell="A16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7"/>
      <c r="K1" s="827"/>
    </row>
    <row r="2" spans="1:17" ht="6.75" customHeight="1" x14ac:dyDescent="0.2"/>
    <row r="3" spans="1:17" ht="30" customHeight="1" x14ac:dyDescent="0.2">
      <c r="A3" s="835"/>
      <c r="B3" s="835"/>
      <c r="C3" s="835"/>
      <c r="D3" s="835"/>
      <c r="E3" s="835"/>
      <c r="F3" s="835"/>
      <c r="G3" s="835"/>
      <c r="H3" s="835"/>
      <c r="I3" s="835"/>
      <c r="J3" s="835"/>
      <c r="K3" s="835"/>
    </row>
    <row r="4" spans="1:17" ht="16.5" customHeight="1" x14ac:dyDescent="0.2">
      <c r="B4" s="242"/>
      <c r="C4" s="242"/>
      <c r="D4" s="834"/>
      <c r="E4" s="834"/>
      <c r="F4" s="223"/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7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'7'!E7</f>
        <v>Září</v>
      </c>
      <c r="F7" s="265">
        <f>'7'!F7</f>
        <v>2015</v>
      </c>
      <c r="G7" s="265"/>
      <c r="H7" s="838"/>
      <c r="I7" s="280" t="str">
        <f>E7</f>
        <v>Září</v>
      </c>
      <c r="J7" s="260">
        <f>F7-1</f>
        <v>2014</v>
      </c>
      <c r="K7" s="274"/>
    </row>
    <row r="8" spans="1:17" ht="14.1" customHeight="1" x14ac:dyDescent="0.2">
      <c r="A8" s="278"/>
      <c r="B8" s="832" t="s">
        <v>92</v>
      </c>
      <c r="C8" s="832"/>
      <c r="D8" s="823" t="s">
        <v>0</v>
      </c>
      <c r="E8" s="825" t="s">
        <v>71</v>
      </c>
      <c r="F8" s="793"/>
      <c r="G8" s="331" t="s">
        <v>224</v>
      </c>
      <c r="H8" s="838"/>
      <c r="I8" s="826" t="s">
        <v>71</v>
      </c>
      <c r="J8" s="793"/>
      <c r="K8" s="349" t="s">
        <v>224</v>
      </c>
    </row>
    <row r="9" spans="1:17" ht="14.1" customHeight="1" x14ac:dyDescent="0.2">
      <c r="A9" s="250"/>
      <c r="B9" s="833"/>
      <c r="C9" s="833"/>
      <c r="D9" s="824"/>
      <c r="E9" s="266" t="s">
        <v>15</v>
      </c>
      <c r="F9" s="266" t="s">
        <v>1</v>
      </c>
      <c r="G9" s="332" t="s">
        <v>127</v>
      </c>
      <c r="H9" s="839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40" t="s">
        <v>237</v>
      </c>
      <c r="B10" s="840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INDEX([2]Kraje!B45:AK45,1,3*T!$A$4-2)</f>
        <v>76</v>
      </c>
      <c r="E11" s="96">
        <f>INDEX([2]Kraje!C45:AL45,1,3*T!$A$4-2)</f>
        <v>11108.2</v>
      </c>
      <c r="F11" s="96">
        <f>INDEX([2]Kraje!D45:AM45,1,3*T!$A$4-2)</f>
        <v>118834.99263000004</v>
      </c>
      <c r="G11" s="334">
        <f>E11/$E$15</f>
        <v>0.66195496069936655</v>
      </c>
      <c r="H11" s="316">
        <f>(E11-I11)/I11</f>
        <v>0.19980990030567183</v>
      </c>
      <c r="I11" s="283">
        <f>INDEX([4]Kraje!C45:AL45,1,3*T!$A$4-2)</f>
        <v>9258.2999999999993</v>
      </c>
      <c r="J11" s="96">
        <f>INDEX([4]Kraje!D45:AM45,1,3*T!$A$4-2)</f>
        <v>98623.405948999993</v>
      </c>
      <c r="K11" s="352">
        <f>I11/$I$15</f>
        <v>0.60167668562144594</v>
      </c>
    </row>
    <row r="12" spans="1:17" ht="14.1" customHeight="1" x14ac:dyDescent="0.2">
      <c r="A12" s="95"/>
      <c r="B12" s="95"/>
      <c r="C12" s="257" t="s">
        <v>7</v>
      </c>
      <c r="D12" s="245">
        <f>INDEX([2]Kraje!B46:AK46,1,3*T!$A$4-2)</f>
        <v>288</v>
      </c>
      <c r="E12" s="96">
        <f>INDEX([2]Kraje!C46:AL46,1,3*T!$A$4-2)</f>
        <v>1605</v>
      </c>
      <c r="F12" s="96">
        <f>INDEX([2]Kraje!D46:AM46,1,3*T!$A$4-2)</f>
        <v>17170.118899999983</v>
      </c>
      <c r="G12" s="334">
        <f>E12/$E$15</f>
        <v>9.5644452919688441E-2</v>
      </c>
      <c r="H12" s="316">
        <f>(E12-I12)/I12</f>
        <v>-0.2031180179732883</v>
      </c>
      <c r="I12" s="283">
        <f>INDEX([4]Kraje!C46:AL46,1,3*T!$A$4-2)</f>
        <v>2014.1</v>
      </c>
      <c r="J12" s="96">
        <f>INDEX([4]Kraje!D46:AM46,1,3*T!$A$4-2)</f>
        <v>21455.24795999999</v>
      </c>
      <c r="K12" s="352">
        <f>I12/$I$15</f>
        <v>0.1308919577579204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INDEX([2]Kraje!B47:AK47,1,3*T!$A$4-2)</f>
        <v>10790</v>
      </c>
      <c r="E13" s="96">
        <f>INDEX([2]Kraje!C47:AL47,1,3*T!$A$4-2)</f>
        <v>1344.6</v>
      </c>
      <c r="F13" s="96">
        <f>INDEX([2]Kraje!D47:AM47,1,3*T!$A$4-2)</f>
        <v>14384.2</v>
      </c>
      <c r="G13" s="334">
        <f>E13/$E$15</f>
        <v>8.0126810838512821E-2</v>
      </c>
      <c r="H13" s="316">
        <f t="shared" ref="H13:H15" si="0">(E13-I13)/I13</f>
        <v>-2.7343750000000128E-2</v>
      </c>
      <c r="I13" s="283">
        <f>INDEX([4]Kraje!C47:AL47,1,3*T!$A$4-2)</f>
        <v>1382.4</v>
      </c>
      <c r="J13" s="96">
        <f>INDEX([4]Kraje!D47:AM47,1,3*T!$A$4-2)</f>
        <v>14726.2</v>
      </c>
      <c r="K13" s="352">
        <f>I13/$I$15</f>
        <v>8.9839155158407805E-2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INDEX([2]Kraje!B48:AK48,1,3*T!$A$4-2)</f>
        <v>124996</v>
      </c>
      <c r="E14" s="96">
        <f>INDEX([2]Kraje!C48:AL48,1,3*T!$A$4-2)</f>
        <v>2723.1</v>
      </c>
      <c r="F14" s="96">
        <f>INDEX([2]Kraje!D48:AM48,1,3*T!$A$4-2)</f>
        <v>29131.9</v>
      </c>
      <c r="G14" s="334">
        <f>E14/$E$15</f>
        <v>0.16227377554243216</v>
      </c>
      <c r="H14" s="316">
        <f t="shared" si="0"/>
        <v>-3.513009111867351E-3</v>
      </c>
      <c r="I14" s="283">
        <f>INDEX([4]Kraje!C48:AL48,1,3*T!$A$4-2)</f>
        <v>2732.7</v>
      </c>
      <c r="J14" s="96">
        <f>INDEX([4]Kraje!D48:AM48,1,3*T!$A$4-2)</f>
        <v>29110</v>
      </c>
      <c r="K14" s="352">
        <f>I14/$I$15</f>
        <v>0.17759220146222582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136150</v>
      </c>
      <c r="E15" s="251">
        <f>SUM(E11:E14)</f>
        <v>16780.900000000001</v>
      </c>
      <c r="F15" s="252">
        <f>SUM(F11:F14)</f>
        <v>179521.21153000003</v>
      </c>
      <c r="G15" s="336">
        <f>SUM(G11:G14)</f>
        <v>1</v>
      </c>
      <c r="H15" s="318">
        <f t="shared" si="0"/>
        <v>9.0554021121039899E-2</v>
      </c>
      <c r="I15" s="286">
        <f>SUM(I11:I14)</f>
        <v>15387.5</v>
      </c>
      <c r="J15" s="252">
        <f>SUM(J11:J14)</f>
        <v>163914.853909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16" ht="12.95" customHeight="1" x14ac:dyDescent="0.2">
      <c r="A17" s="840" t="s">
        <v>238</v>
      </c>
      <c r="B17" s="840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16" ht="14.1" customHeight="1" x14ac:dyDescent="0.2">
      <c r="A18" s="95"/>
      <c r="B18" s="95"/>
      <c r="C18" s="257" t="s">
        <v>6</v>
      </c>
      <c r="D18" s="245">
        <f>INDEX([2]Kraje!B51:AK51,1,3*T!$A$4-2)</f>
        <v>82</v>
      </c>
      <c r="E18" s="96">
        <f>INDEX([2]Kraje!C51:AL51,1,3*T!$A$4-2)</f>
        <v>11624.5</v>
      </c>
      <c r="F18" s="96">
        <f>INDEX([2]Kraje!D51:AM51,1,3*T!$A$4-2)</f>
        <v>124358.18142999998</v>
      </c>
      <c r="G18" s="334">
        <f>E18/$E$22</f>
        <v>0.66244393916081123</v>
      </c>
      <c r="H18" s="316">
        <f>(E18-I18)/I18</f>
        <v>-7.9114464206466329E-3</v>
      </c>
      <c r="I18" s="283">
        <f>INDEX([4]Kraje!C51:AL51,1,3*T!$A$4-2)</f>
        <v>11717.2</v>
      </c>
      <c r="J18" s="96">
        <f>INDEX([4]Kraje!D51:AM51,1,3*T!$A$4-2)</f>
        <v>124815.98929000001</v>
      </c>
      <c r="K18" s="352">
        <f>I18/$I$22</f>
        <v>0.67411127795324965</v>
      </c>
      <c r="L18" s="284"/>
      <c r="M18" s="284"/>
      <c r="N18" s="284"/>
    </row>
    <row r="19" spans="1:16" ht="14.1" customHeight="1" x14ac:dyDescent="0.2">
      <c r="A19" s="95"/>
      <c r="B19" s="95"/>
      <c r="C19" s="257" t="s">
        <v>7</v>
      </c>
      <c r="D19" s="245">
        <f>INDEX([2]Kraje!B52:AK52,1,3*T!$A$4-2)</f>
        <v>344</v>
      </c>
      <c r="E19" s="96">
        <f>INDEX([2]Kraje!C52:AL52,1,3*T!$A$4-2)</f>
        <v>1901.7</v>
      </c>
      <c r="F19" s="96">
        <f>INDEX([2]Kraje!D52:AM52,1,3*T!$A$4-2)</f>
        <v>20344.475090000004</v>
      </c>
      <c r="G19" s="334">
        <f t="shared" ref="G19:G20" si="1">E19/$E$22</f>
        <v>0.1083719419417708</v>
      </c>
      <c r="H19" s="316">
        <f>(E19-I19)/I19</f>
        <v>9.7789066558910176E-2</v>
      </c>
      <c r="I19" s="283">
        <f>INDEX([4]Kraje!C52:AL52,1,3*T!$A$4-2)</f>
        <v>1732.3</v>
      </c>
      <c r="J19" s="96">
        <f>INDEX([4]Kraje!D52:AM52,1,3*T!$A$4-2)</f>
        <v>18453.515549</v>
      </c>
      <c r="K19" s="352">
        <f t="shared" ref="K19:K21" si="2">I19/$I$22</f>
        <v>9.966228849882347E-2</v>
      </c>
      <c r="L19" s="287"/>
      <c r="M19" s="287"/>
      <c r="N19" s="284"/>
    </row>
    <row r="20" spans="1:16" ht="14.1" customHeight="1" x14ac:dyDescent="0.2">
      <c r="A20" s="292"/>
      <c r="B20" s="268"/>
      <c r="C20" s="257" t="s">
        <v>8</v>
      </c>
      <c r="D20" s="245">
        <f>INDEX([2]Kraje!B53:AK53,1,3*T!$A$4-2)</f>
        <v>11339</v>
      </c>
      <c r="E20" s="96">
        <f>INDEX([2]Kraje!C53:AL53,1,3*T!$A$4-2)</f>
        <v>1484.4</v>
      </c>
      <c r="F20" s="96">
        <f>INDEX([2]Kraje!D53:AM53,1,3*T!$A$4-2)</f>
        <v>15879.7</v>
      </c>
      <c r="G20" s="334">
        <f t="shared" si="1"/>
        <v>8.4591318619321967E-2</v>
      </c>
      <c r="H20" s="316">
        <f t="shared" ref="H20:H22" si="3">(E20-I20)/I20</f>
        <v>6.3728813559322649E-3</v>
      </c>
      <c r="I20" s="283">
        <f>INDEX([4]Kraje!C53:AL53,1,3*T!$A$4-2)</f>
        <v>1475</v>
      </c>
      <c r="J20" s="96">
        <f>INDEX([4]Kraje!D53:AM53,1,3*T!$A$4-2)</f>
        <v>15712</v>
      </c>
      <c r="K20" s="352">
        <f t="shared" si="2"/>
        <v>8.4859363583539002E-2</v>
      </c>
      <c r="L20" s="284"/>
      <c r="M20" s="284"/>
      <c r="N20" s="284"/>
      <c r="O20" s="284"/>
      <c r="P20" s="284"/>
    </row>
    <row r="21" spans="1:16" ht="14.1" customHeight="1" x14ac:dyDescent="0.2">
      <c r="A21" s="292"/>
      <c r="B21" s="268"/>
      <c r="C21" s="257" t="s">
        <v>9</v>
      </c>
      <c r="D21" s="245">
        <f>INDEX([2]Kraje!B54:AK54,1,3*T!$A$4-2)</f>
        <v>147236</v>
      </c>
      <c r="E21" s="96">
        <f>INDEX([2]Kraje!C54:AL54,1,3*T!$A$4-2)</f>
        <v>2537.3000000000002</v>
      </c>
      <c r="F21" s="96">
        <f>INDEX([2]Kraje!D54:AM54,1,3*T!$A$4-2)</f>
        <v>27143.599999999999</v>
      </c>
      <c r="G21" s="334">
        <f>E21/$E$22</f>
        <v>0.14459280027809596</v>
      </c>
      <c r="H21" s="316">
        <f t="shared" si="3"/>
        <v>3.2598079114439349E-2</v>
      </c>
      <c r="I21" s="283">
        <f>INDEX([4]Kraje!C54:AL54,1,3*T!$A$4-2)</f>
        <v>2457.1999999999998</v>
      </c>
      <c r="J21" s="96">
        <f>INDEX([4]Kraje!D54:AM54,1,3*T!$A$4-2)</f>
        <v>26175.3</v>
      </c>
      <c r="K21" s="352">
        <f t="shared" si="2"/>
        <v>0.1413670699643878</v>
      </c>
      <c r="L21" s="284"/>
      <c r="M21" s="284"/>
      <c r="N21" s="284"/>
      <c r="O21" s="284"/>
      <c r="P21" s="284"/>
    </row>
    <row r="22" spans="1:16" ht="14.1" customHeight="1" x14ac:dyDescent="0.2">
      <c r="A22" s="292"/>
      <c r="B22" s="268"/>
      <c r="C22" s="259" t="s">
        <v>2</v>
      </c>
      <c r="D22" s="253">
        <f>SUM(D18:D21)</f>
        <v>159001</v>
      </c>
      <c r="E22" s="251">
        <f>SUM(E18:E21)</f>
        <v>17547.900000000001</v>
      </c>
      <c r="F22" s="252">
        <f>SUM(F18:F21)</f>
        <v>187725.95652000001</v>
      </c>
      <c r="G22" s="336">
        <f>SUM(G18:G21)</f>
        <v>1</v>
      </c>
      <c r="H22" s="318">
        <f t="shared" si="3"/>
        <v>9.5617804932774542E-3</v>
      </c>
      <c r="I22" s="286">
        <f>SUM(I18:I21)</f>
        <v>17381.7</v>
      </c>
      <c r="J22" s="252">
        <f>SUM(J18:J21)</f>
        <v>185156.80483899999</v>
      </c>
      <c r="K22" s="354">
        <f>SUM(K18:K21)</f>
        <v>0.99999999999999978</v>
      </c>
      <c r="L22" s="284"/>
      <c r="M22" s="284"/>
      <c r="N22" s="284"/>
      <c r="O22" s="284"/>
      <c r="P22" s="284"/>
    </row>
    <row r="23" spans="1:16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16" ht="12.95" customHeight="1" x14ac:dyDescent="0.2">
      <c r="A24" s="840" t="s">
        <v>3</v>
      </c>
      <c r="B24" s="840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16" ht="14.1" customHeight="1" x14ac:dyDescent="0.2">
      <c r="A25" s="95"/>
      <c r="B25" s="95"/>
      <c r="C25" s="257" t="s">
        <v>6</v>
      </c>
      <c r="D25" s="245">
        <f>INDEX([2]Kraje!B57:AK57,1,3*T!$A$4-2)</f>
        <v>185</v>
      </c>
      <c r="E25" s="96">
        <f>INDEX([2]Kraje!C57:AL57,1,3*T!$A$4-2)</f>
        <v>10011.381801364159</v>
      </c>
      <c r="F25" s="96">
        <f>INDEX([2]Kraje!D57:AM57,1,3*T!$A$4-2)</f>
        <v>107040.15700000001</v>
      </c>
      <c r="G25" s="334">
        <f>E25/$E$29</f>
        <v>0.36288922374853433</v>
      </c>
      <c r="H25" s="316">
        <f>(E25-I25)/I25</f>
        <v>4.3280482206903082E-3</v>
      </c>
      <c r="I25" s="283">
        <f>INDEX([4]Kraje!C57:AL57,1,3*T!$A$4-2)</f>
        <v>9968.2387832349632</v>
      </c>
      <c r="J25" s="96">
        <f>INDEX([4]Kraje!D57:AM57,1,3*T!$A$4-2)</f>
        <v>106140.19100000001</v>
      </c>
      <c r="K25" s="352">
        <f>I25/$I$29</f>
        <v>0.36581625137052304</v>
      </c>
      <c r="L25" s="287"/>
      <c r="N25" s="284"/>
      <c r="O25" s="284"/>
      <c r="P25" s="284"/>
    </row>
    <row r="26" spans="1:16" ht="14.1" customHeight="1" x14ac:dyDescent="0.2">
      <c r="A26" s="95"/>
      <c r="B26" s="95"/>
      <c r="C26" s="257" t="s">
        <v>7</v>
      </c>
      <c r="D26" s="245">
        <f>INDEX([2]Kraje!B58:AK58,1,3*T!$A$4-2)</f>
        <v>1621</v>
      </c>
      <c r="E26" s="96">
        <f>INDEX([2]Kraje!C58:AL58,1,3*T!$A$4-2)</f>
        <v>5270.5184245247365</v>
      </c>
      <c r="F26" s="96">
        <f>INDEX([2]Kraje!D58:AM58,1,3*T!$A$4-2)</f>
        <v>56351.546999999999</v>
      </c>
      <c r="G26" s="334">
        <f t="shared" ref="G26:G28" si="4">E26/$E$29</f>
        <v>0.19104399150649864</v>
      </c>
      <c r="H26" s="316">
        <f t="shared" ref="H26:H29" si="5">(E26-I26)/I26</f>
        <v>3.1137569883858941E-2</v>
      </c>
      <c r="I26" s="283">
        <f>INDEX([4]Kraje!C58:AL58,1,3*T!$A$4-2)</f>
        <v>5111.3630018527747</v>
      </c>
      <c r="J26" s="96">
        <f>INDEX([4]Kraje!D58:AM58,1,3*T!$A$4-2)</f>
        <v>54424.953000000001</v>
      </c>
      <c r="K26" s="352">
        <f t="shared" ref="K26:K28" si="6">I26/$I$29</f>
        <v>0.18757773498328645</v>
      </c>
      <c r="L26" s="287"/>
      <c r="N26" s="284"/>
      <c r="O26" s="284"/>
      <c r="P26" s="284"/>
    </row>
    <row r="27" spans="1:16" ht="14.1" customHeight="1" x14ac:dyDescent="0.2">
      <c r="A27" s="292"/>
      <c r="B27" s="268"/>
      <c r="C27" s="257" t="s">
        <v>8</v>
      </c>
      <c r="D27" s="245">
        <f>INDEX([2]Kraje!B59:AK59,1,3*T!$A$4-2)</f>
        <v>38581</v>
      </c>
      <c r="E27" s="96">
        <f>INDEX([2]Kraje!C59:AL59,1,3*T!$A$4-2)</f>
        <v>4799.1070721224905</v>
      </c>
      <c r="F27" s="96">
        <f>INDEX([2]Kraje!D59:AM59,1,3*T!$A$4-2)</f>
        <v>51311.291594076793</v>
      </c>
      <c r="G27" s="334">
        <f>E27/$E$29</f>
        <v>0.17395643025534474</v>
      </c>
      <c r="H27" s="316">
        <f t="shared" si="5"/>
        <v>3.0640609498727087E-2</v>
      </c>
      <c r="I27" s="283">
        <f>INDEX([4]Kraje!C59:AL59,1,3*T!$A$4-2)</f>
        <v>4656.4311825987852</v>
      </c>
      <c r="J27" s="96">
        <f>INDEX([4]Kraje!D59:AM59,1,3*T!$A$4-2)</f>
        <v>49580.913773647277</v>
      </c>
      <c r="K27" s="352">
        <f t="shared" si="6"/>
        <v>0.17088256381337408</v>
      </c>
    </row>
    <row r="28" spans="1:16" ht="14.1" customHeight="1" x14ac:dyDescent="0.2">
      <c r="A28" s="292"/>
      <c r="B28" s="268"/>
      <c r="C28" s="257" t="s">
        <v>9</v>
      </c>
      <c r="D28" s="245">
        <f>INDEX([2]Kraje!B60:AK60,1,3*T!$A$4-2)</f>
        <v>388109</v>
      </c>
      <c r="E28" s="96">
        <f>INDEX([2]Kraje!C60:AL60,1,3*T!$A$4-2)</f>
        <v>7506.9758830532292</v>
      </c>
      <c r="F28" s="96">
        <f>INDEX([2]Kraje!D60:AM60,1,3*T!$A$4-2)</f>
        <v>80263.395405905772</v>
      </c>
      <c r="G28" s="334">
        <f t="shared" si="4"/>
        <v>0.27211035448962223</v>
      </c>
      <c r="H28" s="316">
        <f t="shared" si="5"/>
        <v>-8.3806749971952147E-4</v>
      </c>
      <c r="I28" s="283">
        <f>INDEX([4]Kraje!C60:AL60,1,3*T!$A$4-2)</f>
        <v>7513.2725125625439</v>
      </c>
      <c r="J28" s="96">
        <f>INDEX([4]Kraje!D60:AM60,1,3*T!$A$4-2)</f>
        <v>80000.090626352743</v>
      </c>
      <c r="K28" s="352">
        <f t="shared" si="6"/>
        <v>0.27572344983281644</v>
      </c>
    </row>
    <row r="29" spans="1:16" ht="14.1" customHeight="1" x14ac:dyDescent="0.2">
      <c r="A29" s="292"/>
      <c r="B29" s="268"/>
      <c r="C29" s="259" t="s">
        <v>2</v>
      </c>
      <c r="D29" s="253">
        <f>SUM(D25:D28)</f>
        <v>428496</v>
      </c>
      <c r="E29" s="251">
        <f>SUM(E25:E28)</f>
        <v>27587.983181064617</v>
      </c>
      <c r="F29" s="252">
        <f>SUM(F25:F28)</f>
        <v>294966.39099998254</v>
      </c>
      <c r="G29" s="336">
        <f>SUM(G25:G28)</f>
        <v>0.99999999999999978</v>
      </c>
      <c r="H29" s="318">
        <f t="shared" si="5"/>
        <v>1.2428856253273423E-2</v>
      </c>
      <c r="I29" s="286">
        <f>SUM(I25:I28)</f>
        <v>27249.305480249066</v>
      </c>
      <c r="J29" s="252">
        <f>SUM(J25:J28)</f>
        <v>290146.14840000001</v>
      </c>
      <c r="K29" s="354">
        <f>SUM(K25:K28)</f>
        <v>1</v>
      </c>
    </row>
    <row r="30" spans="1:16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16" ht="12.95" customHeight="1" x14ac:dyDescent="0.2">
      <c r="A31" s="840" t="s">
        <v>239</v>
      </c>
      <c r="B31" s="840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16" ht="14.1" customHeight="1" x14ac:dyDescent="0.2">
      <c r="A32" s="95"/>
      <c r="B32" s="95"/>
      <c r="C32" s="257" t="s">
        <v>6</v>
      </c>
      <c r="D32" s="245">
        <f>INDEX([2]Kraje!B63:AK63,1,3*T!$A$4-2)</f>
        <v>180</v>
      </c>
      <c r="E32" s="96">
        <f>INDEX([2]Kraje!C63:AL63,1,3*T!$A$4-2)</f>
        <v>32019.523999999998</v>
      </c>
      <c r="F32" s="96">
        <f>INDEX([2]Kraje!D63:AM63,1,3*T!$A$4-2)</f>
        <v>342526.30622999987</v>
      </c>
      <c r="G32" s="334">
        <f>E32/$E$36</f>
        <v>0.72273738529138476</v>
      </c>
      <c r="H32" s="316">
        <f>(E32-I32)/I32</f>
        <v>-0.26351951133034118</v>
      </c>
      <c r="I32" s="283">
        <f>INDEX([4]Kraje!C63:AL63,1,3*T!$A$4-2)</f>
        <v>43476.404999999999</v>
      </c>
      <c r="J32" s="96">
        <f>INDEX([4]Kraje!D63:AM63,1,3*T!$A$4-2)</f>
        <v>463115.60063</v>
      </c>
      <c r="K32" s="352">
        <f>I32/$I$36</f>
        <v>0.78272957382629693</v>
      </c>
    </row>
    <row r="33" spans="1:11" ht="14.1" customHeight="1" x14ac:dyDescent="0.2">
      <c r="A33" s="95"/>
      <c r="B33" s="95"/>
      <c r="C33" s="257" t="s">
        <v>7</v>
      </c>
      <c r="D33" s="245">
        <f>INDEX([2]Kraje!B64:AK64,1,3*T!$A$4-2)</f>
        <v>648</v>
      </c>
      <c r="E33" s="96">
        <f>INDEX([2]Kraje!C64:AL64,1,3*T!$A$4-2)</f>
        <v>3851</v>
      </c>
      <c r="F33" s="96">
        <f>INDEX([2]Kraje!D64:AM64,1,3*T!$A$4-2)</f>
        <v>41197.529460000042</v>
      </c>
      <c r="G33" s="334">
        <f t="shared" ref="G33:G35" si="7">E33/$E$36</f>
        <v>8.6923892771083131E-2</v>
      </c>
      <c r="H33" s="316">
        <f t="shared" ref="H33:H36" si="8">(E33-I33)/I33</f>
        <v>7.228378905162329E-2</v>
      </c>
      <c r="I33" s="283">
        <f>INDEX([4]Kraje!C64:AL64,1,3*T!$A$4-2)</f>
        <v>3591.4</v>
      </c>
      <c r="J33" s="96">
        <f>INDEX([4]Kraje!D64:AM64,1,3*T!$A$4-2)</f>
        <v>38256.570177999965</v>
      </c>
      <c r="K33" s="352">
        <f t="shared" ref="K33:K35" si="9">I33/$I$36</f>
        <v>6.4657944727485248E-2</v>
      </c>
    </row>
    <row r="34" spans="1:11" ht="14.1" customHeight="1" x14ac:dyDescent="0.2">
      <c r="A34" s="292"/>
      <c r="B34" s="268"/>
      <c r="C34" s="257" t="s">
        <v>8</v>
      </c>
      <c r="D34" s="245">
        <f>INDEX([2]Kraje!B65:AK65,1,3*T!$A$4-2)</f>
        <v>17903</v>
      </c>
      <c r="E34" s="96">
        <f>INDEX([2]Kraje!C65:AL65,1,3*T!$A$4-2)</f>
        <v>2422.8000000000002</v>
      </c>
      <c r="F34" s="96">
        <f>INDEX([2]Kraje!D65:AM65,1,3*T!$A$4-2)</f>
        <v>25918.6</v>
      </c>
      <c r="G34" s="334">
        <f t="shared" si="7"/>
        <v>5.4686888446060823E-2</v>
      </c>
      <c r="H34" s="316">
        <f t="shared" si="8"/>
        <v>-8.5526046568726258E-3</v>
      </c>
      <c r="I34" s="283">
        <f>INDEX([4]Kraje!C65:AL65,1,3*T!$A$4-2)</f>
        <v>2443.6999999999998</v>
      </c>
      <c r="J34" s="96">
        <f>INDEX([4]Kraje!D65:AM65,1,3*T!$A$4-2)</f>
        <v>26031.5</v>
      </c>
      <c r="K34" s="352">
        <f t="shared" si="9"/>
        <v>4.3995271908045794E-2</v>
      </c>
    </row>
    <row r="35" spans="1:11" ht="14.1" customHeight="1" x14ac:dyDescent="0.2">
      <c r="A35" s="292"/>
      <c r="B35" s="268"/>
      <c r="C35" s="257" t="s">
        <v>9</v>
      </c>
      <c r="D35" s="245">
        <f>INDEX([2]Kraje!B66:AK66,1,3*T!$A$4-2)</f>
        <v>234171</v>
      </c>
      <c r="E35" s="96">
        <f>INDEX([2]Kraje!C66:AL66,1,3*T!$A$4-2)</f>
        <v>6009.8</v>
      </c>
      <c r="F35" s="96">
        <f>INDEX([2]Kraje!D66:AM66,1,3*T!$A$4-2)</f>
        <v>64293</v>
      </c>
      <c r="G35" s="334">
        <f t="shared" si="7"/>
        <v>0.13565183349147117</v>
      </c>
      <c r="H35" s="316">
        <f t="shared" si="8"/>
        <v>-3.8620278132303759E-3</v>
      </c>
      <c r="I35" s="283">
        <f>INDEX([4]Kraje!C66:AL66,1,3*T!$A$4-2)</f>
        <v>6033.1</v>
      </c>
      <c r="J35" s="96">
        <f>INDEX([4]Kraje!D66:AM66,1,3*T!$A$4-2)</f>
        <v>64266.9</v>
      </c>
      <c r="K35" s="352">
        <f t="shared" si="9"/>
        <v>0.10861720953817208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252902</v>
      </c>
      <c r="E36" s="251">
        <f>SUM(E32:E35)</f>
        <v>44303.124000000003</v>
      </c>
      <c r="F36" s="252">
        <f>SUM(F32:F35)</f>
        <v>473935.4356899999</v>
      </c>
      <c r="G36" s="336">
        <f>SUM(G32:G35)</f>
        <v>0.99999999999999989</v>
      </c>
      <c r="H36" s="318">
        <f t="shared" si="8"/>
        <v>-0.20238655041295178</v>
      </c>
      <c r="I36" s="286">
        <f>SUM(I32:I35)</f>
        <v>55544.604999999996</v>
      </c>
      <c r="J36" s="252">
        <f>SUM(J32:J35)</f>
        <v>591670.57080800005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40" t="s">
        <v>240</v>
      </c>
      <c r="B38" s="840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INDEX([2]Kraje!B69:AK69,1,3*T!$A$4-2)</f>
        <v>131</v>
      </c>
      <c r="E39" s="96">
        <f>INDEX([2]Kraje!C69:AL69,1,3*T!$A$4-2)</f>
        <v>44073.555999999997</v>
      </c>
      <c r="F39" s="96">
        <f>INDEX([2]Kraje!D69:AM69,1,3*T!$A$4-2)</f>
        <v>471405.0689999999</v>
      </c>
      <c r="G39" s="334">
        <f>E39/$E$43</f>
        <v>0.86694364136835345</v>
      </c>
      <c r="H39" s="316">
        <f>(E39-I39)/I39</f>
        <v>1.495899373749203E-2</v>
      </c>
      <c r="I39" s="283">
        <f>INDEX([4]Kraje!C69:AL69,1,3*T!$A$4-2)</f>
        <v>43423.976999999999</v>
      </c>
      <c r="J39" s="96">
        <f>INDEX([4]Kraje!D69:AM69,1,3*T!$A$4-2)</f>
        <v>462618.61491599999</v>
      </c>
      <c r="K39" s="352">
        <f>I39/$I$43</f>
        <v>0.86789497801650684</v>
      </c>
    </row>
    <row r="40" spans="1:11" ht="14.1" customHeight="1" x14ac:dyDescent="0.2">
      <c r="A40" s="95"/>
      <c r="B40" s="95"/>
      <c r="C40" s="257" t="s">
        <v>7</v>
      </c>
      <c r="D40" s="245">
        <f>INDEX([2]Kraje!B70:AK70,1,3*T!$A$4-2)</f>
        <v>343</v>
      </c>
      <c r="E40" s="96">
        <f>INDEX([2]Kraje!C70:AL70,1,3*T!$A$4-2)</f>
        <v>2153.6999999999998</v>
      </c>
      <c r="F40" s="96">
        <f>INDEX([2]Kraje!D70:AM70,1,3*T!$A$4-2)</f>
        <v>23040.588740000014</v>
      </c>
      <c r="G40" s="334">
        <f t="shared" ref="G40:G41" si="10">E40/$E$43</f>
        <v>4.2364099697674108E-2</v>
      </c>
      <c r="H40" s="316">
        <f t="shared" ref="H40:H43" si="11">(E40-I40)/I40</f>
        <v>7.2239370705964312E-2</v>
      </c>
      <c r="I40" s="283">
        <f>INDEX([4]Kraje!C70:AL70,1,3*T!$A$4-2)</f>
        <v>2008.6</v>
      </c>
      <c r="J40" s="96">
        <f>INDEX([4]Kraje!D70:AM70,1,3*T!$A$4-2)</f>
        <v>21396.619296000001</v>
      </c>
      <c r="K40" s="352">
        <f t="shared" ref="K40:K42" si="12">I40/$I$43</f>
        <v>4.0144960763127603E-2</v>
      </c>
    </row>
    <row r="41" spans="1:11" ht="14.1" customHeight="1" x14ac:dyDescent="0.2">
      <c r="A41" s="292"/>
      <c r="B41" s="268"/>
      <c r="C41" s="257" t="s">
        <v>8</v>
      </c>
      <c r="D41" s="245">
        <f>INDEX([2]Kraje!B71:AK71,1,3*T!$A$4-2)</f>
        <v>12317</v>
      </c>
      <c r="E41" s="96">
        <f>INDEX([2]Kraje!C71:AL71,1,3*T!$A$4-2)</f>
        <v>1421.8</v>
      </c>
      <c r="F41" s="96">
        <f>INDEX([2]Kraje!D71:AM71,1,3*T!$A$4-2)</f>
        <v>15210.4</v>
      </c>
      <c r="G41" s="334">
        <f t="shared" si="10"/>
        <v>2.7967347796885849E-2</v>
      </c>
      <c r="H41" s="316">
        <f t="shared" si="11"/>
        <v>-6.3259998594228644E-4</v>
      </c>
      <c r="I41" s="283">
        <f>INDEX([4]Kraje!C71:AL71,1,3*T!$A$4-2)</f>
        <v>1422.7</v>
      </c>
      <c r="J41" s="96">
        <f>INDEX([4]Kraje!D71:AM71,1,3*T!$A$4-2)</f>
        <v>15154.9</v>
      </c>
      <c r="K41" s="352">
        <f t="shared" si="12"/>
        <v>2.8434847992483147E-2</v>
      </c>
    </row>
    <row r="42" spans="1:11" ht="14.1" customHeight="1" x14ac:dyDescent="0.2">
      <c r="A42" s="292"/>
      <c r="B42" s="268"/>
      <c r="C42" s="257" t="s">
        <v>9</v>
      </c>
      <c r="D42" s="245">
        <f>INDEX([2]Kraje!B72:AK72,1,3*T!$A$4-2)</f>
        <v>213640</v>
      </c>
      <c r="E42" s="96">
        <f>INDEX([2]Kraje!C72:AL72,1,3*T!$A$4-2)</f>
        <v>3188.8</v>
      </c>
      <c r="F42" s="96">
        <f>INDEX([2]Kraje!D72:AM72,1,3*T!$A$4-2)</f>
        <v>34113.800000000003</v>
      </c>
      <c r="G42" s="334">
        <f>E42/$E$43</f>
        <v>6.2724911137086503E-2</v>
      </c>
      <c r="H42" s="316">
        <f t="shared" si="11"/>
        <v>3.2720865844450323E-3</v>
      </c>
      <c r="I42" s="283">
        <f>INDEX([4]Kraje!C72:AL72,1,3*T!$A$4-2)</f>
        <v>3178.4</v>
      </c>
      <c r="J42" s="96">
        <f>INDEX([4]Kraje!D72:AM72,1,3*T!$A$4-2)</f>
        <v>33857.300000000003</v>
      </c>
      <c r="K42" s="352">
        <f t="shared" si="12"/>
        <v>6.3525213227882502E-2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226431</v>
      </c>
      <c r="E43" s="251">
        <f>SUM(E39:E42)</f>
        <v>50837.856</v>
      </c>
      <c r="F43" s="252">
        <f>SUM(F39:F42)</f>
        <v>543769.85774000001</v>
      </c>
      <c r="G43" s="336">
        <f>SUM(G39:G42)</f>
        <v>0.99999999999999978</v>
      </c>
      <c r="H43" s="318">
        <f t="shared" si="11"/>
        <v>1.6072754357030442E-2</v>
      </c>
      <c r="I43" s="286">
        <f>SUM(I39:I42)</f>
        <v>50033.676999999996</v>
      </c>
      <c r="J43" s="252">
        <f>SUM(J39:J42)</f>
        <v>533027.43421199999</v>
      </c>
      <c r="K43" s="354">
        <f>SUM(K39:K42)</f>
        <v>1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40" t="s">
        <v>241</v>
      </c>
      <c r="B45" s="840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INDEX([2]Kraje!B75:AK75,1,3*T!$A$4-2)</f>
        <v>98</v>
      </c>
      <c r="E46" s="96">
        <f>INDEX([2]Kraje!C75:AL75,1,3*T!$A$4-2)</f>
        <v>8822.6229999999996</v>
      </c>
      <c r="F46" s="96">
        <f>INDEX([2]Kraje!D75:AM75,1,3*T!$A$4-2)</f>
        <v>94375.606030000024</v>
      </c>
      <c r="G46" s="334">
        <f>E46/$E$50</f>
        <v>0.59188452264180824</v>
      </c>
      <c r="H46" s="316">
        <f>(E46-I46)/I46</f>
        <v>-0.11416094765836032</v>
      </c>
      <c r="I46" s="283">
        <f>INDEX([4]Kraje!C75:AL75,1,3*T!$A$4-2)</f>
        <v>9959.6230000000014</v>
      </c>
      <c r="J46" s="96">
        <f>INDEX([4]Kraje!D75:AM75,1,3*T!$A$4-2)</f>
        <v>106086.38316999999</v>
      </c>
      <c r="K46" s="352">
        <f>I46/$I$50</f>
        <v>0.61733760353735445</v>
      </c>
    </row>
    <row r="47" spans="1:11" ht="14.1" customHeight="1" x14ac:dyDescent="0.2">
      <c r="A47" s="95"/>
      <c r="B47" s="95"/>
      <c r="C47" s="257" t="s">
        <v>7</v>
      </c>
      <c r="D47" s="245">
        <f>INDEX([2]Kraje!B76:AK76,1,3*T!$A$4-2)</f>
        <v>334</v>
      </c>
      <c r="E47" s="96">
        <f>INDEX([2]Kraje!C76:AL76,1,3*T!$A$4-2)</f>
        <v>1828.087</v>
      </c>
      <c r="F47" s="96">
        <f>INDEX([2]Kraje!D76:AM76,1,3*T!$A$4-2)</f>
        <v>19554.531610000002</v>
      </c>
      <c r="G47" s="334">
        <f t="shared" ref="G47:G49" si="13">E47/$E$50</f>
        <v>0.12264112399937017</v>
      </c>
      <c r="H47" s="316">
        <f t="shared" ref="H47:H50" si="14">(E47-I47)/I47</f>
        <v>-9.7725319791302154E-2</v>
      </c>
      <c r="I47" s="283">
        <f>INDEX([4]Kraje!C76:AL76,1,3*T!$A$4-2)</f>
        <v>2026.087</v>
      </c>
      <c r="J47" s="96">
        <f>INDEX([4]Kraje!D76:AM76,1,3*T!$A$4-2)</f>
        <v>21580.112625000016</v>
      </c>
      <c r="K47" s="352">
        <f t="shared" ref="K47:K49" si="15">I47/$I$50</f>
        <v>0.12558504404616397</v>
      </c>
    </row>
    <row r="48" spans="1:11" ht="14.1" customHeight="1" x14ac:dyDescent="0.2">
      <c r="A48" s="292"/>
      <c r="B48" s="268"/>
      <c r="C48" s="257" t="s">
        <v>8</v>
      </c>
      <c r="D48" s="245">
        <f>INDEX([2]Kraje!B77:AK77,1,3*T!$A$4-2)</f>
        <v>10094</v>
      </c>
      <c r="E48" s="96">
        <f>INDEX([2]Kraje!C77:AL77,1,3*T!$A$4-2)</f>
        <v>1461.8637940000001</v>
      </c>
      <c r="F48" s="96">
        <f>INDEX([2]Kraje!D77:AM77,1,3*T!$A$4-2)</f>
        <v>15636.430638</v>
      </c>
      <c r="G48" s="334">
        <f t="shared" si="13"/>
        <v>9.8072257409053148E-2</v>
      </c>
      <c r="H48" s="316">
        <f t="shared" si="14"/>
        <v>2.2737388575549716E-2</v>
      </c>
      <c r="I48" s="283">
        <f>INDEX([4]Kraje!C77:AL77,1,3*T!$A$4-2)</f>
        <v>1429.3637940000001</v>
      </c>
      <c r="J48" s="96">
        <f>INDEX([4]Kraje!D77:AM77,1,3*T!$A$4-2)</f>
        <v>15224.702034</v>
      </c>
      <c r="K48" s="352">
        <f t="shared" si="15"/>
        <v>8.8597732983569821E-2</v>
      </c>
    </row>
    <row r="49" spans="1:11" ht="14.1" customHeight="1" x14ac:dyDescent="0.2">
      <c r="A49" s="292"/>
      <c r="B49" s="268"/>
      <c r="C49" s="257" t="s">
        <v>9</v>
      </c>
      <c r="D49" s="245">
        <f>INDEX([2]Kraje!B78:AK78,1,3*T!$A$4-2)</f>
        <v>104736</v>
      </c>
      <c r="E49" s="96">
        <f>INDEX([2]Kraje!C78:AL78,1,3*T!$A$4-2)</f>
        <v>2793.4132060000002</v>
      </c>
      <c r="F49" s="96">
        <f>INDEX([2]Kraje!D78:AM78,1,3*T!$A$4-2)</f>
        <v>29878.548362000001</v>
      </c>
      <c r="G49" s="334">
        <f t="shared" si="13"/>
        <v>0.18740209594976837</v>
      </c>
      <c r="H49" s="316">
        <f t="shared" si="14"/>
        <v>2.7703040415602242E-2</v>
      </c>
      <c r="I49" s="283">
        <f>INDEX([4]Kraje!C78:AL78,1,3*T!$A$4-2)</f>
        <v>2718.113206</v>
      </c>
      <c r="J49" s="96">
        <f>INDEX([4]Kraje!D78:AM78,1,3*T!$A$4-2)</f>
        <v>28950.094966000001</v>
      </c>
      <c r="K49" s="352">
        <f t="shared" si="15"/>
        <v>0.16847961943291179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115262</v>
      </c>
      <c r="E50" s="251">
        <f>SUM(E46:E49)</f>
        <v>14905.987000000001</v>
      </c>
      <c r="F50" s="252">
        <f>SUM(F46:F49)</f>
        <v>159445.11664000002</v>
      </c>
      <c r="G50" s="336">
        <f>SUM(G46:G49)</f>
        <v>1</v>
      </c>
      <c r="H50" s="318">
        <f t="shared" si="14"/>
        <v>-7.6066805647266131E-2</v>
      </c>
      <c r="I50" s="286">
        <f>SUM(I46:I49)</f>
        <v>16133.187000000002</v>
      </c>
      <c r="J50" s="252">
        <f>SUM(J46:J49)</f>
        <v>171841.29279499999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40" t="s">
        <v>242</v>
      </c>
      <c r="B52" s="840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INDEX([2]Kraje!B81:AK81,1,3*T!$A$4-2)</f>
        <v>69</v>
      </c>
      <c r="E53" s="96">
        <f>INDEX([2]Kraje!C81:AL81,1,3*T!$A$4-2)</f>
        <v>10684.1</v>
      </c>
      <c r="F53" s="96">
        <f>INDEX([2]Kraje!D81:AM81,1,3*T!$A$4-2)</f>
        <v>114298.78032999999</v>
      </c>
      <c r="G53" s="334">
        <f>E53/$E$57</f>
        <v>0.62802946138336835</v>
      </c>
      <c r="H53" s="316">
        <f>(E53-I53)/I53</f>
        <v>-0.11147241049523886</v>
      </c>
      <c r="I53" s="283">
        <f>INDEX([4]Kraje!C81:AL81,1,3*T!$A$4-2)</f>
        <v>12024.5</v>
      </c>
      <c r="J53" s="96">
        <f>INDEX([4]Kraje!D81:AM81,1,3*T!$A$4-2)</f>
        <v>128090.01416600002</v>
      </c>
      <c r="K53" s="352">
        <f>I53/$I$57</f>
        <v>0.65209846147171591</v>
      </c>
    </row>
    <row r="54" spans="1:11" ht="14.1" customHeight="1" x14ac:dyDescent="0.2">
      <c r="A54" s="95"/>
      <c r="B54" s="95"/>
      <c r="C54" s="257" t="s">
        <v>7</v>
      </c>
      <c r="D54" s="245">
        <f>INDEX([2]Kraje!B82:AK82,1,3*T!$A$4-2)</f>
        <v>347</v>
      </c>
      <c r="E54" s="96">
        <f>INDEX([2]Kraje!C82:AL82,1,3*T!$A$4-2)</f>
        <v>1465.9</v>
      </c>
      <c r="F54" s="96">
        <f>INDEX([2]Kraje!D82:AM82,1,3*T!$A$4-2)</f>
        <v>15681.819709999992</v>
      </c>
      <c r="G54" s="334">
        <f t="shared" ref="G54:G56" si="16">E54/$E$57</f>
        <v>8.6168080366327504E-2</v>
      </c>
      <c r="H54" s="316">
        <f t="shared" ref="H54:H57" si="17">(E54-I54)/I54</f>
        <v>-3.9258094114562762E-2</v>
      </c>
      <c r="I54" s="283">
        <f>INDEX([4]Kraje!C82:AL82,1,3*T!$A$4-2)</f>
        <v>1525.8</v>
      </c>
      <c r="J54" s="96">
        <f>INDEX([4]Kraje!D82:AM82,1,3*T!$A$4-2)</f>
        <v>16253.454457000003</v>
      </c>
      <c r="K54" s="352">
        <f t="shared" ref="K54:K56" si="18">I54/$I$57</f>
        <v>8.2745380890144632E-2</v>
      </c>
    </row>
    <row r="55" spans="1:11" ht="14.1" customHeight="1" x14ac:dyDescent="0.2">
      <c r="A55" s="292"/>
      <c r="B55" s="268"/>
      <c r="C55" s="257" t="s">
        <v>8</v>
      </c>
      <c r="D55" s="245">
        <f>INDEX([2]Kraje!B83:AK83,1,3*T!$A$4-2)</f>
        <v>10369</v>
      </c>
      <c r="E55" s="96">
        <f>INDEX([2]Kraje!C83:AL83,1,3*T!$A$4-2)</f>
        <v>1493.1</v>
      </c>
      <c r="F55" s="96">
        <f>INDEX([2]Kraje!D83:AM83,1,3*T!$A$4-2)</f>
        <v>15972.7</v>
      </c>
      <c r="G55" s="334">
        <f t="shared" si="16"/>
        <v>8.776694235279596E-2</v>
      </c>
      <c r="H55" s="316">
        <f t="shared" si="17"/>
        <v>-1.0536779324055726E-2</v>
      </c>
      <c r="I55" s="283">
        <f>INDEX([4]Kraje!C83:AL83,1,3*T!$A$4-2)</f>
        <v>1509</v>
      </c>
      <c r="J55" s="96">
        <f>INDEX([4]Kraje!D83:AM83,1,3*T!$A$4-2)</f>
        <v>16074.4</v>
      </c>
      <c r="K55" s="352">
        <f t="shared" si="18"/>
        <v>8.1834303161114327E-2</v>
      </c>
    </row>
    <row r="56" spans="1:11" ht="14.1" customHeight="1" x14ac:dyDescent="0.2">
      <c r="A56" s="292"/>
      <c r="B56" s="268"/>
      <c r="C56" s="257" t="s">
        <v>9</v>
      </c>
      <c r="D56" s="245">
        <f>INDEX([2]Kraje!B84:AK84,1,3*T!$A$4-2)</f>
        <v>147879</v>
      </c>
      <c r="E56" s="96">
        <f>INDEX([2]Kraje!C84:AL84,1,3*T!$A$4-2)</f>
        <v>3369</v>
      </c>
      <c r="F56" s="96">
        <f>INDEX([2]Kraje!D84:AM84,1,3*T!$A$4-2)</f>
        <v>36041.300000000003</v>
      </c>
      <c r="G56" s="334">
        <f t="shared" si="16"/>
        <v>0.19803551589750826</v>
      </c>
      <c r="H56" s="316">
        <f t="shared" si="17"/>
        <v>-3.3723819666311946E-3</v>
      </c>
      <c r="I56" s="283">
        <f>INDEX([4]Kraje!C84:AL84,1,3*T!$A$4-2)</f>
        <v>3380.4</v>
      </c>
      <c r="J56" s="96">
        <f>INDEX([4]Kraje!D84:AM84,1,3*T!$A$4-2)</f>
        <v>36009.4</v>
      </c>
      <c r="K56" s="352">
        <f t="shared" si="18"/>
        <v>0.18332185447702512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158664</v>
      </c>
      <c r="E57" s="251">
        <f>SUM(E53:E56)</f>
        <v>17012.099999999999</v>
      </c>
      <c r="F57" s="252">
        <f>SUM(F53:F56)</f>
        <v>181994.60003999999</v>
      </c>
      <c r="G57" s="336">
        <f>SUM(G53:G56)</f>
        <v>1</v>
      </c>
      <c r="H57" s="318">
        <f t="shared" si="17"/>
        <v>-7.7419914640693838E-2</v>
      </c>
      <c r="I57" s="286">
        <f>SUM(I53:I56)</f>
        <v>18439.7</v>
      </c>
      <c r="J57" s="252">
        <f>SUM(J53:J56)</f>
        <v>196427.26862300001</v>
      </c>
      <c r="K57" s="354">
        <f>SUM(K53:K56)</f>
        <v>0.99999999999999989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52:B52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2015-10-06T11:50:21Z</cp:lastPrinted>
  <dcterms:created xsi:type="dcterms:W3CDTF">2010-02-15T08:19:53Z</dcterms:created>
  <dcterms:modified xsi:type="dcterms:W3CDTF">2015-11-02T13:55:45Z</dcterms:modified>
</cp:coreProperties>
</file>