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6405" windowWidth="14310" windowHeight="643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'1'!$A$1:$C$32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'2'!$A$1:$D$44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OLE_LINK55" localSheetId="3">'3'!$A$4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30" i="98" l="1"/>
  <c r="N30" i="98"/>
  <c r="M30" i="98"/>
  <c r="L30" i="98"/>
  <c r="K30" i="98"/>
  <c r="J30" i="98"/>
  <c r="O29" i="98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K17" i="98"/>
  <c r="L17" i="98"/>
  <c r="M17" i="98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J12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J17" i="97"/>
  <c r="K17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J21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J33" i="97"/>
  <c r="K33" i="97"/>
  <c r="L33" i="97"/>
  <c r="M33" i="97"/>
  <c r="N33" i="97"/>
  <c r="O33" i="97"/>
  <c r="J34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J9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I17" i="97" l="1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J40" i="96"/>
  <c r="K40" i="96"/>
  <c r="L40" i="96"/>
  <c r="M40" i="96"/>
  <c r="N40" i="96"/>
  <c r="O40" i="96"/>
  <c r="J41" i="96"/>
  <c r="K41" i="96"/>
  <c r="L41" i="96"/>
  <c r="M41" i="96"/>
  <c r="N41" i="96"/>
  <c r="O41" i="96"/>
  <c r="J42" i="96"/>
  <c r="K42" i="96"/>
  <c r="L42" i="96"/>
  <c r="M42" i="96"/>
  <c r="N42" i="96"/>
  <c r="O42" i="96"/>
  <c r="J35" i="96"/>
  <c r="K35" i="96"/>
  <c r="L35" i="96"/>
  <c r="M35" i="96"/>
  <c r="N35" i="96"/>
  <c r="O35" i="96"/>
  <c r="J36" i="96"/>
  <c r="K36" i="96"/>
  <c r="L36" i="96"/>
  <c r="M36" i="96"/>
  <c r="N36" i="96"/>
  <c r="O36" i="96"/>
  <c r="J37" i="96"/>
  <c r="K37" i="96"/>
  <c r="L37" i="96"/>
  <c r="M37" i="96"/>
  <c r="N37" i="96"/>
  <c r="O37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J30" i="96"/>
  <c r="K30" i="96"/>
  <c r="L30" i="96"/>
  <c r="M30" i="96"/>
  <c r="N30" i="96"/>
  <c r="O30" i="96"/>
  <c r="J31" i="96"/>
  <c r="K31" i="96"/>
  <c r="L31" i="96"/>
  <c r="M31" i="96"/>
  <c r="N31" i="96"/>
  <c r="O31" i="96"/>
  <c r="J32" i="96"/>
  <c r="K32" i="96"/>
  <c r="L32" i="96"/>
  <c r="M32" i="96"/>
  <c r="N32" i="96"/>
  <c r="O32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J23" i="96"/>
  <c r="K23" i="96"/>
  <c r="L23" i="96"/>
  <c r="M23" i="96"/>
  <c r="N23" i="96"/>
  <c r="O23" i="96"/>
  <c r="J24" i="96"/>
  <c r="K24" i="96"/>
  <c r="L24" i="96"/>
  <c r="M24" i="96"/>
  <c r="N24" i="96"/>
  <c r="O24" i="96"/>
  <c r="J25" i="96"/>
  <c r="K25" i="96"/>
  <c r="L25" i="96"/>
  <c r="M25" i="96"/>
  <c r="N25" i="96"/>
  <c r="O25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J16" i="96"/>
  <c r="K16" i="96"/>
  <c r="L16" i="96"/>
  <c r="M16" i="96"/>
  <c r="N16" i="96"/>
  <c r="O16" i="96"/>
  <c r="J17" i="96"/>
  <c r="K17" i="96"/>
  <c r="L17" i="96"/>
  <c r="M17" i="96"/>
  <c r="N17" i="96"/>
  <c r="O17" i="96"/>
  <c r="J18" i="96"/>
  <c r="K18" i="96"/>
  <c r="L18" i="96"/>
  <c r="M18" i="96"/>
  <c r="N18" i="96"/>
  <c r="O18" i="96"/>
  <c r="J10" i="96"/>
  <c r="K10" i="96"/>
  <c r="L10" i="96"/>
  <c r="M10" i="96"/>
  <c r="N10" i="96"/>
  <c r="O10" i="96"/>
  <c r="J11" i="96"/>
  <c r="K11" i="96"/>
  <c r="L11" i="96"/>
  <c r="M11" i="96"/>
  <c r="N11" i="96"/>
  <c r="O11" i="96"/>
  <c r="J9" i="96"/>
  <c r="K9" i="96"/>
  <c r="L9" i="96"/>
  <c r="M9" i="96"/>
  <c r="N9" i="96"/>
  <c r="O9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I34" i="97" l="1"/>
  <c r="E33" i="97"/>
  <c r="H34" i="97"/>
  <c r="G34" i="97"/>
  <c r="F34" i="97"/>
  <c r="F33" i="97"/>
  <c r="E34" i="97"/>
  <c r="D34" i="97"/>
  <c r="G16" i="82" l="1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H11" i="63" l="1"/>
  <c r="J11" i="63"/>
  <c r="B8" i="63"/>
  <c r="F8" i="63"/>
  <c r="J8" i="63"/>
  <c r="B9" i="63"/>
  <c r="F9" i="63"/>
  <c r="J9" i="63"/>
  <c r="B10" i="63"/>
  <c r="F10" i="63"/>
  <c r="J10" i="63"/>
  <c r="C7" i="63"/>
  <c r="G7" i="63"/>
  <c r="K7" i="63"/>
  <c r="L11" i="63"/>
  <c r="H8" i="63"/>
  <c r="D9" i="63"/>
  <c r="L9" i="63"/>
  <c r="H10" i="63"/>
  <c r="E7" i="63"/>
  <c r="M7" i="63"/>
  <c r="M11" i="63"/>
  <c r="I8" i="63"/>
  <c r="E9" i="63"/>
  <c r="I9" i="63"/>
  <c r="I10" i="63"/>
  <c r="F7" i="63"/>
  <c r="B7" i="63"/>
  <c r="K11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I11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I10" i="8" s="1"/>
  <c r="D11" i="8"/>
  <c r="E12" i="8"/>
  <c r="C14" i="8"/>
  <c r="D15" i="8"/>
  <c r="E16" i="8"/>
  <c r="J16" i="8" s="1"/>
  <c r="C18" i="8"/>
  <c r="I18" i="8" s="1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J32" i="8" s="1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J14" i="8" s="1"/>
  <c r="D17" i="8"/>
  <c r="C20" i="8"/>
  <c r="E22" i="8"/>
  <c r="D25" i="8"/>
  <c r="C28" i="8"/>
  <c r="E30" i="8"/>
  <c r="E34" i="8"/>
  <c r="J34" i="8" s="1"/>
  <c r="D37" i="8"/>
  <c r="B10" i="8"/>
  <c r="B14" i="8"/>
  <c r="B22" i="8"/>
  <c r="B30" i="8"/>
  <c r="B38" i="8"/>
  <c r="E9" i="8"/>
  <c r="J9" i="8" s="1"/>
  <c r="D12" i="8"/>
  <c r="E13" i="8"/>
  <c r="J13" i="8" s="1"/>
  <c r="D16" i="8"/>
  <c r="D20" i="8"/>
  <c r="C23" i="8"/>
  <c r="E25" i="8"/>
  <c r="J25" i="8" s="1"/>
  <c r="D28" i="8"/>
  <c r="C31" i="8"/>
  <c r="E33" i="8"/>
  <c r="J33" i="8" s="1"/>
  <c r="D36" i="8"/>
  <c r="E8" i="8"/>
  <c r="B15" i="8"/>
  <c r="B23" i="8"/>
  <c r="B31" i="8"/>
  <c r="B8" i="8"/>
  <c r="C9" i="8"/>
  <c r="I9" i="8" s="1"/>
  <c r="D10" i="8"/>
  <c r="E11" i="8"/>
  <c r="J11" i="8" s="1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J27" i="8" s="1"/>
  <c r="C29" i="8"/>
  <c r="D30" i="8"/>
  <c r="E31" i="8"/>
  <c r="J31" i="8" s="1"/>
  <c r="C33" i="8"/>
  <c r="I33" i="8" s="1"/>
  <c r="D34" i="8"/>
  <c r="C37" i="8"/>
  <c r="B9" i="8"/>
  <c r="B21" i="8"/>
  <c r="B29" i="8"/>
  <c r="B37" i="8"/>
  <c r="D9" i="8"/>
  <c r="E10" i="8"/>
  <c r="D13" i="8"/>
  <c r="C16" i="8"/>
  <c r="I16" i="8" s="1"/>
  <c r="E18" i="8"/>
  <c r="J18" i="8" s="1"/>
  <c r="D21" i="8"/>
  <c r="C24" i="8"/>
  <c r="E26" i="8"/>
  <c r="D29" i="8"/>
  <c r="C32" i="8"/>
  <c r="I32" i="8" s="1"/>
  <c r="D33" i="8"/>
  <c r="C36" i="8"/>
  <c r="E38" i="8"/>
  <c r="B18" i="8"/>
  <c r="B26" i="8"/>
  <c r="B34" i="8"/>
  <c r="C11" i="8"/>
  <c r="I11" i="8" s="1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I35" i="8" l="1"/>
  <c r="I15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E40" i="8" s="1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E27" i="92" s="1"/>
  <c r="D36" i="96"/>
  <c r="P36" i="96" s="1"/>
  <c r="F47" i="88"/>
  <c r="F49" i="88" s="1"/>
  <c r="F51" i="88" s="1"/>
  <c r="F14" i="93" s="1"/>
  <c r="F15" i="93" s="1"/>
  <c r="G19" i="82" l="1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51" i="88" s="1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15" i="88" l="1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<sst xmlns="http://schemas.openxmlformats.org/spreadsheetml/2006/main" count="830" uniqueCount="317">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</sst>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3" xfId="0" applyFont="1" applyFill="1" applyBorder="1" applyAlignment="1">
      <alignment horizontal="center" vertical="center" wrapText="1"/>
    </xf>
    <xf numFmtId="164" fontId="44" fillId="2" borderId="61" xfId="1" applyNumberFormat="1" applyFont="1" applyFill="1" applyBorder="1" applyAlignment="1">
      <alignment horizontal="right" vertical="center"/>
    </xf>
    <xf numFmtId="164" fontId="44" fillId="12" borderId="61" xfId="1" applyNumberFormat="1" applyFont="1" applyFill="1" applyBorder="1" applyAlignment="1">
      <alignment horizontal="right" vertical="center"/>
    </xf>
    <xf numFmtId="164" fontId="44" fillId="9" borderId="61" xfId="1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vertical="center"/>
    </xf>
    <xf numFmtId="0" fontId="45" fillId="3" borderId="61" xfId="0" applyFont="1" applyFill="1" applyBorder="1" applyAlignment="1">
      <alignment vertical="center"/>
    </xf>
    <xf numFmtId="164" fontId="44" fillId="2" borderId="61" xfId="1" applyNumberFormat="1" applyFont="1" applyFill="1" applyBorder="1" applyAlignment="1">
      <alignment vertical="center"/>
    </xf>
    <xf numFmtId="164" fontId="44" fillId="12" borderId="61" xfId="1" applyNumberFormat="1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vertical="center"/>
    </xf>
    <xf numFmtId="164" fontId="44" fillId="9" borderId="61" xfId="1" applyNumberFormat="1" applyFont="1" applyFill="1" applyBorder="1" applyAlignment="1">
      <alignment vertical="center"/>
    </xf>
    <xf numFmtId="0" fontId="45" fillId="3" borderId="63" xfId="0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right" vertical="center" wrapText="1"/>
    </xf>
    <xf numFmtId="0" fontId="44" fillId="2" borderId="63" xfId="0" applyFont="1" applyFill="1" applyBorder="1" applyAlignment="1">
      <alignment horizontal="right" vertical="center" wrapText="1"/>
    </xf>
    <xf numFmtId="0" fontId="45" fillId="2" borderId="6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4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3" xfId="1" applyNumberFormat="1" applyFont="1" applyFill="1" applyBorder="1" applyAlignment="1">
      <alignment horizontal="right" vertical="center"/>
    </xf>
    <xf numFmtId="0" fontId="45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4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4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4" fillId="2" borderId="61" xfId="1" applyNumberFormat="1" applyFont="1" applyFill="1" applyBorder="1" applyAlignment="1">
      <alignment horizontal="right" vertical="center"/>
    </xf>
    <xf numFmtId="166" fontId="44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0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0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164" fontId="44" fillId="3" borderId="72" xfId="1" applyNumberFormat="1" applyFont="1" applyFill="1" applyBorder="1" applyAlignment="1">
      <alignment horizontal="right" vertical="center"/>
    </xf>
    <xf numFmtId="164" fontId="44" fillId="11" borderId="72" xfId="1" applyNumberFormat="1" applyFont="1" applyFill="1" applyBorder="1" applyAlignment="1">
      <alignment horizontal="right" vertical="center"/>
    </xf>
    <xf numFmtId="0" fontId="14" fillId="2" borderId="92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3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8" xfId="0" applyFont="1" applyFill="1" applyBorder="1" applyAlignment="1">
      <alignment horizontal="left" vertical="center"/>
    </xf>
    <xf numFmtId="0" fontId="4" fillId="3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 wrapText="1"/>
    </xf>
    <xf numFmtId="164" fontId="15" fillId="3" borderId="98" xfId="1" applyNumberFormat="1" applyFont="1" applyFill="1" applyBorder="1" applyAlignment="1">
      <alignment horizontal="right" vertical="center"/>
    </xf>
    <xf numFmtId="164" fontId="15" fillId="3" borderId="97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9" xfId="1" applyNumberFormat="1" applyFont="1" applyFill="1" applyBorder="1" applyAlignment="1">
      <alignment horizontal="right" vertical="center"/>
    </xf>
    <xf numFmtId="0" fontId="4" fillId="9" borderId="96" xfId="2" applyFont="1" applyFill="1" applyBorder="1" applyAlignment="1">
      <alignment horizontal="right" vertical="center" wrapText="1"/>
    </xf>
    <xf numFmtId="0" fontId="4" fillId="9" borderId="97" xfId="2" applyFont="1" applyFill="1" applyBorder="1" applyAlignment="1">
      <alignment horizontal="left" vertical="center"/>
    </xf>
    <xf numFmtId="166" fontId="15" fillId="9" borderId="98" xfId="2" applyNumberFormat="1" applyFont="1" applyFill="1" applyBorder="1" applyAlignment="1">
      <alignment horizontal="righ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9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/>
    </xf>
    <xf numFmtId="166" fontId="15" fillId="3" borderId="98" xfId="2" applyNumberFormat="1" applyFont="1" applyFill="1" applyBorder="1" applyAlignment="1">
      <alignment horizontal="righ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9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00" xfId="2" applyFont="1" applyFill="1" applyBorder="1"/>
    <xf numFmtId="0" fontId="37" fillId="2" borderId="87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0" fontId="37" fillId="2" borderId="89" xfId="2" applyFont="1" applyFill="1" applyBorder="1" applyAlignment="1">
      <alignment horizontal="right"/>
    </xf>
    <xf numFmtId="166" fontId="37" fillId="3" borderId="102" xfId="2" applyNumberFormat="1" applyFont="1" applyFill="1" applyBorder="1" applyAlignment="1">
      <alignment horizontal="right" vertical="center"/>
    </xf>
    <xf numFmtId="165" fontId="37" fillId="2" borderId="90" xfId="2" applyNumberFormat="1" applyFont="1" applyFill="1" applyBorder="1"/>
    <xf numFmtId="165" fontId="37" fillId="2" borderId="91" xfId="2" applyNumberFormat="1" applyFont="1" applyFill="1" applyBorder="1"/>
    <xf numFmtId="165" fontId="37" fillId="2" borderId="87" xfId="2" applyNumberFormat="1" applyFont="1" applyFill="1" applyBorder="1"/>
    <xf numFmtId="165" fontId="37" fillId="2" borderId="86" xfId="2" applyNumberFormat="1" applyFont="1" applyFill="1" applyBorder="1"/>
    <xf numFmtId="165" fontId="37" fillId="2" borderId="89" xfId="2" applyNumberFormat="1" applyFont="1" applyFill="1" applyBorder="1"/>
    <xf numFmtId="165" fontId="37" fillId="2" borderId="88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4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37" fillId="2" borderId="87" xfId="2" applyFont="1" applyFill="1" applyBorder="1" applyAlignment="1">
      <alignment horizontal="right"/>
    </xf>
    <xf numFmtId="0" fontId="37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5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3" fontId="18" fillId="10" borderId="0" xfId="2" applyNumberFormat="1" applyFont="1" applyFill="1" applyBorder="1" applyAlignment="1">
      <alignment horizontal="center" vertic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166" fontId="4" fillId="3" borderId="0" xfId="2" applyNumberFormat="1" applyFont="1" applyFill="1" applyBorder="1" applyAlignment="1">
      <alignment horizontal="left" wrapText="1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0" fontId="49" fillId="3" borderId="0" xfId="2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3085.6129205509801</c:v>
                </c:pt>
                <c:pt idx="1">
                  <c:v>-2207.6789693017681</c:v>
                </c:pt>
                <c:pt idx="2">
                  <c:v>0.13611899999999999</c:v>
                </c:pt>
                <c:pt idx="3">
                  <c:v>-560.69673699999998</c:v>
                </c:pt>
                <c:pt idx="4">
                  <c:v>13.031152000000001</c:v>
                </c:pt>
                <c:pt idx="5">
                  <c:v>-15.996548770799476</c:v>
                </c:pt>
                <c:pt idx="6">
                  <c:v>-314.4079364784123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09229184"/>
        <c:axId val="109230720"/>
        <c:axId val="0"/>
      </c:bar3DChart>
      <c:catAx>
        <c:axId val="109229184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9230720"/>
        <c:crosses val="autoZero"/>
        <c:auto val="1"/>
        <c:lblAlgn val="ctr"/>
        <c:lblOffset val="100"/>
        <c:noMultiLvlLbl val="0"/>
      </c:catAx>
      <c:valAx>
        <c:axId val="109230720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9229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73024"/>
        <c:axId val="115074560"/>
      </c:barChart>
      <c:catAx>
        <c:axId val="11507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74560"/>
        <c:crosses val="autoZero"/>
        <c:auto val="1"/>
        <c:lblAlgn val="ctr"/>
        <c:lblOffset val="100"/>
        <c:noMultiLvlLbl val="0"/>
      </c:catAx>
      <c:valAx>
        <c:axId val="115074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07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10.473309182389936</c:v>
                </c:pt>
                <c:pt idx="182">
                  <c:v>10.231068805031446</c:v>
                </c:pt>
                <c:pt idx="183">
                  <c:v>9.4097015408805031</c:v>
                </c:pt>
                <c:pt idx="184">
                  <c:v>7.7609388050314472</c:v>
                </c:pt>
                <c:pt idx="185">
                  <c:v>7.4637163522012582</c:v>
                </c:pt>
                <c:pt idx="186">
                  <c:v>8.3704407861635222</c:v>
                </c:pt>
                <c:pt idx="187">
                  <c:v>9.7289828616352203</c:v>
                </c:pt>
                <c:pt idx="188">
                  <c:v>10.085161823899371</c:v>
                </c:pt>
                <c:pt idx="189">
                  <c:v>10.271071163522013</c:v>
                </c:pt>
                <c:pt idx="190">
                  <c:v>10.16759965408805</c:v>
                </c:pt>
                <c:pt idx="191">
                  <c:v>8.3459539937106921</c:v>
                </c:pt>
                <c:pt idx="192">
                  <c:v>8.3414185220125798</c:v>
                </c:pt>
                <c:pt idx="193">
                  <c:v>10.033385408805032</c:v>
                </c:pt>
                <c:pt idx="194">
                  <c:v>10.206578993710693</c:v>
                </c:pt>
                <c:pt idx="195">
                  <c:v>10.316589088050316</c:v>
                </c:pt>
                <c:pt idx="196">
                  <c:v>10.132570974842768</c:v>
                </c:pt>
                <c:pt idx="197">
                  <c:v>9.264428993710693</c:v>
                </c:pt>
                <c:pt idx="198">
                  <c:v>7.6277541823899373</c:v>
                </c:pt>
                <c:pt idx="199">
                  <c:v>8.1321187106918238</c:v>
                </c:pt>
                <c:pt idx="200">
                  <c:v>9.6582097484276748</c:v>
                </c:pt>
                <c:pt idx="201">
                  <c:v>9.6537068238993715</c:v>
                </c:pt>
                <c:pt idx="202">
                  <c:v>9.9155521069182395</c:v>
                </c:pt>
                <c:pt idx="203">
                  <c:v>9.8530133333333332</c:v>
                </c:pt>
                <c:pt idx="204">
                  <c:v>9.5929036163522028</c:v>
                </c:pt>
                <c:pt idx="205">
                  <c:v>7.9916644654088058</c:v>
                </c:pt>
                <c:pt idx="206">
                  <c:v>7.9953914465408813</c:v>
                </c:pt>
                <c:pt idx="207">
                  <c:v>9.2302025786163533</c:v>
                </c:pt>
                <c:pt idx="208">
                  <c:v>9.2931007861635226</c:v>
                </c:pt>
                <c:pt idx="209">
                  <c:v>9.468700786163522</c:v>
                </c:pt>
                <c:pt idx="210">
                  <c:v>9.970038993710693</c:v>
                </c:pt>
                <c:pt idx="211">
                  <c:v>9.0534568238993707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15040"/>
        <c:axId val="118232192"/>
      </c:lineChart>
      <c:dateAx>
        <c:axId val="11501504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8232192"/>
        <c:crosses val="autoZero"/>
        <c:auto val="1"/>
        <c:lblOffset val="100"/>
        <c:baseTimeUnit val="days"/>
      </c:dateAx>
      <c:valAx>
        <c:axId val="11823219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01504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35456"/>
        <c:axId val="114836992"/>
      </c:barChart>
      <c:catAx>
        <c:axId val="114835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36992"/>
        <c:crosses val="autoZero"/>
        <c:auto val="1"/>
        <c:lblAlgn val="ctr"/>
        <c:lblOffset val="100"/>
        <c:noMultiLvlLbl val="0"/>
      </c:catAx>
      <c:valAx>
        <c:axId val="114836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48354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23837.739988002013</c:v>
                </c:pt>
                <c:pt idx="1">
                  <c:v>275508.15849041025</c:v>
                </c:pt>
                <c:pt idx="2">
                  <c:v>12256.823</c:v>
                </c:pt>
                <c:pt idx="3">
                  <c:v>2805.2149999999997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23150.637393489658</c:v>
                </c:pt>
                <c:pt idx="1">
                  <c:v>271684.39776552253</c:v>
                </c:pt>
                <c:pt idx="2">
                  <c:v>11424.033000000001</c:v>
                </c:pt>
                <c:pt idx="3">
                  <c:v>2636.9519999999993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05760256"/>
        <c:axId val="105761792"/>
        <c:axId val="0"/>
      </c:bar3DChart>
      <c:catAx>
        <c:axId val="105760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05761792"/>
        <c:crosses val="autoZero"/>
        <c:auto val="1"/>
        <c:lblAlgn val="ctr"/>
        <c:lblOffset val="100"/>
        <c:noMultiLvlLbl val="0"/>
      </c:catAx>
      <c:valAx>
        <c:axId val="1057617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57602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23837.739988002013</c:v>
                </c:pt>
                <c:pt idx="1">
                  <c:v>275508.15849041025</c:v>
                </c:pt>
                <c:pt idx="2">
                  <c:v>12256.823</c:v>
                </c:pt>
                <c:pt idx="3">
                  <c:v>2805.2149999999997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9764.973</c:v>
                </c:pt>
                <c:pt idx="1">
                  <c:v>31394.300000000003</c:v>
                </c:pt>
                <c:pt idx="2">
                  <c:v>9374.8000000000011</c:v>
                </c:pt>
                <c:pt idx="3">
                  <c:v>12177</c:v>
                </c:pt>
                <c:pt idx="4">
                  <c:v>12350.699999999999</c:v>
                </c:pt>
                <c:pt idx="5">
                  <c:v>46191.021000000001</c:v>
                </c:pt>
                <c:pt idx="6">
                  <c:v>16389.400000000001</c:v>
                </c:pt>
                <c:pt idx="7">
                  <c:v>14600.8</c:v>
                </c:pt>
                <c:pt idx="8">
                  <c:v>14787</c:v>
                </c:pt>
                <c:pt idx="9">
                  <c:v>22307.627874050271</c:v>
                </c:pt>
                <c:pt idx="10">
                  <c:v>47261.523999999998</c:v>
                </c:pt>
                <c:pt idx="11">
                  <c:v>43562.194000000003</c:v>
                </c:pt>
                <c:pt idx="12">
                  <c:v>13077.814000000002</c:v>
                </c:pt>
                <c:pt idx="13">
                  <c:v>14026.2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9299.7960000000003</c:v>
                </c:pt>
                <c:pt idx="1">
                  <c:v>29638.300000000003</c:v>
                </c:pt>
                <c:pt idx="2">
                  <c:v>10310.1</c:v>
                </c:pt>
                <c:pt idx="3">
                  <c:v>12270.3</c:v>
                </c:pt>
                <c:pt idx="4">
                  <c:v>11567.1</c:v>
                </c:pt>
                <c:pt idx="5">
                  <c:v>42648.212</c:v>
                </c:pt>
                <c:pt idx="6">
                  <c:v>15878.099999999999</c:v>
                </c:pt>
                <c:pt idx="7">
                  <c:v>13538.2</c:v>
                </c:pt>
                <c:pt idx="8">
                  <c:v>15020.400000000001</c:v>
                </c:pt>
                <c:pt idx="9">
                  <c:v>21779.441411709737</c:v>
                </c:pt>
                <c:pt idx="10">
                  <c:v>42643.975999999995</c:v>
                </c:pt>
                <c:pt idx="11">
                  <c:v>48232.859000000004</c:v>
                </c:pt>
                <c:pt idx="12">
                  <c:v>13538.513999999999</c:v>
                </c:pt>
                <c:pt idx="13">
                  <c:v>15215.800000000001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0888832"/>
        <c:axId val="110890368"/>
        <c:axId val="0"/>
      </c:bar3DChart>
      <c:catAx>
        <c:axId val="110888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0890368"/>
        <c:crosses val="autoZero"/>
        <c:auto val="1"/>
        <c:lblAlgn val="ctr"/>
        <c:lblOffset val="100"/>
        <c:noMultiLvlLbl val="0"/>
      </c:catAx>
      <c:valAx>
        <c:axId val="1108903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08888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42156</c:v>
                </c:pt>
                <c:pt idx="1">
                  <c:v>42157</c:v>
                </c:pt>
                <c:pt idx="2">
                  <c:v>42158</c:v>
                </c:pt>
                <c:pt idx="3">
                  <c:v>42159</c:v>
                </c:pt>
                <c:pt idx="4">
                  <c:v>42160</c:v>
                </c:pt>
                <c:pt idx="5">
                  <c:v>42161</c:v>
                </c:pt>
                <c:pt idx="6">
                  <c:v>42162</c:v>
                </c:pt>
                <c:pt idx="7">
                  <c:v>42163</c:v>
                </c:pt>
                <c:pt idx="8">
                  <c:v>42164</c:v>
                </c:pt>
                <c:pt idx="9">
                  <c:v>42165</c:v>
                </c:pt>
                <c:pt idx="10">
                  <c:v>42166</c:v>
                </c:pt>
                <c:pt idx="11">
                  <c:v>42167</c:v>
                </c:pt>
                <c:pt idx="12">
                  <c:v>42168</c:v>
                </c:pt>
                <c:pt idx="13">
                  <c:v>42169</c:v>
                </c:pt>
                <c:pt idx="14">
                  <c:v>42170</c:v>
                </c:pt>
                <c:pt idx="15">
                  <c:v>42171</c:v>
                </c:pt>
                <c:pt idx="16">
                  <c:v>42172</c:v>
                </c:pt>
                <c:pt idx="17">
                  <c:v>42173</c:v>
                </c:pt>
                <c:pt idx="18">
                  <c:v>42174</c:v>
                </c:pt>
                <c:pt idx="19">
                  <c:v>42175</c:v>
                </c:pt>
                <c:pt idx="20">
                  <c:v>42176</c:v>
                </c:pt>
                <c:pt idx="21">
                  <c:v>42177</c:v>
                </c:pt>
                <c:pt idx="22">
                  <c:v>42178</c:v>
                </c:pt>
                <c:pt idx="23">
                  <c:v>42179</c:v>
                </c:pt>
                <c:pt idx="24">
                  <c:v>42180</c:v>
                </c:pt>
                <c:pt idx="25">
                  <c:v>42181</c:v>
                </c:pt>
                <c:pt idx="26">
                  <c:v>42182</c:v>
                </c:pt>
                <c:pt idx="27">
                  <c:v>42183</c:v>
                </c:pt>
                <c:pt idx="28">
                  <c:v>42184</c:v>
                </c:pt>
                <c:pt idx="29">
                  <c:v>42185</c:v>
                </c:pt>
                <c:pt idx="30">
                  <c:v>#N/A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11.138553848757228</c:v>
                </c:pt>
                <c:pt idx="1">
                  <c:v>11.003023012763272</c:v>
                </c:pt>
                <c:pt idx="2">
                  <c:v>10.573388433417819</c:v>
                </c:pt>
                <c:pt idx="3">
                  <c:v>10.746849399797272</c:v>
                </c:pt>
                <c:pt idx="4">
                  <c:v>10.160940166784341</c:v>
                </c:pt>
                <c:pt idx="5">
                  <c:v>8.219274334229274</c:v>
                </c:pt>
                <c:pt idx="6">
                  <c:v>8.7818334472753126</c:v>
                </c:pt>
                <c:pt idx="7">
                  <c:v>10.694449652365083</c:v>
                </c:pt>
                <c:pt idx="8">
                  <c:v>11.318170860413256</c:v>
                </c:pt>
                <c:pt idx="9">
                  <c:v>10.856343232966216</c:v>
                </c:pt>
                <c:pt idx="10">
                  <c:v>10.592796184617917</c:v>
                </c:pt>
                <c:pt idx="11">
                  <c:v>9.7578283784183615</c:v>
                </c:pt>
                <c:pt idx="12">
                  <c:v>8.0874519176162973</c:v>
                </c:pt>
                <c:pt idx="13">
                  <c:v>8.3527232431608116</c:v>
                </c:pt>
                <c:pt idx="14">
                  <c:v>10.533784697160701</c:v>
                </c:pt>
                <c:pt idx="15">
                  <c:v>11.051272942360116</c:v>
                </c:pt>
                <c:pt idx="16">
                  <c:v>11.171552968152533</c:v>
                </c:pt>
                <c:pt idx="17">
                  <c:v>11.287807611347086</c:v>
                </c:pt>
                <c:pt idx="18">
                  <c:v>11.221964926447567</c:v>
                </c:pt>
                <c:pt idx="19">
                  <c:v>9.6320657383782624</c:v>
                </c:pt>
                <c:pt idx="20">
                  <c:v>10.068684557840834</c:v>
                </c:pt>
                <c:pt idx="21">
                  <c:v>11.900793448201846</c:v>
                </c:pt>
                <c:pt idx="22">
                  <c:v>12.514668333493278</c:v>
                </c:pt>
                <c:pt idx="23">
                  <c:v>12.524604969460771</c:v>
                </c:pt>
                <c:pt idx="24">
                  <c:v>11.591579537906711</c:v>
                </c:pt>
                <c:pt idx="25">
                  <c:v>10.491096429598116</c:v>
                </c:pt>
                <c:pt idx="26">
                  <c:v>8.9860592689411707</c:v>
                </c:pt>
                <c:pt idx="27">
                  <c:v>9.2388504465816332</c:v>
                </c:pt>
                <c:pt idx="28">
                  <c:v>11.076462548321208</c:v>
                </c:pt>
                <c:pt idx="29">
                  <c:v>10.832951940338289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58784"/>
        <c:axId val="113160960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42156</c:v>
                </c:pt>
                <c:pt idx="1">
                  <c:v>42157</c:v>
                </c:pt>
                <c:pt idx="2">
                  <c:v>42158</c:v>
                </c:pt>
                <c:pt idx="3">
                  <c:v>42159</c:v>
                </c:pt>
                <c:pt idx="4">
                  <c:v>42160</c:v>
                </c:pt>
                <c:pt idx="5">
                  <c:v>42161</c:v>
                </c:pt>
                <c:pt idx="6">
                  <c:v>42162</c:v>
                </c:pt>
                <c:pt idx="7">
                  <c:v>42163</c:v>
                </c:pt>
                <c:pt idx="8">
                  <c:v>42164</c:v>
                </c:pt>
                <c:pt idx="9">
                  <c:v>42165</c:v>
                </c:pt>
                <c:pt idx="10">
                  <c:v>42166</c:v>
                </c:pt>
                <c:pt idx="11">
                  <c:v>42167</c:v>
                </c:pt>
                <c:pt idx="12">
                  <c:v>42168</c:v>
                </c:pt>
                <c:pt idx="13">
                  <c:v>42169</c:v>
                </c:pt>
                <c:pt idx="14">
                  <c:v>42170</c:v>
                </c:pt>
                <c:pt idx="15">
                  <c:v>42171</c:v>
                </c:pt>
                <c:pt idx="16">
                  <c:v>42172</c:v>
                </c:pt>
                <c:pt idx="17">
                  <c:v>42173</c:v>
                </c:pt>
                <c:pt idx="18">
                  <c:v>42174</c:v>
                </c:pt>
                <c:pt idx="19">
                  <c:v>42175</c:v>
                </c:pt>
                <c:pt idx="20">
                  <c:v>42176</c:v>
                </c:pt>
                <c:pt idx="21">
                  <c:v>42177</c:v>
                </c:pt>
                <c:pt idx="22">
                  <c:v>42178</c:v>
                </c:pt>
                <c:pt idx="23">
                  <c:v>42179</c:v>
                </c:pt>
                <c:pt idx="24">
                  <c:v>42180</c:v>
                </c:pt>
                <c:pt idx="25">
                  <c:v>42181</c:v>
                </c:pt>
                <c:pt idx="26">
                  <c:v>42182</c:v>
                </c:pt>
                <c:pt idx="27">
                  <c:v>42183</c:v>
                </c:pt>
                <c:pt idx="28">
                  <c:v>42184</c:v>
                </c:pt>
                <c:pt idx="29">
                  <c:v>42185</c:v>
                </c:pt>
                <c:pt idx="30">
                  <c:v>#N/A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18.2</c:v>
                </c:pt>
                <c:pt idx="1">
                  <c:v>19.600000000000001</c:v>
                </c:pt>
                <c:pt idx="2">
                  <c:v>22.1</c:v>
                </c:pt>
                <c:pt idx="3">
                  <c:v>18.100000000000001</c:v>
                </c:pt>
                <c:pt idx="4">
                  <c:v>19</c:v>
                </c:pt>
                <c:pt idx="5">
                  <c:v>22</c:v>
                </c:pt>
                <c:pt idx="6">
                  <c:v>21.1</c:v>
                </c:pt>
                <c:pt idx="7">
                  <c:v>17.3</c:v>
                </c:pt>
                <c:pt idx="8">
                  <c:v>13.5</c:v>
                </c:pt>
                <c:pt idx="9">
                  <c:v>15.6</c:v>
                </c:pt>
                <c:pt idx="10">
                  <c:v>18.399999999999999</c:v>
                </c:pt>
                <c:pt idx="11">
                  <c:v>22.2</c:v>
                </c:pt>
                <c:pt idx="12">
                  <c:v>21</c:v>
                </c:pt>
                <c:pt idx="13">
                  <c:v>19.5</c:v>
                </c:pt>
                <c:pt idx="14">
                  <c:v>16</c:v>
                </c:pt>
                <c:pt idx="15">
                  <c:v>14.5</c:v>
                </c:pt>
                <c:pt idx="16">
                  <c:v>12.3</c:v>
                </c:pt>
                <c:pt idx="17">
                  <c:v>15</c:v>
                </c:pt>
                <c:pt idx="18">
                  <c:v>11.9</c:v>
                </c:pt>
                <c:pt idx="19">
                  <c:v>11</c:v>
                </c:pt>
                <c:pt idx="20">
                  <c:v>12.5</c:v>
                </c:pt>
                <c:pt idx="21">
                  <c:v>13.7</c:v>
                </c:pt>
                <c:pt idx="22">
                  <c:v>12</c:v>
                </c:pt>
                <c:pt idx="23">
                  <c:v>12.8</c:v>
                </c:pt>
                <c:pt idx="24">
                  <c:v>15.3</c:v>
                </c:pt>
                <c:pt idx="25">
                  <c:v>18.2</c:v>
                </c:pt>
                <c:pt idx="26">
                  <c:v>17.2</c:v>
                </c:pt>
                <c:pt idx="27">
                  <c:v>16.2</c:v>
                </c:pt>
                <c:pt idx="28">
                  <c:v>16.8</c:v>
                </c:pt>
                <c:pt idx="29">
                  <c:v>19.399999999999999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77344"/>
        <c:axId val="113162880"/>
      </c:lineChart>
      <c:dateAx>
        <c:axId val="1131587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13160960"/>
        <c:crossesAt val="0"/>
        <c:auto val="1"/>
        <c:lblOffset val="100"/>
        <c:baseTimeUnit val="days"/>
        <c:majorUnit val="1"/>
      </c:dateAx>
      <c:valAx>
        <c:axId val="113160960"/>
        <c:scaling>
          <c:orientation val="minMax"/>
          <c:max val="15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3158784"/>
        <c:crosses val="autoZero"/>
        <c:crossBetween val="between"/>
        <c:majorUnit val="1"/>
      </c:valAx>
      <c:valAx>
        <c:axId val="113162880"/>
        <c:scaling>
          <c:orientation val="maxMin"/>
          <c:max val="23.5"/>
          <c:min val="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13177344"/>
        <c:crosses val="max"/>
        <c:crossBetween val="between"/>
        <c:majorUnit val="1.5"/>
      </c:valAx>
      <c:dateAx>
        <c:axId val="113177344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13162880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5</c:v>
                </c:pt>
                <c:pt idx="1">
                  <c:v>3</c:v>
                </c:pt>
                <c:pt idx="2">
                  <c:v>10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39712"/>
        <c:axId val="105941632"/>
      </c:barChart>
      <c:dateAx>
        <c:axId val="1059397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059416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0594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0593971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20544"/>
        <c:axId val="105822080"/>
      </c:barChart>
      <c:catAx>
        <c:axId val="105820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22080"/>
        <c:crosses val="autoZero"/>
        <c:auto val="1"/>
        <c:lblAlgn val="ctr"/>
        <c:lblOffset val="100"/>
        <c:noMultiLvlLbl val="0"/>
      </c:catAx>
      <c:valAx>
        <c:axId val="105822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582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30400"/>
        <c:axId val="110631936"/>
      </c:barChart>
      <c:catAx>
        <c:axId val="11063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31936"/>
        <c:crosses val="autoZero"/>
        <c:auto val="1"/>
        <c:lblAlgn val="ctr"/>
        <c:lblOffset val="100"/>
        <c:noMultiLvlLbl val="0"/>
      </c:catAx>
      <c:valAx>
        <c:axId val="110631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630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30656"/>
        <c:axId val="115032448"/>
      </c:barChart>
      <c:catAx>
        <c:axId val="11503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32448"/>
        <c:crosses val="autoZero"/>
        <c:auto val="1"/>
        <c:lblAlgn val="ctr"/>
        <c:lblOffset val="100"/>
        <c:noMultiLvlLbl val="0"/>
      </c:catAx>
      <c:valAx>
        <c:axId val="115032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030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3</xdr:col>
      <xdr:colOff>733425</xdr:colOff>
      <xdr:row>27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5905500" cy="794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3359554.1312374724</v>
          </cell>
          <cell r="M13">
            <v>35761425.901000001</v>
          </cell>
          <cell r="N13"/>
          <cell r="O13">
            <v>3473460.5549108558</v>
          </cell>
          <cell r="P13">
            <v>37110331.166999996</v>
          </cell>
          <cell r="Q13"/>
          <cell r="R13">
            <v>3085550.7289798502</v>
          </cell>
          <cell r="S13">
            <v>33002302.838</v>
          </cell>
          <cell r="T13"/>
          <cell r="U13">
            <v>0</v>
          </cell>
          <cell r="V13">
            <v>0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2717204.5553303575</v>
          </cell>
          <cell r="M22">
            <v>28932320.229000002</v>
          </cell>
          <cell r="N22"/>
          <cell r="O22">
            <v>2660489.4069797872</v>
          </cell>
          <cell r="P22">
            <v>28414675.905000001</v>
          </cell>
          <cell r="Q22"/>
          <cell r="R22">
            <v>2207667.6083260933</v>
          </cell>
          <cell r="S22">
            <v>23609373.644262001</v>
          </cell>
          <cell r="T22"/>
          <cell r="U22">
            <v>0</v>
          </cell>
          <cell r="V22">
            <v>0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40534.315000000002</v>
          </cell>
          <cell r="M41">
            <v>432632.30599999998</v>
          </cell>
          <cell r="N41"/>
          <cell r="O41">
            <v>361.29300000000001</v>
          </cell>
          <cell r="P41">
            <v>3872.93</v>
          </cell>
          <cell r="Q41"/>
          <cell r="R41">
            <v>136.119</v>
          </cell>
          <cell r="S41">
            <v>1461.345</v>
          </cell>
          <cell r="T41"/>
          <cell r="U41">
            <v>0</v>
          </cell>
          <cell r="V41">
            <v>0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52046.067999999999</v>
          </cell>
          <cell r="M45">
            <v>553969.45600000001</v>
          </cell>
          <cell r="N45"/>
          <cell r="O45">
            <v>406773.18200000003</v>
          </cell>
          <cell r="P45">
            <v>4350350.6279999996</v>
          </cell>
          <cell r="Q45"/>
          <cell r="R45">
            <v>560696.73699999996</v>
          </cell>
          <cell r="S45">
            <v>6007531.1279999996</v>
          </cell>
          <cell r="T45"/>
          <cell r="U45">
            <v>0</v>
          </cell>
          <cell r="V45">
            <v>0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>
            <v>22137.01290711484</v>
          </cell>
          <cell r="M49">
            <v>234875.3429999979</v>
          </cell>
          <cell r="N49"/>
          <cell r="O49">
            <v>16169.176930368703</v>
          </cell>
          <cell r="P49">
            <v>173853.55899999477</v>
          </cell>
          <cell r="Q49"/>
          <cell r="R49">
            <v>15995.512653756887</v>
          </cell>
          <cell r="S49">
            <v>162297.60973799974</v>
          </cell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990.09702993950839</v>
          </cell>
          <cell r="AZ31">
            <v>10395.74662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127.5958964775333</v>
          </cell>
          <cell r="AN32">
            <v>1359.0539828999999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10</v>
          </cell>
          <cell r="U63">
            <v>0</v>
          </cell>
          <cell r="V63">
            <v>0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0</v>
          </cell>
          <cell r="V26">
            <v>0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11</v>
          </cell>
          <cell r="U36">
            <v>0</v>
          </cell>
          <cell r="V36">
            <v>0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0</v>
          </cell>
          <cell r="V56">
            <v>0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/>
        </row>
        <row r="199">
          <cell r="AF199"/>
        </row>
        <row r="200">
          <cell r="AF200"/>
        </row>
        <row r="201">
          <cell r="AF201"/>
        </row>
        <row r="202">
          <cell r="AF202"/>
        </row>
        <row r="203">
          <cell r="AF203"/>
        </row>
        <row r="204">
          <cell r="AF204"/>
        </row>
        <row r="205">
          <cell r="AF205"/>
        </row>
        <row r="206">
          <cell r="AF206"/>
        </row>
        <row r="207">
          <cell r="AF207"/>
        </row>
        <row r="208">
          <cell r="AF208"/>
        </row>
        <row r="209">
          <cell r="AF209"/>
        </row>
        <row r="210">
          <cell r="AF210"/>
        </row>
        <row r="211">
          <cell r="AF211"/>
        </row>
        <row r="212">
          <cell r="AF212"/>
        </row>
        <row r="213">
          <cell r="AF213"/>
        </row>
        <row r="214">
          <cell r="AF214"/>
        </row>
        <row r="215">
          <cell r="AF215"/>
        </row>
        <row r="216">
          <cell r="AF216"/>
        </row>
        <row r="217">
          <cell r="AF217"/>
        </row>
        <row r="218">
          <cell r="AF218"/>
        </row>
        <row r="219">
          <cell r="AF219"/>
        </row>
        <row r="220">
          <cell r="AF220"/>
        </row>
        <row r="221">
          <cell r="AF221"/>
        </row>
        <row r="222">
          <cell r="AF222"/>
        </row>
        <row r="223">
          <cell r="AF223"/>
        </row>
        <row r="224">
          <cell r="AF224"/>
        </row>
        <row r="225">
          <cell r="AF225"/>
        </row>
        <row r="226">
          <cell r="AF226"/>
        </row>
        <row r="227">
          <cell r="AF227"/>
        </row>
        <row r="228">
          <cell r="AF228"/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 t="e">
            <v>#DIV/0!</v>
          </cell>
          <cell r="AI3">
            <v>0</v>
          </cell>
          <cell r="AJ3">
            <v>0</v>
          </cell>
          <cell r="AK3">
            <v>17.199999999999996</v>
          </cell>
          <cell r="AL3" t="e">
            <v>#DIV/0!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6.8110497237569074</v>
          </cell>
          <cell r="BM3">
            <v>21.8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 t="e">
            <v>#DIV/0!</v>
          </cell>
          <cell r="AI4">
            <v>0</v>
          </cell>
          <cell r="AJ4">
            <v>0</v>
          </cell>
          <cell r="AK4">
            <v>18.899999999999988</v>
          </cell>
          <cell r="AL4" t="e">
            <v>#DIV/0!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8.5513812154696147</v>
          </cell>
          <cell r="BM4">
            <v>25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 t="e">
            <v>#DIV/0!</v>
          </cell>
          <cell r="AI5">
            <v>0</v>
          </cell>
          <cell r="AJ5">
            <v>0</v>
          </cell>
          <cell r="AK5">
            <v>16.5</v>
          </cell>
          <cell r="AL5" t="e">
            <v>#DIV/0!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5.7370165745856356</v>
          </cell>
          <cell r="BM5">
            <v>22.8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 t="e">
            <v>#DIV/0!</v>
          </cell>
          <cell r="AI6">
            <v>0</v>
          </cell>
          <cell r="AJ6">
            <v>0</v>
          </cell>
          <cell r="AK6">
            <v>16.899999999999991</v>
          </cell>
          <cell r="AL6" t="e">
            <v>#DIV/0!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6.9038674033149192</v>
          </cell>
          <cell r="BM6">
            <v>21.7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 t="e">
            <v>#DIV/0!</v>
          </cell>
          <cell r="AI7">
            <v>0</v>
          </cell>
          <cell r="AJ7">
            <v>0</v>
          </cell>
          <cell r="AK7">
            <v>16.600000000000009</v>
          </cell>
          <cell r="AL7" t="e">
            <v>#DIV/0!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6.7541436464088394</v>
          </cell>
          <cell r="BM7">
            <v>22.4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 t="e">
            <v>#DIV/0!</v>
          </cell>
          <cell r="AI8">
            <v>0</v>
          </cell>
          <cell r="AJ8">
            <v>0</v>
          </cell>
          <cell r="AK8">
            <v>17.199999999999996</v>
          </cell>
          <cell r="AL8" t="e">
            <v>#DIV/0!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7.3861878453038692</v>
          </cell>
          <cell r="BM8">
            <v>24.6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 t="e">
            <v>#DIV/0!</v>
          </cell>
          <cell r="AI9">
            <v>0</v>
          </cell>
          <cell r="AJ9">
            <v>0</v>
          </cell>
          <cell r="AK9">
            <v>16.699999999999996</v>
          </cell>
          <cell r="AL9" t="e">
            <v>#DIV/0!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7.0154696132596648</v>
          </cell>
          <cell r="BM9">
            <v>22.5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 t="e">
            <v>#DIV/0!</v>
          </cell>
          <cell r="AI10">
            <v>0</v>
          </cell>
          <cell r="AJ10">
            <v>0</v>
          </cell>
          <cell r="AK10">
            <v>17.7</v>
          </cell>
          <cell r="AL10" t="e">
            <v>#DIV/0!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7.0607734806629834</v>
          </cell>
          <cell r="BM10">
            <v>22.4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 t="e">
            <v>#DIV/0!</v>
          </cell>
          <cell r="AI11">
            <v>0</v>
          </cell>
          <cell r="AJ11">
            <v>0</v>
          </cell>
          <cell r="AK11">
            <v>17.5</v>
          </cell>
          <cell r="AL11" t="e">
            <v>#DIV/0!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7.2160220994475148</v>
          </cell>
          <cell r="BM11">
            <v>23.3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 t="e">
            <v>#DIV/0!</v>
          </cell>
          <cell r="AI12">
            <v>0</v>
          </cell>
          <cell r="AJ12">
            <v>0</v>
          </cell>
          <cell r="AK12">
            <v>18.7</v>
          </cell>
          <cell r="AL12" t="e">
            <v>#DIV/0!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8.8845303867403356</v>
          </cell>
          <cell r="BM12">
            <v>25.4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 t="e">
            <v>#DIV/0!</v>
          </cell>
          <cell r="AI13">
            <v>0</v>
          </cell>
          <cell r="AJ13">
            <v>0</v>
          </cell>
          <cell r="AK13">
            <v>18.3</v>
          </cell>
          <cell r="AL13" t="e">
            <v>#DIV/0!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7.7906077348066303</v>
          </cell>
          <cell r="BM13">
            <v>22.9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 t="e">
            <v>#DIV/0!</v>
          </cell>
          <cell r="AI14">
            <v>0</v>
          </cell>
          <cell r="AJ14">
            <v>0</v>
          </cell>
          <cell r="AK14">
            <v>18.5</v>
          </cell>
          <cell r="AL14" t="e">
            <v>#DIV/0!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7.6375690607734761</v>
          </cell>
          <cell r="BM14">
            <v>23.5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 t="e">
            <v>#DIV/0!</v>
          </cell>
          <cell r="AI15">
            <v>0</v>
          </cell>
          <cell r="AJ15">
            <v>0</v>
          </cell>
          <cell r="AK15">
            <v>17</v>
          </cell>
          <cell r="AL15" t="e">
            <v>#DIV/0!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6.6933701657458551</v>
          </cell>
          <cell r="BM15">
            <v>22.2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 t="e">
            <v>#DIV/0!</v>
          </cell>
          <cell r="AI16">
            <v>0</v>
          </cell>
          <cell r="AJ16">
            <v>0</v>
          </cell>
          <cell r="AK16">
            <v>18.2</v>
          </cell>
          <cell r="AL16" t="e">
            <v>#DIV/0!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7.1060773480663038</v>
          </cell>
          <cell r="BM16">
            <v>23.5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 t="e">
            <v>#DIV/0!</v>
          </cell>
          <cell r="AI17">
            <v>0</v>
          </cell>
          <cell r="AJ17">
            <v>0</v>
          </cell>
          <cell r="AK17">
            <v>17.525806451612908</v>
          </cell>
          <cell r="AL17" t="e">
            <v>#DIV/0!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7.3204419889502796</v>
          </cell>
          <cell r="BM17">
            <v>22.2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0</v>
          </cell>
          <cell r="AI21">
            <v>0</v>
          </cell>
          <cell r="AJ21">
            <v>0</v>
          </cell>
          <cell r="AK21">
            <v>18.7</v>
          </cell>
          <cell r="AL21">
            <v>-18.7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4.110382513661202</v>
          </cell>
          <cell r="BM21">
            <v>23.1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 t="e">
            <v>#DIV/0!</v>
          </cell>
          <cell r="AI22" t="e">
            <v>#DIV/0!</v>
          </cell>
          <cell r="AJ22" t="e">
            <v>#DIV/0!</v>
          </cell>
          <cell r="AK22">
            <v>17.583333333333329</v>
          </cell>
          <cell r="AL22" t="e">
            <v>#DIV/0!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0</v>
          </cell>
          <cell r="AI23">
            <v>0</v>
          </cell>
          <cell r="AJ23">
            <v>0</v>
          </cell>
          <cell r="AK23">
            <v>17.100000000000009</v>
          </cell>
          <cell r="AL23">
            <v>-17.100000000000009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3.3505464480874307</v>
          </cell>
          <cell r="BM23">
            <v>22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 t="e">
            <v>#DIV/0!</v>
          </cell>
          <cell r="AI24">
            <v>0</v>
          </cell>
          <cell r="AJ24">
            <v>0</v>
          </cell>
          <cell r="AK24">
            <v>17.525806451612908</v>
          </cell>
          <cell r="AL24" t="e">
            <v>#DIV/0!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7.3204419889502796</v>
          </cell>
          <cell r="BM24">
            <v>22.2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 t="e">
            <v>#DIV/0!</v>
          </cell>
          <cell r="AI25">
            <v>0</v>
          </cell>
          <cell r="AJ25">
            <v>0</v>
          </cell>
          <cell r="AK25">
            <v>17.525806451612908</v>
          </cell>
          <cell r="AL25" t="e">
            <v>#DIV/0!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7.3204419889502796</v>
          </cell>
          <cell r="BM25">
            <v>22.2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0</v>
          </cell>
          <cell r="E200">
            <v>0</v>
          </cell>
        </row>
        <row r="201">
          <cell r="A201">
            <v>42187</v>
          </cell>
          <cell r="B201" t="str">
            <v>čtvrtek</v>
          </cell>
          <cell r="D201">
            <v>0</v>
          </cell>
          <cell r="E201">
            <v>0</v>
          </cell>
        </row>
        <row r="202">
          <cell r="A202">
            <v>42188</v>
          </cell>
          <cell r="B202" t="str">
            <v>pátek</v>
          </cell>
          <cell r="D202">
            <v>0</v>
          </cell>
          <cell r="E202">
            <v>0</v>
          </cell>
        </row>
        <row r="203">
          <cell r="A203">
            <v>42189</v>
          </cell>
          <cell r="B203" t="str">
            <v>sobota</v>
          </cell>
          <cell r="D203">
            <v>0</v>
          </cell>
          <cell r="E203">
            <v>0</v>
          </cell>
        </row>
        <row r="204">
          <cell r="A204">
            <v>42190</v>
          </cell>
          <cell r="B204" t="str">
            <v>neděle</v>
          </cell>
          <cell r="D204">
            <v>0</v>
          </cell>
          <cell r="E204">
            <v>0</v>
          </cell>
        </row>
        <row r="205">
          <cell r="A205">
            <v>42191</v>
          </cell>
          <cell r="B205" t="str">
            <v>pondělí</v>
          </cell>
          <cell r="D205">
            <v>0</v>
          </cell>
          <cell r="E205">
            <v>0</v>
          </cell>
        </row>
        <row r="206">
          <cell r="A206">
            <v>42192</v>
          </cell>
          <cell r="B206" t="str">
            <v>úterý</v>
          </cell>
          <cell r="D206">
            <v>0</v>
          </cell>
          <cell r="E206">
            <v>0</v>
          </cell>
        </row>
        <row r="207">
          <cell r="A207">
            <v>42193</v>
          </cell>
          <cell r="B207" t="str">
            <v>středa</v>
          </cell>
          <cell r="D207">
            <v>0</v>
          </cell>
          <cell r="E207">
            <v>0</v>
          </cell>
        </row>
        <row r="208">
          <cell r="A208">
            <v>42194</v>
          </cell>
          <cell r="B208" t="str">
            <v>čtvrtek</v>
          </cell>
          <cell r="D208">
            <v>0</v>
          </cell>
          <cell r="E208">
            <v>0</v>
          </cell>
        </row>
        <row r="209">
          <cell r="A209">
            <v>42195</v>
          </cell>
          <cell r="B209" t="str">
            <v>pátek</v>
          </cell>
          <cell r="D209">
            <v>0</v>
          </cell>
          <cell r="E209">
            <v>0</v>
          </cell>
        </row>
        <row r="210">
          <cell r="A210">
            <v>42196</v>
          </cell>
          <cell r="B210" t="str">
            <v>sobota</v>
          </cell>
          <cell r="D210">
            <v>0</v>
          </cell>
          <cell r="E210">
            <v>0</v>
          </cell>
        </row>
        <row r="211">
          <cell r="A211">
            <v>42197</v>
          </cell>
          <cell r="B211" t="str">
            <v>neděle</v>
          </cell>
          <cell r="D211">
            <v>0</v>
          </cell>
          <cell r="E211">
            <v>0</v>
          </cell>
        </row>
        <row r="212">
          <cell r="A212">
            <v>42198</v>
          </cell>
          <cell r="B212" t="str">
            <v>pondělí</v>
          </cell>
          <cell r="D212">
            <v>0</v>
          </cell>
          <cell r="E212">
            <v>0</v>
          </cell>
        </row>
        <row r="213">
          <cell r="A213">
            <v>42199</v>
          </cell>
          <cell r="B213" t="str">
            <v>úterý</v>
          </cell>
          <cell r="D213">
            <v>0</v>
          </cell>
          <cell r="E213">
            <v>0</v>
          </cell>
        </row>
        <row r="214">
          <cell r="A214">
            <v>42200</v>
          </cell>
          <cell r="B214" t="str">
            <v>středa</v>
          </cell>
          <cell r="D214">
            <v>0</v>
          </cell>
          <cell r="E214">
            <v>0</v>
          </cell>
        </row>
        <row r="215">
          <cell r="A215">
            <v>42201</v>
          </cell>
          <cell r="B215" t="str">
            <v>čtvrtek</v>
          </cell>
          <cell r="D215">
            <v>0</v>
          </cell>
          <cell r="E215">
            <v>0</v>
          </cell>
        </row>
        <row r="216">
          <cell r="A216">
            <v>42202</v>
          </cell>
          <cell r="B216" t="str">
            <v>pátek</v>
          </cell>
          <cell r="D216">
            <v>0</v>
          </cell>
          <cell r="E216">
            <v>0</v>
          </cell>
        </row>
        <row r="217">
          <cell r="A217">
            <v>42203</v>
          </cell>
          <cell r="B217" t="str">
            <v>sobota</v>
          </cell>
          <cell r="D217">
            <v>0</v>
          </cell>
          <cell r="E217">
            <v>0</v>
          </cell>
        </row>
        <row r="218">
          <cell r="A218">
            <v>42204</v>
          </cell>
          <cell r="B218" t="str">
            <v>neděle</v>
          </cell>
          <cell r="D218">
            <v>0</v>
          </cell>
          <cell r="E218">
            <v>0</v>
          </cell>
        </row>
        <row r="219">
          <cell r="A219">
            <v>42205</v>
          </cell>
          <cell r="B219" t="str">
            <v>pondělí</v>
          </cell>
          <cell r="D219">
            <v>0</v>
          </cell>
          <cell r="E219">
            <v>0</v>
          </cell>
        </row>
        <row r="220">
          <cell r="A220">
            <v>42206</v>
          </cell>
          <cell r="B220" t="str">
            <v>úterý</v>
          </cell>
          <cell r="D220">
            <v>0</v>
          </cell>
          <cell r="E220">
            <v>0</v>
          </cell>
        </row>
        <row r="221">
          <cell r="A221">
            <v>42207</v>
          </cell>
          <cell r="B221" t="str">
            <v>středa</v>
          </cell>
          <cell r="D221">
            <v>0</v>
          </cell>
          <cell r="E221">
            <v>0</v>
          </cell>
        </row>
        <row r="222">
          <cell r="A222">
            <v>42208</v>
          </cell>
          <cell r="B222" t="str">
            <v>čtvrtek</v>
          </cell>
          <cell r="D222">
            <v>0</v>
          </cell>
          <cell r="E222">
            <v>0</v>
          </cell>
        </row>
        <row r="223">
          <cell r="A223">
            <v>42209</v>
          </cell>
          <cell r="B223" t="str">
            <v>pátek</v>
          </cell>
          <cell r="D223">
            <v>0</v>
          </cell>
          <cell r="E223">
            <v>0</v>
          </cell>
        </row>
        <row r="224">
          <cell r="A224">
            <v>42210</v>
          </cell>
          <cell r="B224" t="str">
            <v>sobota</v>
          </cell>
          <cell r="D224">
            <v>0</v>
          </cell>
          <cell r="E224">
            <v>0</v>
          </cell>
        </row>
        <row r="225">
          <cell r="A225">
            <v>42211</v>
          </cell>
          <cell r="B225" t="str">
            <v>neděle</v>
          </cell>
          <cell r="D225">
            <v>0</v>
          </cell>
          <cell r="E225">
            <v>0</v>
          </cell>
        </row>
        <row r="226">
          <cell r="A226">
            <v>42212</v>
          </cell>
          <cell r="B226" t="str">
            <v>pondělí</v>
          </cell>
          <cell r="D226">
            <v>0</v>
          </cell>
          <cell r="E226">
            <v>0</v>
          </cell>
        </row>
        <row r="227">
          <cell r="A227">
            <v>42213</v>
          </cell>
          <cell r="B227" t="str">
            <v>úterý</v>
          </cell>
          <cell r="D227">
            <v>0</v>
          </cell>
          <cell r="E227">
            <v>0</v>
          </cell>
        </row>
        <row r="228">
          <cell r="A228">
            <v>42214</v>
          </cell>
          <cell r="B228" t="str">
            <v>středa</v>
          </cell>
          <cell r="D228">
            <v>0</v>
          </cell>
          <cell r="E228">
            <v>0</v>
          </cell>
        </row>
        <row r="229">
          <cell r="A229">
            <v>42215</v>
          </cell>
          <cell r="B229" t="str">
            <v>čtvrtek</v>
          </cell>
          <cell r="D229">
            <v>0</v>
          </cell>
          <cell r="E229">
            <v>0</v>
          </cell>
        </row>
        <row r="230">
          <cell r="A230">
            <v>42216</v>
          </cell>
          <cell r="B230" t="str">
            <v>pátek</v>
          </cell>
          <cell r="D230">
            <v>0</v>
          </cell>
          <cell r="E230">
            <v>0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9.2915719791032654</v>
          </cell>
          <cell r="K4">
            <v>9.3548387096774182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98.490662978494612</v>
          </cell>
          <cell r="K5">
            <v>99.354838709677452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2.1319994498834021E-2</v>
          </cell>
          <cell r="K6">
            <v>0.15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0.22599194168764061</v>
          </cell>
          <cell r="K7">
            <v>1.5931034482758626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288.03873135220124</v>
          </cell>
          <cell r="K12">
            <v>289.99999999999994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3053.210552333333</v>
          </cell>
          <cell r="K13">
            <v>3080.0000000000005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-5.7042878899801329E-2</v>
          </cell>
          <cell r="K14">
            <v>-3.3719801942547346E-2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291.53099502439761</v>
          </cell>
          <cell r="K19">
            <v>289.99999999999994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3090.2285472586145</v>
          </cell>
          <cell r="K20">
            <v>3080.0000000000005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-8.4134727254814412E-2</v>
          </cell>
          <cell r="K21">
            <v>1.174754506456746E-3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10.473309182389936</v>
          </cell>
          <cell r="K26">
            <v>9.3548387096774199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111.01707733333333</v>
          </cell>
          <cell r="K27">
            <v>99.354838709677423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7.4637163522012582</v>
          </cell>
          <cell r="K29">
            <v>9.3548387096774199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79.11539333333333</v>
          </cell>
          <cell r="K30">
            <v>99.354838709677423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2.1319994498834021E-2</v>
          </cell>
          <cell r="K34">
            <v>0.15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0.22599194168764061</v>
          </cell>
          <cell r="K35">
            <v>1.5931034482758626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288.03873135220124</v>
          </cell>
          <cell r="K52">
            <v>289.99999999999994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3053.210552333333</v>
          </cell>
          <cell r="K53">
            <v>3080.0000000000005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17.199999999999996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291.53099502439761</v>
          </cell>
          <cell r="K57">
            <v>289.99999999999994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3090.2285472586145</v>
          </cell>
          <cell r="K58">
            <v>3080.0000000000005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10.473309182389936</v>
          </cell>
        </row>
        <row r="184">
          <cell r="R184">
            <v>42187</v>
          </cell>
          <cell r="S184">
            <v>10.231068805031446</v>
          </cell>
        </row>
        <row r="185">
          <cell r="R185">
            <v>42188</v>
          </cell>
          <cell r="S185">
            <v>9.4097015408805031</v>
          </cell>
        </row>
        <row r="186">
          <cell r="R186">
            <v>42189</v>
          </cell>
          <cell r="S186">
            <v>7.7609388050314472</v>
          </cell>
        </row>
        <row r="187">
          <cell r="R187">
            <v>42190</v>
          </cell>
          <cell r="S187">
            <v>7.4637163522012582</v>
          </cell>
        </row>
        <row r="188">
          <cell r="R188">
            <v>42191</v>
          </cell>
          <cell r="S188">
            <v>8.3704407861635222</v>
          </cell>
        </row>
        <row r="189">
          <cell r="R189">
            <v>42192</v>
          </cell>
          <cell r="S189">
            <v>9.7289828616352203</v>
          </cell>
        </row>
        <row r="190">
          <cell r="R190">
            <v>42193</v>
          </cell>
          <cell r="S190">
            <v>10.085161823899371</v>
          </cell>
        </row>
        <row r="191">
          <cell r="R191">
            <v>42194</v>
          </cell>
          <cell r="S191">
            <v>10.271071163522013</v>
          </cell>
        </row>
        <row r="192">
          <cell r="R192">
            <v>42195</v>
          </cell>
          <cell r="S192">
            <v>10.16759965408805</v>
          </cell>
        </row>
        <row r="193">
          <cell r="R193">
            <v>42196</v>
          </cell>
          <cell r="S193">
            <v>8.3459539937106921</v>
          </cell>
        </row>
        <row r="194">
          <cell r="R194">
            <v>42197</v>
          </cell>
          <cell r="S194">
            <v>8.3414185220125798</v>
          </cell>
        </row>
        <row r="195">
          <cell r="R195">
            <v>42198</v>
          </cell>
          <cell r="S195">
            <v>10.033385408805032</v>
          </cell>
        </row>
        <row r="196">
          <cell r="R196">
            <v>42199</v>
          </cell>
          <cell r="S196">
            <v>10.206578993710693</v>
          </cell>
        </row>
        <row r="197">
          <cell r="R197">
            <v>42200</v>
          </cell>
          <cell r="S197">
            <v>10.316589088050316</v>
          </cell>
        </row>
        <row r="198">
          <cell r="R198">
            <v>42201</v>
          </cell>
          <cell r="S198">
            <v>10.132570974842768</v>
          </cell>
        </row>
        <row r="199">
          <cell r="R199">
            <v>42202</v>
          </cell>
          <cell r="S199">
            <v>9.264428993710693</v>
          </cell>
        </row>
        <row r="200">
          <cell r="R200">
            <v>42203</v>
          </cell>
          <cell r="S200">
            <v>7.6277541823899373</v>
          </cell>
        </row>
        <row r="201">
          <cell r="R201">
            <v>42204</v>
          </cell>
          <cell r="S201">
            <v>8.1321187106918238</v>
          </cell>
        </row>
        <row r="202">
          <cell r="R202">
            <v>42205</v>
          </cell>
          <cell r="S202">
            <v>9.6582097484276748</v>
          </cell>
        </row>
        <row r="203">
          <cell r="R203">
            <v>42206</v>
          </cell>
          <cell r="S203">
            <v>9.6537068238993715</v>
          </cell>
        </row>
        <row r="204">
          <cell r="R204">
            <v>42207</v>
          </cell>
          <cell r="S204">
            <v>9.9155521069182395</v>
          </cell>
        </row>
        <row r="205">
          <cell r="R205">
            <v>42208</v>
          </cell>
          <cell r="S205">
            <v>9.8530133333333332</v>
          </cell>
        </row>
        <row r="206">
          <cell r="R206">
            <v>42209</v>
          </cell>
          <cell r="S206">
            <v>9.5929036163522028</v>
          </cell>
        </row>
        <row r="207">
          <cell r="R207">
            <v>42210</v>
          </cell>
          <cell r="S207">
            <v>7.9916644654088058</v>
          </cell>
        </row>
        <row r="208">
          <cell r="R208">
            <v>42211</v>
          </cell>
          <cell r="S208">
            <v>7.9953914465408813</v>
          </cell>
        </row>
        <row r="209">
          <cell r="R209">
            <v>42212</v>
          </cell>
          <cell r="S209">
            <v>9.2302025786163533</v>
          </cell>
        </row>
        <row r="210">
          <cell r="R210">
            <v>42213</v>
          </cell>
          <cell r="S210">
            <v>9.2931007861635226</v>
          </cell>
        </row>
        <row r="211">
          <cell r="R211">
            <v>42214</v>
          </cell>
          <cell r="S211">
            <v>9.468700786163522</v>
          </cell>
        </row>
        <row r="212">
          <cell r="R212">
            <v>42215</v>
          </cell>
          <cell r="S212">
            <v>9.970038993710693</v>
          </cell>
        </row>
        <row r="213">
          <cell r="R213">
            <v>42216</v>
          </cell>
          <cell r="S213">
            <v>9.0534568238993707</v>
          </cell>
        </row>
        <row r="214">
          <cell r="R214">
            <v>42217</v>
          </cell>
          <cell r="S214">
            <v>9.3548387096774199</v>
          </cell>
        </row>
        <row r="215">
          <cell r="R215">
            <v>42218</v>
          </cell>
          <cell r="S215">
            <v>9.3548387096774199</v>
          </cell>
        </row>
        <row r="216">
          <cell r="R216">
            <v>42219</v>
          </cell>
          <cell r="S216">
            <v>9.3548387096774199</v>
          </cell>
        </row>
        <row r="217">
          <cell r="R217">
            <v>42220</v>
          </cell>
          <cell r="S217">
            <v>9.3548387096774199</v>
          </cell>
        </row>
        <row r="218">
          <cell r="R218">
            <v>42221</v>
          </cell>
          <cell r="S218">
            <v>9.3548387096774199</v>
          </cell>
        </row>
        <row r="219">
          <cell r="R219">
            <v>42222</v>
          </cell>
          <cell r="S219">
            <v>9.3548387096774199</v>
          </cell>
        </row>
        <row r="220">
          <cell r="R220">
            <v>42223</v>
          </cell>
          <cell r="S220">
            <v>9.3548387096774199</v>
          </cell>
        </row>
        <row r="221">
          <cell r="R221">
            <v>42224</v>
          </cell>
          <cell r="S221">
            <v>9.3548387096774199</v>
          </cell>
        </row>
        <row r="222">
          <cell r="R222">
            <v>42225</v>
          </cell>
          <cell r="S222">
            <v>9.3548387096774199</v>
          </cell>
        </row>
        <row r="223">
          <cell r="R223">
            <v>42226</v>
          </cell>
          <cell r="S223">
            <v>9.3548387096774199</v>
          </cell>
        </row>
        <row r="224">
          <cell r="R224">
            <v>42227</v>
          </cell>
          <cell r="S224">
            <v>9.3548387096774199</v>
          </cell>
        </row>
        <row r="225">
          <cell r="R225">
            <v>42228</v>
          </cell>
          <cell r="S225">
            <v>9.3548387096774199</v>
          </cell>
        </row>
        <row r="226">
          <cell r="R226">
            <v>42229</v>
          </cell>
          <cell r="S226">
            <v>9.3548387096774199</v>
          </cell>
        </row>
        <row r="227">
          <cell r="R227">
            <v>42230</v>
          </cell>
          <cell r="S227">
            <v>9.3548387096774199</v>
          </cell>
        </row>
        <row r="228">
          <cell r="R228">
            <v>42231</v>
          </cell>
          <cell r="S228">
            <v>9.3548387096774199</v>
          </cell>
        </row>
        <row r="229">
          <cell r="R229">
            <v>42232</v>
          </cell>
          <cell r="S229">
            <v>9.3548387096774199</v>
          </cell>
        </row>
        <row r="230">
          <cell r="R230">
            <v>42233</v>
          </cell>
          <cell r="S230">
            <v>9.3548387096774199</v>
          </cell>
        </row>
        <row r="231">
          <cell r="R231">
            <v>42234</v>
          </cell>
          <cell r="S231">
            <v>9.3548387096774199</v>
          </cell>
        </row>
        <row r="232">
          <cell r="R232">
            <v>42235</v>
          </cell>
          <cell r="S232">
            <v>9.3548387096774199</v>
          </cell>
        </row>
        <row r="233">
          <cell r="R233">
            <v>42236</v>
          </cell>
          <cell r="S233">
            <v>9.3548387096774199</v>
          </cell>
        </row>
        <row r="234">
          <cell r="R234">
            <v>42237</v>
          </cell>
          <cell r="S234">
            <v>9.3548387096774199</v>
          </cell>
        </row>
        <row r="235">
          <cell r="R235">
            <v>42238</v>
          </cell>
          <cell r="S235">
            <v>9.3548387096774199</v>
          </cell>
        </row>
        <row r="236">
          <cell r="R236">
            <v>42239</v>
          </cell>
          <cell r="S236">
            <v>9.3548387096774199</v>
          </cell>
        </row>
        <row r="237">
          <cell r="R237">
            <v>42240</v>
          </cell>
          <cell r="S237">
            <v>9.3548387096774199</v>
          </cell>
        </row>
        <row r="238">
          <cell r="R238">
            <v>42241</v>
          </cell>
          <cell r="S238">
            <v>9.3548387096774199</v>
          </cell>
        </row>
        <row r="239">
          <cell r="R239">
            <v>42242</v>
          </cell>
          <cell r="S239">
            <v>9.3548387096774199</v>
          </cell>
        </row>
        <row r="240">
          <cell r="R240">
            <v>42243</v>
          </cell>
          <cell r="S240">
            <v>9.3548387096774199</v>
          </cell>
        </row>
        <row r="241">
          <cell r="R241">
            <v>42244</v>
          </cell>
          <cell r="S241">
            <v>9.3548387096774199</v>
          </cell>
        </row>
        <row r="242">
          <cell r="R242">
            <v>42245</v>
          </cell>
          <cell r="S242">
            <v>9.3548387096774199</v>
          </cell>
        </row>
        <row r="243">
          <cell r="R243">
            <v>42246</v>
          </cell>
          <cell r="S243">
            <v>9.3548387096774199</v>
          </cell>
        </row>
        <row r="244">
          <cell r="R244">
            <v>42247</v>
          </cell>
          <cell r="S244">
            <v>9.3548387096774199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 t="e">
            <v>#DIV/0!</v>
          </cell>
          <cell r="AA6"/>
          <cell r="AB6">
            <v>0</v>
          </cell>
          <cell r="AC6" t="e">
            <v>#DIV/0!</v>
          </cell>
          <cell r="AD6" t="e">
            <v>#DIV/0!</v>
          </cell>
          <cell r="AE6"/>
          <cell r="AF6">
            <v>0</v>
          </cell>
          <cell r="AG6" t="e">
            <v>#DIV/0!</v>
          </cell>
          <cell r="AH6" t="e">
            <v>#DIV/0!</v>
          </cell>
          <cell r="AI6"/>
          <cell r="AJ6">
            <v>0</v>
          </cell>
          <cell r="AK6" t="e">
            <v>#DIV/0!</v>
          </cell>
          <cell r="AL6" t="e">
            <v>#DIV/0!</v>
          </cell>
          <cell r="AM6"/>
          <cell r="AN6">
            <v>0</v>
          </cell>
          <cell r="AO6" t="e">
            <v>#DIV/0!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6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62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topLeftCell="A13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1" t="s">
        <v>266</v>
      </c>
      <c r="J1" s="821"/>
    </row>
    <row r="2" spans="1:16" ht="6.75" customHeight="1" x14ac:dyDescent="0.2"/>
    <row r="3" spans="1:16" ht="30" customHeight="1" x14ac:dyDescent="0.2">
      <c r="A3" s="829" t="s">
        <v>302</v>
      </c>
      <c r="B3" s="829"/>
      <c r="C3" s="829"/>
      <c r="D3" s="829"/>
      <c r="E3" s="829"/>
      <c r="F3" s="829"/>
      <c r="G3" s="829"/>
      <c r="H3" s="829"/>
      <c r="I3" s="829"/>
      <c r="J3" s="829"/>
    </row>
    <row r="4" spans="1:16" ht="16.5" customHeight="1" x14ac:dyDescent="0.2">
      <c r="B4" s="242"/>
      <c r="C4" s="828" t="str">
        <f>T!G19</f>
        <v>Červen</v>
      </c>
      <c r="D4" s="828"/>
      <c r="E4" s="223">
        <f>T!I21</f>
        <v>2015</v>
      </c>
      <c r="F4" s="242"/>
      <c r="G4" s="242"/>
      <c r="H4" s="242"/>
    </row>
    <row r="5" spans="1:16" ht="6.75" customHeight="1" x14ac:dyDescent="0.2">
      <c r="A5" s="271"/>
      <c r="B5" s="272"/>
      <c r="C5" s="272"/>
      <c r="D5" s="270"/>
      <c r="E5" s="242"/>
      <c r="F5" s="242"/>
      <c r="G5" s="242"/>
      <c r="H5" s="273"/>
      <c r="I5" s="91"/>
    </row>
    <row r="6" spans="1:16" ht="14.1" customHeight="1" x14ac:dyDescent="0.25">
      <c r="A6" s="271"/>
      <c r="B6" s="126"/>
      <c r="C6" s="274"/>
      <c r="D6" s="275"/>
      <c r="E6" s="276"/>
      <c r="F6" s="276"/>
      <c r="G6" s="831" t="s">
        <v>226</v>
      </c>
      <c r="H6" s="277"/>
      <c r="I6" s="276"/>
      <c r="J6" s="274"/>
    </row>
    <row r="7" spans="1:16" ht="14.1" customHeight="1" x14ac:dyDescent="0.25">
      <c r="A7" s="278"/>
      <c r="B7" s="279"/>
      <c r="C7" s="263"/>
      <c r="D7" s="264" t="str">
        <f>T!$G$19</f>
        <v>Červen</v>
      </c>
      <c r="E7" s="265">
        <f>E4</f>
        <v>2015</v>
      </c>
      <c r="F7" s="265"/>
      <c r="G7" s="832"/>
      <c r="H7" s="280" t="str">
        <f>T!$G$19</f>
        <v>Červen</v>
      </c>
      <c r="I7" s="260">
        <f>E4-1</f>
        <v>2014</v>
      </c>
      <c r="J7" s="274"/>
    </row>
    <row r="8" spans="1:16" ht="14.1" customHeight="1" x14ac:dyDescent="0.2">
      <c r="A8" s="278"/>
      <c r="B8" s="372"/>
      <c r="D8" s="840" t="s">
        <v>71</v>
      </c>
      <c r="E8" s="793"/>
      <c r="F8" s="331" t="s">
        <v>224</v>
      </c>
      <c r="G8" s="832"/>
      <c r="H8" s="841" t="s">
        <v>71</v>
      </c>
      <c r="I8" s="793"/>
      <c r="J8" s="349" t="s">
        <v>224</v>
      </c>
    </row>
    <row r="9" spans="1:16" ht="12" customHeight="1" x14ac:dyDescent="0.2">
      <c r="A9" s="250"/>
      <c r="B9" s="373"/>
      <c r="C9" s="373"/>
      <c r="D9" s="435" t="s">
        <v>15</v>
      </c>
      <c r="E9" s="375" t="s">
        <v>1</v>
      </c>
      <c r="F9" s="332" t="s">
        <v>127</v>
      </c>
      <c r="G9" s="833"/>
      <c r="H9" s="281" t="s">
        <v>15</v>
      </c>
      <c r="I9" s="266" t="s">
        <v>1</v>
      </c>
      <c r="J9" s="350" t="s">
        <v>127</v>
      </c>
    </row>
    <row r="10" spans="1:16" ht="12" customHeight="1" x14ac:dyDescent="0.2">
      <c r="A10" s="834" t="s">
        <v>4</v>
      </c>
      <c r="B10" s="834"/>
      <c r="C10" s="369"/>
      <c r="D10" s="487">
        <f>E7</f>
        <v>2015</v>
      </c>
      <c r="E10" s="368"/>
      <c r="F10" s="333"/>
      <c r="G10" s="315"/>
      <c r="H10" s="485">
        <f>I7</f>
        <v>2014</v>
      </c>
      <c r="I10" s="365"/>
      <c r="J10" s="351"/>
    </row>
    <row r="11" spans="1:16" ht="12" customHeight="1" x14ac:dyDescent="0.2">
      <c r="A11" s="95"/>
      <c r="B11" s="95"/>
      <c r="C11" s="370" t="s">
        <v>17</v>
      </c>
      <c r="D11" s="89">
        <f>'7'!E15</f>
        <v>9764.973</v>
      </c>
      <c r="E11" s="96">
        <f>'7'!F15</f>
        <v>104167.66011</v>
      </c>
      <c r="F11" s="334">
        <f>D11/$D$25</f>
        <v>3.1780260536639335E-2</v>
      </c>
      <c r="G11" s="691">
        <f>(D11-H11)/H11</f>
        <v>5.0020129473807774E-2</v>
      </c>
      <c r="H11" s="96">
        <f>'7'!I15</f>
        <v>9299.7960000000003</v>
      </c>
      <c r="I11" s="96">
        <f>'7'!J15</f>
        <v>98802.781582999974</v>
      </c>
      <c r="J11" s="352">
        <f>H11/$H$25</f>
        <v>3.0836799948596873E-2</v>
      </c>
    </row>
    <row r="12" spans="1:16" ht="12" customHeight="1" x14ac:dyDescent="0.2">
      <c r="A12" s="95"/>
      <c r="B12" s="95"/>
      <c r="C12" s="370" t="s">
        <v>18</v>
      </c>
      <c r="D12" s="89">
        <f>'7'!E22</f>
        <v>31394.300000000003</v>
      </c>
      <c r="E12" s="96">
        <f>'7'!F22</f>
        <v>336401.21791999997</v>
      </c>
      <c r="F12" s="334">
        <f>D12/$D$25</f>
        <v>0.10217325059325985</v>
      </c>
      <c r="G12" s="691">
        <f t="shared" ref="G12" si="0">(D12-H12)/H12</f>
        <v>5.9247662652716242E-2</v>
      </c>
      <c r="H12" s="96">
        <f>'7'!I22</f>
        <v>29638.300000000003</v>
      </c>
      <c r="I12" s="96">
        <f>'7'!J22</f>
        <v>315590.76976300002</v>
      </c>
      <c r="J12" s="352">
        <f t="shared" ref="J12:J24" si="1">H12/$H$25</f>
        <v>9.8276384548273824E-2</v>
      </c>
      <c r="K12" s="284"/>
      <c r="L12" s="284"/>
      <c r="N12" s="284"/>
      <c r="O12" s="284"/>
      <c r="P12" s="284"/>
    </row>
    <row r="13" spans="1:16" ht="12" customHeight="1" x14ac:dyDescent="0.2">
      <c r="A13" s="292"/>
      <c r="B13" s="268"/>
      <c r="C13" s="370" t="s">
        <v>19</v>
      </c>
      <c r="D13" s="89">
        <f>'7'!E29</f>
        <v>9374.8000000000011</v>
      </c>
      <c r="E13" s="96">
        <f>'7'!F29</f>
        <v>100455.15853999997</v>
      </c>
      <c r="F13" s="334">
        <f>D13/$D$25</f>
        <v>3.051043627861403E-2</v>
      </c>
      <c r="G13" s="691">
        <f>(D13-H13)/H13</f>
        <v>-9.0716869865471644E-2</v>
      </c>
      <c r="H13" s="96">
        <f>'7'!I29</f>
        <v>10310.1</v>
      </c>
      <c r="I13" s="96">
        <f>'7'!J29</f>
        <v>109783.11991299999</v>
      </c>
      <c r="J13" s="352">
        <f t="shared" si="1"/>
        <v>3.4186824221738694E-2</v>
      </c>
      <c r="K13" s="284"/>
      <c r="L13" s="284"/>
      <c r="N13" s="284"/>
      <c r="O13" s="284"/>
      <c r="P13" s="284"/>
    </row>
    <row r="14" spans="1:16" ht="12" customHeight="1" x14ac:dyDescent="0.2">
      <c r="A14" s="292"/>
      <c r="B14" s="268"/>
      <c r="C14" s="370" t="s">
        <v>20</v>
      </c>
      <c r="D14" s="89">
        <f>'7'!E36</f>
        <v>12177</v>
      </c>
      <c r="E14" s="96">
        <f>'7'!F36</f>
        <v>130480.70847</v>
      </c>
      <c r="F14" s="334">
        <f>D14/$D$25</f>
        <v>3.9630240918705789E-2</v>
      </c>
      <c r="G14" s="691">
        <f>(D14-H14)/H14</f>
        <v>-7.6037260702671722E-3</v>
      </c>
      <c r="H14" s="96">
        <f>'7'!I36</f>
        <v>12270.3</v>
      </c>
      <c r="I14" s="96">
        <f>'7'!J36</f>
        <v>130654.65281700001</v>
      </c>
      <c r="J14" s="352">
        <f t="shared" si="1"/>
        <v>4.068656843755155E-2</v>
      </c>
      <c r="K14" s="284"/>
      <c r="L14" s="284"/>
      <c r="N14" s="284"/>
      <c r="O14" s="284"/>
      <c r="P14" s="284"/>
    </row>
    <row r="15" spans="1:16" ht="12" customHeight="1" x14ac:dyDescent="0.2">
      <c r="A15" s="292"/>
      <c r="B15" s="268"/>
      <c r="C15" s="370" t="s">
        <v>21</v>
      </c>
      <c r="D15" s="89">
        <f>'7'!E43</f>
        <v>12350.699999999999</v>
      </c>
      <c r="E15" s="96">
        <f>'7'!F43</f>
        <v>132342.04512999998</v>
      </c>
      <c r="F15" s="334">
        <f t="shared" ref="F15:F23" si="2">D15/$D$25</f>
        <v>4.0195550342010306E-2</v>
      </c>
      <c r="G15" s="692">
        <f>(D15-H15)/H15</f>
        <v>6.7743859740124882E-2</v>
      </c>
      <c r="H15" s="96">
        <f>'7'!I43</f>
        <v>11567.1</v>
      </c>
      <c r="I15" s="96">
        <f>'7'!J43</f>
        <v>123166.305018</v>
      </c>
      <c r="J15" s="352">
        <f t="shared" si="1"/>
        <v>3.8354857320033138E-2</v>
      </c>
      <c r="K15" s="284"/>
      <c r="L15" s="284"/>
      <c r="N15" s="284"/>
      <c r="O15" s="284"/>
      <c r="P15" s="284"/>
    </row>
    <row r="16" spans="1:16" ht="12" customHeight="1" x14ac:dyDescent="0.2">
      <c r="A16" s="274"/>
      <c r="B16" s="274"/>
      <c r="C16" s="370" t="s">
        <v>22</v>
      </c>
      <c r="D16" s="89">
        <f>'7'!E50</f>
        <v>46191.021000000001</v>
      </c>
      <c r="E16" s="96">
        <f>'7'!F50</f>
        <v>494740.19631999981</v>
      </c>
      <c r="F16" s="334">
        <f t="shared" si="2"/>
        <v>0.15032941533308683</v>
      </c>
      <c r="G16" s="692">
        <f t="shared" ref="G16:G27" si="3">(D16-H16)/H16</f>
        <v>8.3070516531853697E-2</v>
      </c>
      <c r="H16" s="96">
        <f>'7'!I50</f>
        <v>42648.212</v>
      </c>
      <c r="I16" s="96">
        <f>'7'!J50</f>
        <v>454001.736959</v>
      </c>
      <c r="J16" s="352">
        <f t="shared" si="1"/>
        <v>0.14141540111302964</v>
      </c>
      <c r="K16" s="284"/>
      <c r="L16" s="284"/>
      <c r="N16" s="284"/>
      <c r="O16" s="284"/>
      <c r="P16" s="284"/>
    </row>
    <row r="17" spans="1:15" ht="12" customHeight="1" x14ac:dyDescent="0.2">
      <c r="A17" s="274"/>
      <c r="B17" s="274"/>
      <c r="C17" s="370" t="s">
        <v>23</v>
      </c>
      <c r="D17" s="89">
        <f>'7'!E57</f>
        <v>16389.400000000001</v>
      </c>
      <c r="E17" s="96">
        <f>'7'!F57</f>
        <v>175619.43293000001</v>
      </c>
      <c r="F17" s="334">
        <f t="shared" si="2"/>
        <v>5.3339563974134571E-2</v>
      </c>
      <c r="G17" s="692">
        <f t="shared" si="3"/>
        <v>3.2201585832058177E-2</v>
      </c>
      <c r="H17" s="96">
        <f>'7'!I57</f>
        <v>15878.099999999999</v>
      </c>
      <c r="I17" s="96">
        <f>'7'!J57</f>
        <v>169070.94233399999</v>
      </c>
      <c r="J17" s="352">
        <f t="shared" si="1"/>
        <v>5.264951975976849E-2</v>
      </c>
      <c r="K17" s="284"/>
      <c r="L17" s="284"/>
    </row>
    <row r="18" spans="1:15" ht="12" customHeight="1" x14ac:dyDescent="0.2">
      <c r="A18" s="274"/>
      <c r="B18" s="274"/>
      <c r="C18" s="370" t="s">
        <v>24</v>
      </c>
      <c r="D18" s="89">
        <f>'8'!E15</f>
        <v>14600.8</v>
      </c>
      <c r="E18" s="96">
        <f>'8'!F15</f>
        <v>156453.49071000004</v>
      </c>
      <c r="F18" s="334">
        <f t="shared" si="2"/>
        <v>4.7518536717240649E-2</v>
      </c>
      <c r="G18" s="692">
        <f t="shared" si="3"/>
        <v>7.8489016265086822E-2</v>
      </c>
      <c r="H18" s="96">
        <f>'8'!I15</f>
        <v>13538.2</v>
      </c>
      <c r="I18" s="96">
        <f>'8'!J15</f>
        <v>144155.25626699999</v>
      </c>
      <c r="J18" s="352">
        <f t="shared" si="1"/>
        <v>4.4890744384510607E-2</v>
      </c>
      <c r="K18" s="284"/>
      <c r="L18" s="284"/>
      <c r="M18" s="284"/>
    </row>
    <row r="19" spans="1:15" ht="12" customHeight="1" x14ac:dyDescent="0.2">
      <c r="A19" s="274"/>
      <c r="B19" s="274"/>
      <c r="C19" s="370" t="s">
        <v>25</v>
      </c>
      <c r="D19" s="89">
        <f>'8'!E22</f>
        <v>14787</v>
      </c>
      <c r="E19" s="96">
        <f>'8'!F22</f>
        <v>158447.68638</v>
      </c>
      <c r="F19" s="334">
        <f t="shared" si="2"/>
        <v>4.8124527590120925E-2</v>
      </c>
      <c r="G19" s="692">
        <f t="shared" si="3"/>
        <v>-1.5538867140688759E-2</v>
      </c>
      <c r="H19" s="96">
        <f>'8'!I22</f>
        <v>15020.400000000001</v>
      </c>
      <c r="I19" s="96">
        <f>'8'!J22</f>
        <v>159938.77785100002</v>
      </c>
      <c r="J19" s="352">
        <f t="shared" si="1"/>
        <v>4.9805508631361857E-2</v>
      </c>
      <c r="K19" s="287"/>
      <c r="L19" s="287"/>
      <c r="M19" s="284"/>
    </row>
    <row r="20" spans="1:15" ht="12" customHeight="1" x14ac:dyDescent="0.2">
      <c r="A20" s="274"/>
      <c r="B20" s="274"/>
      <c r="C20" s="370" t="s">
        <v>3</v>
      </c>
      <c r="D20" s="89">
        <f>'8'!E29</f>
        <v>22307.627874050271</v>
      </c>
      <c r="E20" s="96">
        <f>'8'!F29</f>
        <v>237977.58300000569</v>
      </c>
      <c r="F20" s="334">
        <f t="shared" si="2"/>
        <v>7.2600531081009181E-2</v>
      </c>
      <c r="G20" s="692">
        <f t="shared" si="3"/>
        <v>2.4251607392306883E-2</v>
      </c>
      <c r="H20" s="96">
        <f>'8'!I29</f>
        <v>21779.441411709737</v>
      </c>
      <c r="I20" s="96">
        <f>'8'!J29</f>
        <v>231364.83294751454</v>
      </c>
      <c r="J20" s="352">
        <f t="shared" si="1"/>
        <v>7.2217527976428664E-2</v>
      </c>
      <c r="K20" s="284"/>
      <c r="L20" s="284"/>
      <c r="M20" s="284"/>
      <c r="N20" s="284"/>
      <c r="O20" s="284"/>
    </row>
    <row r="21" spans="1:15" ht="12" customHeight="1" x14ac:dyDescent="0.2">
      <c r="A21" s="274"/>
      <c r="B21" s="274"/>
      <c r="C21" s="370" t="s">
        <v>26</v>
      </c>
      <c r="D21" s="89">
        <f>'8'!E36</f>
        <v>47261.523999999998</v>
      </c>
      <c r="E21" s="96">
        <f>'8'!F36</f>
        <v>506417.75565000006</v>
      </c>
      <c r="F21" s="334">
        <f t="shared" si="2"/>
        <v>0.15381338443830134</v>
      </c>
      <c r="G21" s="692">
        <f t="shared" si="3"/>
        <v>0.10828136663429327</v>
      </c>
      <c r="H21" s="96">
        <f>'8'!I36</f>
        <v>42643.975999999995</v>
      </c>
      <c r="I21" s="96">
        <f>'8'!J36</f>
        <v>454044.47786999994</v>
      </c>
      <c r="J21" s="352">
        <f t="shared" si="1"/>
        <v>0.14140135513991556</v>
      </c>
      <c r="K21" s="284"/>
      <c r="L21" s="284"/>
      <c r="M21" s="284"/>
      <c r="N21" s="284"/>
      <c r="O21" s="284"/>
    </row>
    <row r="22" spans="1:15" ht="12" customHeight="1" x14ac:dyDescent="0.2">
      <c r="A22" s="274"/>
      <c r="B22" s="274"/>
      <c r="C22" s="370" t="s">
        <v>27</v>
      </c>
      <c r="D22" s="89">
        <f>'8'!E43</f>
        <v>43562.194000000003</v>
      </c>
      <c r="E22" s="96">
        <f>'8'!F43</f>
        <v>466783.88834999979</v>
      </c>
      <c r="F22" s="334">
        <f t="shared" si="2"/>
        <v>0.14177385588957869</v>
      </c>
      <c r="G22" s="692">
        <f t="shared" si="3"/>
        <v>-9.6835748426192206E-2</v>
      </c>
      <c r="H22" s="96">
        <f>'8'!I43</f>
        <v>48232.859000000004</v>
      </c>
      <c r="I22" s="96">
        <f>'8'!J43</f>
        <v>513586.29459299968</v>
      </c>
      <c r="J22" s="352">
        <f t="shared" si="1"/>
        <v>0.15993329573378601</v>
      </c>
      <c r="K22" s="284"/>
      <c r="L22" s="284"/>
      <c r="M22" s="284"/>
      <c r="N22" s="284"/>
      <c r="O22" s="284"/>
    </row>
    <row r="23" spans="1:15" ht="12" customHeight="1" x14ac:dyDescent="0.2">
      <c r="A23" s="274"/>
      <c r="B23" s="274"/>
      <c r="C23" s="370" t="s">
        <v>28</v>
      </c>
      <c r="D23" s="89">
        <f>'8'!E50</f>
        <v>13077.814000000002</v>
      </c>
      <c r="E23" s="96">
        <f>'8'!F50</f>
        <v>140020.96438000002</v>
      </c>
      <c r="F23" s="334">
        <f t="shared" si="2"/>
        <v>4.2561954464155657E-2</v>
      </c>
      <c r="G23" s="692">
        <f t="shared" si="3"/>
        <v>-3.4028845410951095E-2</v>
      </c>
      <c r="H23" s="96">
        <f>'8'!I50</f>
        <v>13538.513999999999</v>
      </c>
      <c r="I23" s="96">
        <f>'8'!J50</f>
        <v>144111.41435299994</v>
      </c>
      <c r="J23" s="352">
        <f t="shared" si="1"/>
        <v>4.4891785563820757E-2</v>
      </c>
      <c r="K23" s="284"/>
      <c r="L23" s="284"/>
      <c r="M23" s="284"/>
      <c r="N23" s="284"/>
      <c r="O23" s="284"/>
    </row>
    <row r="24" spans="1:15" ht="12" customHeight="1" x14ac:dyDescent="0.2">
      <c r="A24" s="274"/>
      <c r="B24" s="274"/>
      <c r="C24" s="370" t="s">
        <v>29</v>
      </c>
      <c r="D24" s="89">
        <f>'8'!E57</f>
        <v>14026.2</v>
      </c>
      <c r="E24" s="96">
        <f>'8'!F57</f>
        <v>150296.58498000001</v>
      </c>
      <c r="F24" s="334">
        <f>D24/$D$25</f>
        <v>4.5648491843142902E-2</v>
      </c>
      <c r="G24" s="692">
        <f t="shared" si="3"/>
        <v>-7.8181889877627225E-2</v>
      </c>
      <c r="H24" s="96">
        <f>'8'!I57</f>
        <v>15215.800000000001</v>
      </c>
      <c r="I24" s="96">
        <f>'8'!J57</f>
        <v>162019.594965</v>
      </c>
      <c r="J24" s="352">
        <f t="shared" si="1"/>
        <v>5.045342722118424E-2</v>
      </c>
      <c r="K24" s="284"/>
      <c r="L24" s="284"/>
      <c r="M24" s="284"/>
      <c r="N24" s="284"/>
      <c r="O24" s="284"/>
    </row>
    <row r="25" spans="1:15" ht="12" customHeight="1" x14ac:dyDescent="0.2">
      <c r="A25" s="433"/>
      <c r="B25" s="433"/>
      <c r="C25" s="428" t="s">
        <v>2</v>
      </c>
      <c r="D25" s="429">
        <f>SUM(D11:D24)</f>
        <v>307265.35387405026</v>
      </c>
      <c r="E25" s="430">
        <f>SUM(E11:E24)</f>
        <v>3290604.3728700047</v>
      </c>
      <c r="F25" s="431">
        <f>SUM(F11:F24)</f>
        <v>1</v>
      </c>
      <c r="G25" s="693">
        <f>(D25-H25)/H25</f>
        <v>1.8848182105167963E-2</v>
      </c>
      <c r="H25" s="430">
        <f>SUM(H11:H24)</f>
        <v>301581.09841170977</v>
      </c>
      <c r="I25" s="430">
        <f>SUM(I11:I24)</f>
        <v>3210290.9572335146</v>
      </c>
      <c r="J25" s="432">
        <f>SUM(J11:J24)</f>
        <v>1</v>
      </c>
      <c r="K25" s="287"/>
      <c r="M25" s="284"/>
      <c r="N25" s="284"/>
      <c r="O25" s="284"/>
    </row>
    <row r="26" spans="1:15" ht="12" customHeight="1" x14ac:dyDescent="0.2">
      <c r="A26" s="433"/>
      <c r="B26" s="433"/>
      <c r="C26" s="370" t="s">
        <v>178</v>
      </c>
      <c r="D26" s="248">
        <f>'5'!E16</f>
        <v>7142.5826043619891</v>
      </c>
      <c r="E26" s="173">
        <f>'5'!F16</f>
        <v>76709.236539999998</v>
      </c>
      <c r="F26" s="347"/>
      <c r="G26" s="692">
        <f t="shared" si="3"/>
        <v>-2.3559943481831078E-2</v>
      </c>
      <c r="H26" s="173">
        <f>'5'!I16</f>
        <v>7314.9217473024519</v>
      </c>
      <c r="I26" s="173">
        <f>'5'!J16</f>
        <v>78019.270339999988</v>
      </c>
      <c r="J26" s="362"/>
      <c r="K26" s="287"/>
      <c r="M26" s="284"/>
      <c r="N26" s="284"/>
      <c r="O26" s="284"/>
    </row>
    <row r="27" spans="1:15" ht="12" customHeight="1" x14ac:dyDescent="0.2">
      <c r="A27" s="433"/>
      <c r="B27" s="433"/>
      <c r="C27" s="371" t="s">
        <v>5</v>
      </c>
      <c r="D27" s="251">
        <f>SUM(D25:D26)</f>
        <v>314407.93647841224</v>
      </c>
      <c r="E27" s="252">
        <f>SUM(E25:E26)</f>
        <v>3367313.6094100047</v>
      </c>
      <c r="F27" s="336"/>
      <c r="G27" s="318">
        <f t="shared" si="3"/>
        <v>1.784392144826797E-2</v>
      </c>
      <c r="H27" s="286">
        <f>SUM(H25:H26)</f>
        <v>308896.02015901223</v>
      </c>
      <c r="I27" s="252">
        <f>SUM(I25:I26)</f>
        <v>3288310.2275735145</v>
      </c>
      <c r="J27" s="354"/>
    </row>
    <row r="28" spans="1:15" ht="12" customHeight="1" x14ac:dyDescent="0.2">
      <c r="A28" s="292"/>
      <c r="B28" s="268"/>
      <c r="C28" s="257"/>
      <c r="D28" s="488"/>
      <c r="E28" s="377"/>
      <c r="F28" s="378"/>
      <c r="G28" s="379"/>
      <c r="H28" s="380"/>
      <c r="I28" s="377"/>
      <c r="J28" s="381"/>
    </row>
    <row r="29" spans="1:15" ht="12" customHeight="1" x14ac:dyDescent="0.2">
      <c r="A29" s="830"/>
      <c r="B29" s="830"/>
      <c r="C29" s="830"/>
      <c r="D29" s="489"/>
      <c r="E29" s="174"/>
      <c r="F29" s="338"/>
      <c r="G29" s="320"/>
      <c r="H29" s="298"/>
      <c r="I29" s="299"/>
      <c r="J29" s="356"/>
    </row>
    <row r="30" spans="1:15" ht="4.5" customHeight="1" x14ac:dyDescent="0.2"/>
    <row r="31" spans="1:15" ht="12" customHeight="1" x14ac:dyDescent="0.2">
      <c r="A31" s="854" t="s">
        <v>246</v>
      </c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5" ht="12" customHeight="1" x14ac:dyDescent="0.2">
      <c r="A32" s="274"/>
      <c r="B32" s="274"/>
      <c r="C32" s="274"/>
      <c r="D32" s="855" t="str">
        <f>D7</f>
        <v>Červen</v>
      </c>
      <c r="E32" s="855"/>
      <c r="F32" s="274"/>
      <c r="G32" s="274"/>
      <c r="H32" s="274"/>
      <c r="I32" s="274"/>
      <c r="J32" s="274"/>
    </row>
    <row r="33" spans="1:10" ht="12" customHeight="1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 ht="12" customHeight="1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</row>
    <row r="35" spans="1:10" ht="12" customHeight="1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12" customHeight="1" x14ac:dyDescent="0.2">
      <c r="A36" s="274"/>
      <c r="B36" s="274"/>
      <c r="C36" s="274"/>
      <c r="D36" s="274"/>
      <c r="E36" s="274"/>
      <c r="F36" s="274"/>
      <c r="G36" s="274"/>
      <c r="H36" s="274"/>
      <c r="I36" s="274"/>
      <c r="J36" s="274"/>
    </row>
    <row r="37" spans="1:10" ht="12" customHeight="1" x14ac:dyDescent="0.2">
      <c r="A37" s="274"/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12" customHeight="1" x14ac:dyDescent="0.2">
      <c r="A38" s="274"/>
      <c r="B38" s="274"/>
      <c r="C38" s="274"/>
      <c r="D38" s="274"/>
      <c r="E38" s="274"/>
      <c r="F38" s="274"/>
      <c r="G38" s="274"/>
      <c r="H38" s="274"/>
      <c r="I38" s="274"/>
      <c r="J38" s="274"/>
    </row>
    <row r="39" spans="1:10" ht="12" customHeight="1" x14ac:dyDescent="0.2">
      <c r="A39" s="274"/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2" customHeight="1" x14ac:dyDescent="0.2">
      <c r="A40" s="274"/>
      <c r="B40" s="274"/>
      <c r="C40" s="274"/>
      <c r="D40" s="274"/>
      <c r="E40" s="274"/>
      <c r="F40" s="274"/>
      <c r="G40" s="274"/>
      <c r="H40" s="274"/>
      <c r="I40" s="274"/>
      <c r="J40" s="274"/>
    </row>
    <row r="41" spans="1:10" ht="12" customHeight="1" x14ac:dyDescent="0.2">
      <c r="A41" s="274"/>
      <c r="B41" s="274"/>
      <c r="C41" s="274"/>
      <c r="D41" s="274"/>
      <c r="E41" s="274"/>
      <c r="F41" s="274"/>
      <c r="G41" s="274"/>
      <c r="H41" s="274"/>
      <c r="I41" s="274"/>
      <c r="J41" s="274"/>
    </row>
    <row r="42" spans="1:10" ht="12" customHeight="1" x14ac:dyDescent="0.2">
      <c r="A42" s="274"/>
      <c r="B42" s="274"/>
      <c r="C42" s="274"/>
      <c r="D42" s="274"/>
      <c r="E42" s="274"/>
      <c r="F42" s="274"/>
      <c r="G42" s="274"/>
      <c r="H42" s="274"/>
      <c r="I42" s="274"/>
      <c r="J42" s="274"/>
    </row>
    <row r="43" spans="1:10" ht="12" customHeight="1" x14ac:dyDescent="0.2">
      <c r="A43" s="274"/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ht="12" customHeight="1" x14ac:dyDescent="0.2">
      <c r="A44" s="274"/>
      <c r="B44" s="274"/>
      <c r="C44" s="274"/>
      <c r="D44" s="274"/>
      <c r="E44" s="274"/>
      <c r="F44" s="274"/>
      <c r="G44" s="274"/>
      <c r="H44" s="274"/>
      <c r="I44" s="274"/>
      <c r="J44" s="274"/>
    </row>
    <row r="45" spans="1:10" ht="12" customHeight="1" x14ac:dyDescent="0.2">
      <c r="A45" s="274"/>
      <c r="B45" s="274"/>
      <c r="C45" s="274"/>
      <c r="D45" s="275"/>
      <c r="E45" s="274"/>
      <c r="F45" s="276"/>
      <c r="G45" s="849" t="s">
        <v>244</v>
      </c>
      <c r="H45" s="276"/>
      <c r="I45" s="276"/>
      <c r="J45" s="276"/>
    </row>
    <row r="46" spans="1:10" ht="12" customHeight="1" x14ac:dyDescent="0.25">
      <c r="A46" s="271"/>
      <c r="B46" s="126"/>
      <c r="C46" s="274"/>
      <c r="D46" s="264" t="str">
        <f>D7</f>
        <v>Červen</v>
      </c>
      <c r="E46" s="265">
        <f>E7</f>
        <v>2015</v>
      </c>
      <c r="F46" s="265"/>
      <c r="G46" s="850"/>
      <c r="H46" s="398" t="str">
        <f>H7</f>
        <v>Červen</v>
      </c>
      <c r="I46" s="260">
        <f>I7</f>
        <v>2014</v>
      </c>
      <c r="J46" s="276"/>
    </row>
    <row r="47" spans="1:10" ht="12" customHeight="1" x14ac:dyDescent="0.25">
      <c r="A47" s="278"/>
      <c r="B47" s="279"/>
      <c r="C47" s="263"/>
      <c r="D47" s="840" t="s">
        <v>243</v>
      </c>
      <c r="E47" s="793"/>
      <c r="F47" s="426"/>
      <c r="G47" s="850"/>
      <c r="H47" s="841" t="s">
        <v>243</v>
      </c>
      <c r="I47" s="793"/>
      <c r="J47" s="87"/>
    </row>
    <row r="48" spans="1:10" ht="12" customHeight="1" x14ac:dyDescent="0.2">
      <c r="A48" s="278"/>
      <c r="B48" s="372"/>
      <c r="D48" s="434" t="s">
        <v>69</v>
      </c>
      <c r="E48" s="349" t="s">
        <v>142</v>
      </c>
      <c r="F48" s="394" t="s">
        <v>143</v>
      </c>
      <c r="G48" s="832"/>
      <c r="H48" s="419" t="s">
        <v>69</v>
      </c>
      <c r="I48" s="374" t="s">
        <v>142</v>
      </c>
      <c r="J48" s="374" t="s">
        <v>143</v>
      </c>
    </row>
    <row r="49" spans="1:10" ht="12" customHeight="1" x14ac:dyDescent="0.2">
      <c r="A49" s="250"/>
      <c r="B49" s="373"/>
      <c r="C49" s="373"/>
      <c r="D49" s="435" t="s">
        <v>14</v>
      </c>
      <c r="E49" s="350" t="s">
        <v>14</v>
      </c>
      <c r="F49" s="266" t="s">
        <v>14</v>
      </c>
      <c r="G49" s="435" t="s">
        <v>14</v>
      </c>
      <c r="H49" s="420" t="s">
        <v>14</v>
      </c>
      <c r="I49" s="266" t="s">
        <v>14</v>
      </c>
      <c r="J49" s="266" t="s">
        <v>14</v>
      </c>
    </row>
    <row r="50" spans="1:10" ht="12" customHeight="1" x14ac:dyDescent="0.2">
      <c r="A50" s="834" t="s">
        <v>4</v>
      </c>
      <c r="B50" s="834"/>
      <c r="C50" s="365"/>
      <c r="D50" s="486"/>
      <c r="E50" s="351"/>
      <c r="F50" s="395"/>
      <c r="G50" s="315"/>
      <c r="H50" s="421"/>
      <c r="I50" s="361"/>
      <c r="J50" s="365"/>
    </row>
    <row r="51" spans="1:10" ht="12" customHeight="1" x14ac:dyDescent="0.2">
      <c r="A51" s="95"/>
      <c r="B51" s="95"/>
      <c r="C51" s="370" t="s">
        <v>17</v>
      </c>
      <c r="D51" s="415">
        <f>INDEX([5]MZ!D3:BK3,1,5*T!$A$4-4)</f>
        <v>15.96</v>
      </c>
      <c r="E51" s="440">
        <f>INDEX([5]MZ!E3:BL3,1,5*T!$A$4-4)</f>
        <v>21.8</v>
      </c>
      <c r="F51" s="402">
        <f>INDEX([5]MZ!F3:BM3,1,5*T!$A$4-4)</f>
        <v>9.8000000000000007</v>
      </c>
      <c r="G51" s="438">
        <f>D51-H51</f>
        <v>3.0000000000002913E-2</v>
      </c>
      <c r="H51" s="422">
        <f>INDEX([6]MZ!D3:BK3,1,5*T!$A$4-4)</f>
        <v>15.929999999999998</v>
      </c>
      <c r="I51" s="440">
        <f>INDEX([6]MZ!E3:BL3,1,5*T!$A$4-4)</f>
        <v>22.7</v>
      </c>
      <c r="J51" s="404">
        <f>INDEX([6]MZ!F3:BM3,1,5*T!$A$4-4)</f>
        <v>11.8</v>
      </c>
    </row>
    <row r="52" spans="1:10" ht="12" customHeight="1" x14ac:dyDescent="0.2">
      <c r="A52" s="95"/>
      <c r="B52" s="95"/>
      <c r="C52" s="370" t="s">
        <v>18</v>
      </c>
      <c r="D52" s="415">
        <f>INDEX([5]MZ!D4:BK4,1,5*T!$A$4-4)</f>
        <v>18.576666666666664</v>
      </c>
      <c r="E52" s="440">
        <f>INDEX([5]MZ!E4:BL4,1,5*T!$A$4-4)</f>
        <v>25</v>
      </c>
      <c r="F52" s="402">
        <f>INDEX([5]MZ!F4:BM4,1,5*T!$A$4-4)</f>
        <v>13</v>
      </c>
      <c r="G52" s="438">
        <f t="shared" ref="G52:G65" si="4">D52-H52</f>
        <v>0.24000000000000199</v>
      </c>
      <c r="H52" s="422">
        <f>INDEX([6]MZ!D4:BK4,1,5*T!$A$4-4)</f>
        <v>18.336666666666662</v>
      </c>
      <c r="I52" s="440">
        <f>INDEX([6]MZ!E4:BL4,1,5*T!$A$4-4)</f>
        <v>25.9</v>
      </c>
      <c r="J52" s="404">
        <f>INDEX([6]MZ!F4:BM4,1,5*T!$A$4-4)</f>
        <v>14</v>
      </c>
    </row>
    <row r="53" spans="1:10" ht="12" customHeight="1" x14ac:dyDescent="0.2">
      <c r="A53" s="292"/>
      <c r="B53" s="268"/>
      <c r="C53" s="370" t="s">
        <v>19</v>
      </c>
      <c r="D53" s="415">
        <f>INDEX([5]MZ!D5:BK5,1,5*T!$A$4-4)</f>
        <v>14.506666666666664</v>
      </c>
      <c r="E53" s="440">
        <f>INDEX([5]MZ!E5:BL5,1,5*T!$A$4-4)</f>
        <v>22.8</v>
      </c>
      <c r="F53" s="402">
        <f>INDEX([5]MZ!F5:BM5,1,5*T!$A$4-4)</f>
        <v>8.6999999999999993</v>
      </c>
      <c r="G53" s="438">
        <f t="shared" si="4"/>
        <v>-0.32666666666666799</v>
      </c>
      <c r="H53" s="422">
        <f>INDEX([6]MZ!D5:BK5,1,5*T!$A$4-4)</f>
        <v>14.833333333333332</v>
      </c>
      <c r="I53" s="440">
        <f>INDEX([6]MZ!E5:BL5,1,5*T!$A$4-4)</f>
        <v>23.4</v>
      </c>
      <c r="J53" s="404">
        <f>INDEX([6]MZ!F5:BM5,1,5*T!$A$4-4)</f>
        <v>11.1</v>
      </c>
    </row>
    <row r="54" spans="1:10" ht="12" customHeight="1" x14ac:dyDescent="0.2">
      <c r="A54" s="292"/>
      <c r="B54" s="268"/>
      <c r="C54" s="370" t="s">
        <v>20</v>
      </c>
      <c r="D54" s="415">
        <f>INDEX([5]MZ!D6:BK6,1,5*T!$A$4-4)</f>
        <v>15.796666666666663</v>
      </c>
      <c r="E54" s="440">
        <f>INDEX([5]MZ!E6:BL6,1,5*T!$A$4-4)</f>
        <v>21.7</v>
      </c>
      <c r="F54" s="402">
        <f>INDEX([5]MZ!F6:BM6,1,5*T!$A$4-4)</f>
        <v>10.6</v>
      </c>
      <c r="G54" s="438">
        <f t="shared" si="4"/>
        <v>-0.2033333333333367</v>
      </c>
      <c r="H54" s="422">
        <f>INDEX([6]MZ!D6:BK6,1,5*T!$A$4-4)</f>
        <v>16</v>
      </c>
      <c r="I54" s="440">
        <f>INDEX([6]MZ!E6:BL6,1,5*T!$A$4-4)</f>
        <v>24.6</v>
      </c>
      <c r="J54" s="404">
        <f>INDEX([6]MZ!F6:BM6,1,5*T!$A$4-4)</f>
        <v>12.3</v>
      </c>
    </row>
    <row r="55" spans="1:10" ht="12" customHeight="1" x14ac:dyDescent="0.2">
      <c r="A55" s="292"/>
      <c r="B55" s="268"/>
      <c r="C55" s="370" t="s">
        <v>21</v>
      </c>
      <c r="D55" s="415">
        <f>INDEX([5]MZ!D7:BK7,1,5*T!$A$4-4)</f>
        <v>15.219999999999997</v>
      </c>
      <c r="E55" s="440">
        <f>INDEX([5]MZ!E7:BL7,1,5*T!$A$4-4)</f>
        <v>22.4</v>
      </c>
      <c r="F55" s="402">
        <f>INDEX([5]MZ!F7:BM7,1,5*T!$A$4-4)</f>
        <v>10</v>
      </c>
      <c r="G55" s="438">
        <f t="shared" si="4"/>
        <v>-0.35666666666666735</v>
      </c>
      <c r="H55" s="443">
        <f>INDEX([6]MZ!D7:BK7,1,5*T!$A$4-4)</f>
        <v>15.576666666666664</v>
      </c>
      <c r="I55" s="441">
        <f>INDEX([6]MZ!E7:BL7,1,5*T!$A$4-4)</f>
        <v>24.3</v>
      </c>
      <c r="J55" s="404">
        <f>INDEX([6]MZ!F7:BM7,1,5*T!$A$4-4)</f>
        <v>11.2</v>
      </c>
    </row>
    <row r="56" spans="1:10" ht="12" customHeight="1" x14ac:dyDescent="0.2">
      <c r="A56" s="274"/>
      <c r="B56" s="274"/>
      <c r="C56" s="370" t="s">
        <v>22</v>
      </c>
      <c r="D56" s="415">
        <f>INDEX([5]MZ!D8:BK8,1,5*T!$A$4-4)</f>
        <v>16.75333333333333</v>
      </c>
      <c r="E56" s="440">
        <f>INDEX([5]MZ!E8:BL8,1,5*T!$A$4-4)</f>
        <v>24.6</v>
      </c>
      <c r="F56" s="402">
        <f>INDEX([5]MZ!F8:BM8,1,5*T!$A$4-4)</f>
        <v>11.5</v>
      </c>
      <c r="G56" s="438">
        <f t="shared" si="4"/>
        <v>0.64999999999999858</v>
      </c>
      <c r="H56" s="443">
        <f>INDEX([6]MZ!D8:BK8,1,5*T!$A$4-4)</f>
        <v>16.103333333333332</v>
      </c>
      <c r="I56" s="441">
        <f>INDEX([6]MZ!E8:BL8,1,5*T!$A$4-4)</f>
        <v>23.7</v>
      </c>
      <c r="J56" s="404">
        <f>INDEX([6]MZ!F8:BM8,1,5*T!$A$4-4)</f>
        <v>11.4</v>
      </c>
    </row>
    <row r="57" spans="1:10" ht="12" customHeight="1" x14ac:dyDescent="0.2">
      <c r="A57" s="274"/>
      <c r="B57" s="274"/>
      <c r="C57" s="370" t="s">
        <v>23</v>
      </c>
      <c r="D57" s="415">
        <f>INDEX([5]MZ!D9:BK9,1,5*T!$A$4-4)</f>
        <v>16.343333333333337</v>
      </c>
      <c r="E57" s="440">
        <f>INDEX([5]MZ!E9:BL9,1,5*T!$A$4-4)</f>
        <v>22.5</v>
      </c>
      <c r="F57" s="402">
        <f>INDEX([5]MZ!F9:BM9,1,5*T!$A$4-4)</f>
        <v>11.3</v>
      </c>
      <c r="G57" s="438">
        <f t="shared" si="4"/>
        <v>0.27000000000000313</v>
      </c>
      <c r="H57" s="443">
        <f>INDEX([6]MZ!D9:BK9,1,5*T!$A$4-4)</f>
        <v>16.073333333333334</v>
      </c>
      <c r="I57" s="441">
        <f>INDEX([6]MZ!E9:BL9,1,5*T!$A$4-4)</f>
        <v>23.7</v>
      </c>
      <c r="J57" s="404">
        <f>INDEX([6]MZ!F9:BM9,1,5*T!$A$4-4)</f>
        <v>11.8</v>
      </c>
    </row>
    <row r="58" spans="1:10" ht="12" customHeight="1" x14ac:dyDescent="0.2">
      <c r="A58" s="274"/>
      <c r="B58" s="274"/>
      <c r="C58" s="370" t="s">
        <v>24</v>
      </c>
      <c r="D58" s="415">
        <f>INDEX([5]MZ!D10:BK10,1,5*T!$A$4-4)</f>
        <v>16.233333333333334</v>
      </c>
      <c r="E58" s="440">
        <f>INDEX([5]MZ!E10:BL10,1,5*T!$A$4-4)</f>
        <v>22.4</v>
      </c>
      <c r="F58" s="402">
        <f>INDEX([5]MZ!F10:BM10,1,5*T!$A$4-4)</f>
        <v>10.199999999999999</v>
      </c>
      <c r="G58" s="438">
        <f t="shared" si="4"/>
        <v>0.36333333333333506</v>
      </c>
      <c r="H58" s="443">
        <f>INDEX([6]MZ!D10:BK10,1,5*T!$A$4-4)</f>
        <v>15.87</v>
      </c>
      <c r="I58" s="441">
        <f>INDEX([6]MZ!E10:BL10,1,5*T!$A$4-4)</f>
        <v>24.5</v>
      </c>
      <c r="J58" s="404">
        <f>INDEX([6]MZ!F10:BM10,1,5*T!$A$4-4)</f>
        <v>11.9</v>
      </c>
    </row>
    <row r="59" spans="1:10" ht="12" customHeight="1" x14ac:dyDescent="0.2">
      <c r="A59" s="274"/>
      <c r="B59" s="274"/>
      <c r="C59" s="370" t="s">
        <v>25</v>
      </c>
      <c r="D59" s="415">
        <f>INDEX([5]MZ!D11:BK11,1,5*T!$A$4-4)</f>
        <v>16.226666666666667</v>
      </c>
      <c r="E59" s="440">
        <f>INDEX([5]MZ!E11:BL11,1,5*T!$A$4-4)</f>
        <v>23.3</v>
      </c>
      <c r="F59" s="402">
        <f>INDEX([5]MZ!F11:BM11,1,5*T!$A$4-4)</f>
        <v>10.7</v>
      </c>
      <c r="G59" s="438">
        <f t="shared" si="4"/>
        <v>-0.39666666666666828</v>
      </c>
      <c r="H59" s="443">
        <f>INDEX([6]MZ!D11:BK11,1,5*T!$A$4-4)</f>
        <v>16.623333333333335</v>
      </c>
      <c r="I59" s="441">
        <f>INDEX([6]MZ!E11:BL11,1,5*T!$A$4-4)</f>
        <v>23.9</v>
      </c>
      <c r="J59" s="404">
        <f>INDEX([6]MZ!F11:BM11,1,5*T!$A$4-4)</f>
        <v>11.9</v>
      </c>
    </row>
    <row r="60" spans="1:10" ht="12" customHeight="1" x14ac:dyDescent="0.2">
      <c r="A60" s="274"/>
      <c r="B60" s="274"/>
      <c r="C60" s="370" t="s">
        <v>3</v>
      </c>
      <c r="D60" s="415">
        <f>INDEX([5]MZ!D12:BK12,1,5*T!$A$4-4)</f>
        <v>17.789999999999996</v>
      </c>
      <c r="E60" s="440">
        <f>INDEX([5]MZ!E12:BL12,1,5*T!$A$4-4)</f>
        <v>25.4</v>
      </c>
      <c r="F60" s="402">
        <f>INDEX([5]MZ!F12:BM12,1,5*T!$A$4-4)</f>
        <v>11.5</v>
      </c>
      <c r="G60" s="438">
        <f t="shared" si="4"/>
        <v>-0.43000000000000682</v>
      </c>
      <c r="H60" s="443">
        <f>INDEX([6]MZ!D12:BK12,1,5*T!$A$4-4)</f>
        <v>18.220000000000002</v>
      </c>
      <c r="I60" s="441">
        <f>INDEX([6]MZ!E12:BL12,1,5*T!$A$4-4)</f>
        <v>27</v>
      </c>
      <c r="J60" s="404">
        <f>INDEX([6]MZ!F12:BM12,1,5*T!$A$4-4)</f>
        <v>12.8</v>
      </c>
    </row>
    <row r="61" spans="1:10" ht="12" customHeight="1" x14ac:dyDescent="0.2">
      <c r="A61" s="274"/>
      <c r="B61" s="274"/>
      <c r="C61" s="370" t="s">
        <v>26</v>
      </c>
      <c r="D61" s="415">
        <f>INDEX([5]MZ!D13:BK13,1,5*T!$A$4-4)</f>
        <v>16.649999999999999</v>
      </c>
      <c r="E61" s="440">
        <f>INDEX([5]MZ!E13:BL13,1,5*T!$A$4-4)</f>
        <v>22.9</v>
      </c>
      <c r="F61" s="402">
        <f>INDEX([5]MZ!F13:BM13,1,5*T!$A$4-4)</f>
        <v>11.5</v>
      </c>
      <c r="G61" s="438">
        <f t="shared" si="4"/>
        <v>-2.3333333333333428E-2</v>
      </c>
      <c r="H61" s="443">
        <f>INDEX([6]MZ!D13:BK13,1,5*T!$A$4-4)</f>
        <v>16.673333333333332</v>
      </c>
      <c r="I61" s="441">
        <f>INDEX([6]MZ!E13:BL13,1,5*T!$A$4-4)</f>
        <v>24.3</v>
      </c>
      <c r="J61" s="404">
        <f>INDEX([6]MZ!F13:BM13,1,5*T!$A$4-4)</f>
        <v>12.3</v>
      </c>
    </row>
    <row r="62" spans="1:10" ht="12" customHeight="1" x14ac:dyDescent="0.2">
      <c r="A62" s="274"/>
      <c r="B62" s="274"/>
      <c r="C62" s="370" t="s">
        <v>27</v>
      </c>
      <c r="D62" s="415">
        <f>INDEX([5]MZ!D14:BK14,1,5*T!$A$4-4)</f>
        <v>16.096666666666671</v>
      </c>
      <c r="E62" s="440">
        <f>INDEX([5]MZ!E14:BL14,1,5*T!$A$4-4)</f>
        <v>23.5</v>
      </c>
      <c r="F62" s="402">
        <f>INDEX([5]MZ!F14:BM14,1,5*T!$A$4-4)</f>
        <v>11.3</v>
      </c>
      <c r="G62" s="438">
        <f t="shared" si="4"/>
        <v>-0.40666666666666629</v>
      </c>
      <c r="H62" s="443">
        <f>INDEX([6]MZ!D14:BK14,1,5*T!$A$4-4)</f>
        <v>16.503333333333337</v>
      </c>
      <c r="I62" s="441">
        <f>INDEX([6]MZ!E14:BL14,1,5*T!$A$4-4)</f>
        <v>24</v>
      </c>
      <c r="J62" s="404">
        <f>INDEX([6]MZ!F14:BM14,1,5*T!$A$4-4)</f>
        <v>12.2</v>
      </c>
    </row>
    <row r="63" spans="1:10" ht="12" customHeight="1" x14ac:dyDescent="0.2">
      <c r="A63" s="274"/>
      <c r="B63" s="274"/>
      <c r="C63" s="370" t="s">
        <v>28</v>
      </c>
      <c r="D63" s="415">
        <f>INDEX([5]MZ!D15:BK15,1,5*T!$A$4-4)</f>
        <v>16.24666666666667</v>
      </c>
      <c r="E63" s="440">
        <f>INDEX([5]MZ!E15:BL15,1,5*T!$A$4-4)</f>
        <v>22.2</v>
      </c>
      <c r="F63" s="402">
        <f>INDEX([5]MZ!F15:BM15,1,5*T!$A$4-4)</f>
        <v>9.9</v>
      </c>
      <c r="G63" s="438">
        <f t="shared" si="4"/>
        <v>0.26000000000000334</v>
      </c>
      <c r="H63" s="443">
        <f>INDEX([6]MZ!D15:BK15,1,5*T!$A$4-4)</f>
        <v>15.986666666666666</v>
      </c>
      <c r="I63" s="441">
        <f>INDEX([6]MZ!E15:BL15,1,5*T!$A$4-4)</f>
        <v>24.1</v>
      </c>
      <c r="J63" s="404">
        <f>INDEX([6]MZ!F15:BM15,1,5*T!$A$4-4)</f>
        <v>11.9</v>
      </c>
    </row>
    <row r="64" spans="1:10" ht="12" customHeight="1" x14ac:dyDescent="0.2">
      <c r="A64" s="274"/>
      <c r="B64" s="274"/>
      <c r="C64" s="370" t="s">
        <v>29</v>
      </c>
      <c r="D64" s="415">
        <f>INDEX([5]MZ!D16:BK16,1,5*T!$A$4-4)</f>
        <v>16.886666666666663</v>
      </c>
      <c r="E64" s="440">
        <f>INDEX([5]MZ!E16:BL16,1,5*T!$A$4-4)</f>
        <v>23.5</v>
      </c>
      <c r="F64" s="402">
        <f>INDEX([5]MZ!F16:BM16,1,5*T!$A$4-4)</f>
        <v>11.1</v>
      </c>
      <c r="G64" s="438">
        <f t="shared" si="4"/>
        <v>0.53333333333332789</v>
      </c>
      <c r="H64" s="443">
        <f>INDEX([6]MZ!D16:BK16,1,5*T!$A$4-4)</f>
        <v>16.353333333333335</v>
      </c>
      <c r="I64" s="441">
        <f>INDEX([6]MZ!E16:BL16,1,5*T!$A$4-4)</f>
        <v>23.9</v>
      </c>
      <c r="J64" s="404">
        <f>INDEX([6]MZ!F16:BM16,1,5*T!$A$4-4)</f>
        <v>11.3</v>
      </c>
    </row>
    <row r="65" spans="1:10" ht="12" customHeight="1" x14ac:dyDescent="0.2">
      <c r="A65" s="433"/>
      <c r="B65" s="433"/>
      <c r="C65" s="371" t="s">
        <v>2</v>
      </c>
      <c r="D65" s="416">
        <f>INDEX([5]MZ!D17:BK17,1,5*T!$A$4-4)</f>
        <v>16.746666666666666</v>
      </c>
      <c r="E65" s="442">
        <f>INDEX([5]MZ!E17:BL17,1,5*T!$A$4-4)</f>
        <v>22.2</v>
      </c>
      <c r="F65" s="406">
        <f>INDEX([5]MZ!F17:BM17,1,5*T!$A$4-4)</f>
        <v>11</v>
      </c>
      <c r="G65" s="439">
        <f t="shared" si="4"/>
        <v>0.16999999999999815</v>
      </c>
      <c r="H65" s="423">
        <f>INDEX([6]MZ!D17:BK17,1,5*T!$A$4-4)</f>
        <v>16.576666666666668</v>
      </c>
      <c r="I65" s="442">
        <f>INDEX([6]MZ!E17:BL17,1,5*T!$A$4-4)</f>
        <v>24.1</v>
      </c>
      <c r="J65" s="408">
        <f>INDEX([6]MZ!F17:BM17,1,5*T!$A$4-4)</f>
        <v>12.7</v>
      </c>
    </row>
    <row r="66" spans="1:10" ht="12" customHeight="1" x14ac:dyDescent="0.2">
      <c r="A66" s="292"/>
      <c r="B66" s="268"/>
      <c r="C66" s="257"/>
      <c r="D66" s="417"/>
      <c r="E66" s="436"/>
      <c r="F66" s="396"/>
      <c r="G66" s="379"/>
      <c r="H66" s="424"/>
      <c r="I66" s="436"/>
      <c r="J66" s="393"/>
    </row>
    <row r="67" spans="1:10" ht="12" customHeight="1" x14ac:dyDescent="0.2">
      <c r="A67" s="830"/>
      <c r="B67" s="830"/>
      <c r="C67" s="830"/>
      <c r="D67" s="418"/>
      <c r="E67" s="356"/>
      <c r="F67" s="397"/>
      <c r="G67" s="320"/>
      <c r="H67" s="425"/>
      <c r="I67" s="437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4"/>
      <c r="B70" s="274"/>
      <c r="C70" s="274"/>
      <c r="D70" s="274"/>
      <c r="E70" s="274"/>
      <c r="F70" s="274"/>
      <c r="G70" s="274"/>
      <c r="H70" s="274"/>
      <c r="I70" s="274"/>
      <c r="J70" s="274"/>
    </row>
    <row r="71" spans="1:10" ht="12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</row>
    <row r="72" spans="1:10" ht="12" customHeight="1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</row>
    <row r="73" spans="1:10" ht="12" customHeight="1" x14ac:dyDescent="0.2">
      <c r="A73" s="274"/>
      <c r="B73" s="274"/>
      <c r="C73" s="274"/>
      <c r="D73" s="274"/>
      <c r="E73" s="274"/>
      <c r="F73" s="274"/>
      <c r="G73" s="274"/>
      <c r="H73" s="274"/>
      <c r="I73" s="274"/>
      <c r="J73" s="274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10:B10"/>
    <mergeCell ref="A29:C29"/>
    <mergeCell ref="I1:J1"/>
    <mergeCell ref="A3:J3"/>
    <mergeCell ref="G6:G9"/>
    <mergeCell ref="D8:E8"/>
    <mergeCell ref="H8:I8"/>
    <mergeCell ref="C4:D4"/>
    <mergeCell ref="A67:C67"/>
    <mergeCell ref="G45:G48"/>
    <mergeCell ref="D47:E47"/>
    <mergeCell ref="H47:I47"/>
    <mergeCell ref="A31:J31"/>
    <mergeCell ref="A50:B50"/>
    <mergeCell ref="D32:E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6" t="s">
        <v>53</v>
      </c>
      <c r="P1" s="856"/>
      <c r="R1" s="783"/>
      <c r="S1" s="176"/>
    </row>
    <row r="2" spans="1:19" s="3" customFormat="1" ht="15.75" x14ac:dyDescent="0.25">
      <c r="A2" s="857" t="s">
        <v>187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783"/>
      <c r="S2" s="176"/>
    </row>
    <row r="3" spans="1:19" ht="15.75" customHeight="1" x14ac:dyDescent="0.25">
      <c r="A3" s="873" t="str">
        <f>T!$G$19</f>
        <v>Červen</v>
      </c>
      <c r="B3" s="874"/>
      <c r="C3" s="874"/>
      <c r="D3" s="874"/>
      <c r="E3" s="874"/>
      <c r="F3" s="874"/>
      <c r="G3" s="874"/>
      <c r="H3" s="874"/>
      <c r="I3" s="871">
        <f>T!$I$21</f>
        <v>2015</v>
      </c>
      <c r="J3" s="872"/>
      <c r="K3" s="872"/>
      <c r="L3" s="872"/>
      <c r="M3" s="872"/>
      <c r="N3" s="872"/>
      <c r="O3" s="872"/>
      <c r="P3" s="872"/>
      <c r="R3" s="783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83"/>
      <c r="S4" s="176"/>
    </row>
    <row r="5" spans="1:19" ht="12" customHeight="1" x14ac:dyDescent="0.2">
      <c r="A5" s="865"/>
      <c r="B5" s="865"/>
      <c r="C5" s="866" t="s">
        <v>93</v>
      </c>
      <c r="D5" s="867"/>
      <c r="E5" s="869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83"/>
      <c r="S5" s="176"/>
    </row>
    <row r="6" spans="1:19" ht="12" customHeight="1" x14ac:dyDescent="0.2">
      <c r="A6" s="7"/>
      <c r="B6" s="7"/>
      <c r="C6" s="868"/>
      <c r="D6" s="867"/>
      <c r="E6" s="869"/>
      <c r="F6" s="7"/>
      <c r="G6" s="648"/>
      <c r="H6" s="648"/>
      <c r="I6" s="648"/>
      <c r="J6" s="648"/>
      <c r="K6" s="650">
        <v>0</v>
      </c>
      <c r="L6" s="649" t="s">
        <v>200</v>
      </c>
      <c r="M6" s="649"/>
      <c r="N6" s="786" t="e">
        <f>IF(ISNA(K37),NA(),IF(K37+1&lt;=CEILING($C$40/1000,1),K37+1,NA()))</f>
        <v>#N/A</v>
      </c>
      <c r="O6" s="649" t="s">
        <v>200</v>
      </c>
      <c r="P6" s="649"/>
      <c r="R6" s="783"/>
      <c r="S6" s="176"/>
    </row>
    <row r="7" spans="1:19" ht="13.5" customHeight="1" thickBot="1" x14ac:dyDescent="0.25">
      <c r="A7" s="870" t="s">
        <v>81</v>
      </c>
      <c r="B7" s="870"/>
      <c r="C7" s="107" t="s">
        <v>15</v>
      </c>
      <c r="D7" s="108" t="s">
        <v>1</v>
      </c>
      <c r="E7" s="109" t="s">
        <v>14</v>
      </c>
      <c r="F7" s="7"/>
      <c r="G7" s="648"/>
      <c r="H7" s="650"/>
      <c r="I7" s="649" t="s">
        <v>201</v>
      </c>
      <c r="J7" s="649" t="s">
        <v>52</v>
      </c>
      <c r="K7" s="784">
        <f>CEILING(C41/1000,1)</f>
        <v>9</v>
      </c>
      <c r="L7" s="651">
        <f t="shared" ref="L7:L21" si="0">COUNTIFS($I$8:$I$38,"&gt;"&amp;K6,$I$8:$I$38,"&lt;="&amp;K7,$I$8:$I$38,"&gt;=0")</f>
        <v>5</v>
      </c>
      <c r="M7" s="787"/>
      <c r="N7" s="786" t="e">
        <f>IF(ISNA(N6),NA(),IF(N6+1&lt;=CEILING($C$40/1000,1),N6+1,NA()))</f>
        <v>#N/A</v>
      </c>
      <c r="O7" s="651">
        <f t="shared" ref="O7:O38" si="1">COUNTIFS($I$8:$I$38,"&gt;"&amp;N6,$I$8:$I$38,"&lt;="&amp;N7,$I$8:$I$38,"&gt;=0")</f>
        <v>0</v>
      </c>
      <c r="P7" s="787"/>
      <c r="R7" s="783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42156</v>
      </c>
      <c r="B8" s="647" t="str">
        <f>IF(ROW(A8)-7&lt;=DAY(DATE($I$3,T!$A$4+1,1)-1),INDEX([7]ČR!B18:B383,DATE(2016,T!$A$4,1)-DATE(2016,1,1)+1,1),"")</f>
        <v>pondělí</v>
      </c>
      <c r="C8" s="101">
        <f>IF(ROW(A8)-7&lt;=DAY(DATE($I$3,T!$A$4+1,1)-1),INDEX([7]ČR!D18:D383,DATE(2016,T!$A$4,1)-DATE(2016,1,1)+1,1)/1000,"")</f>
        <v>11138.553848757228</v>
      </c>
      <c r="D8" s="105">
        <f>IF(ROW(A8)-7&lt;=DAY(DATE($I$3,T!$A$4+1,1)-1),INDEX([7]ČR!E18:E383,DATE(2016,T!$A$4,1)-DATE(2016,1,1)+1,1)/1000,"")</f>
        <v>119293.56028333333</v>
      </c>
      <c r="E8" s="106">
        <f>IF(ROW(A8)-7&lt;=DAY(DATE($I$3,T!$A$4+1,1)-1),INDEX([5]PT!AF16:AF381,DATE(2016,T!$A$4,1)-DATE(2016,1,1)+1,1),"")</f>
        <v>18.2</v>
      </c>
      <c r="F8" s="7"/>
      <c r="G8" s="648"/>
      <c r="H8" s="784">
        <f>IF(ISNUMBER(A8),A8,NA())</f>
        <v>42156</v>
      </c>
      <c r="I8" s="652">
        <f>IF(ISNUMBER(A8),C8/1000,NA())</f>
        <v>11.138553848757228</v>
      </c>
      <c r="J8" s="653">
        <f>IF(ISNUMBER(A8),E8,NA())</f>
        <v>18.2</v>
      </c>
      <c r="K8" s="786">
        <f>IF(ISNA(K7),NA(),IF(K7+1&lt;=CEILING($C$40/1000,1),K7+1,NA()))</f>
        <v>10</v>
      </c>
      <c r="L8" s="651">
        <f t="shared" si="0"/>
        <v>3</v>
      </c>
      <c r="M8" s="787"/>
      <c r="N8" s="786" t="e">
        <f t="shared" ref="N8:N38" si="2">IF(ISNA(N7),NA(),IF(N7+1&lt;=CEILING($C$40/1000,1),N7+1,NA()))</f>
        <v>#N/A</v>
      </c>
      <c r="O8" s="651">
        <f t="shared" si="1"/>
        <v>0</v>
      </c>
      <c r="P8" s="787"/>
      <c r="R8" s="783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42157</v>
      </c>
      <c r="B9" s="647" t="str">
        <f>IF(ROW(A9)-7&lt;=DAY(DATE($I$3,T!$A$4+1,1)-1),INDEX([7]ČR!B19:B384,DATE(2016,T!$A$4,1)-DATE(2016,1,1)+1,1),"")</f>
        <v>úterý</v>
      </c>
      <c r="C9" s="101">
        <f>IF(ROW(A9)-7&lt;=DAY(DATE($I$3,T!$A$4+1,1)-1),INDEX([7]ČR!D19:D384,DATE(2016,T!$A$4,1)-DATE(2016,1,1)+1,1)/1000,"")</f>
        <v>11003.023012763271</v>
      </c>
      <c r="D9" s="105">
        <f>IF(ROW(A9)-7&lt;=DAY(DATE($I$3,T!$A$4+1,1)-1),INDEX([7]ČR!E19:E384,DATE(2016,T!$A$4,1)-DATE(2016,1,1)+1,1)/1000,"")</f>
        <v>117842.11028333333</v>
      </c>
      <c r="E9" s="106">
        <f>IF(ROW(A9)-7&lt;=DAY(DATE($I$3,T!$A$4+1,1)-1),INDEX([5]PT!AF17:AF382,DATE(2016,T!$A$4,1)-DATE(2016,1,1)+1,1),"")</f>
        <v>19.600000000000001</v>
      </c>
      <c r="F9" s="7"/>
      <c r="G9" s="648"/>
      <c r="H9" s="784">
        <f t="shared" ref="H9:H38" si="3">IF(ISNUMBER(A9),A9,NA())</f>
        <v>42157</v>
      </c>
      <c r="I9" s="652">
        <f t="shared" ref="I9:I38" si="4">IF(ISNUMBER(A9),C9/1000,NA())</f>
        <v>11.003023012763272</v>
      </c>
      <c r="J9" s="653">
        <f t="shared" ref="J9:J38" si="5">IF(ISNUMBER(A9),E9,NA())</f>
        <v>19.600000000000001</v>
      </c>
      <c r="K9" s="786">
        <f t="shared" ref="K9:K38" si="6">IF(ISNA(K8),NA(),IF(K8+1&lt;=CEILING($C$40/1000,1),K8+1,NA()))</f>
        <v>11</v>
      </c>
      <c r="L9" s="651">
        <f t="shared" si="0"/>
        <v>10</v>
      </c>
      <c r="M9" s="787"/>
      <c r="N9" s="786" t="e">
        <f t="shared" si="2"/>
        <v>#N/A</v>
      </c>
      <c r="O9" s="651">
        <f t="shared" si="1"/>
        <v>0</v>
      </c>
      <c r="P9" s="787"/>
      <c r="R9" s="783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42158</v>
      </c>
      <c r="B10" s="647" t="str">
        <f>IF(ROW(A10)-7&lt;=DAY(DATE($I$3,T!$A$4+1,1)-1),INDEX([7]ČR!B20:B385,DATE(2016,T!$A$4,1)-DATE(2016,1,1)+1,1),"")</f>
        <v>středa</v>
      </c>
      <c r="C10" s="101">
        <f>IF(ROW(A10)-7&lt;=DAY(DATE($I$3,T!$A$4+1,1)-1),INDEX([7]ČR!D20:D385,DATE(2016,T!$A$4,1)-DATE(2016,1,1)+1,1)/1000,"")</f>
        <v>10573.388433417818</v>
      </c>
      <c r="D10" s="105">
        <f>IF(ROW(A10)-7&lt;=DAY(DATE($I$3,T!$A$4+1,1)-1),INDEX([7]ČR!E20:E385,DATE(2016,T!$A$4,1)-DATE(2016,1,1)+1,1)/1000,"")</f>
        <v>113242.29228333333</v>
      </c>
      <c r="E10" s="106">
        <f>IF(ROW(A10)-7&lt;=DAY(DATE($I$3,T!$A$4+1,1)-1),INDEX([5]PT!AF18:AF383,DATE(2016,T!$A$4,1)-DATE(2016,1,1)+1,1),"")</f>
        <v>22.1</v>
      </c>
      <c r="F10" s="7"/>
      <c r="G10" s="648"/>
      <c r="H10" s="784">
        <f t="shared" si="3"/>
        <v>42158</v>
      </c>
      <c r="I10" s="652">
        <f t="shared" si="4"/>
        <v>10.573388433417819</v>
      </c>
      <c r="J10" s="653">
        <f t="shared" si="5"/>
        <v>22.1</v>
      </c>
      <c r="K10" s="786">
        <f t="shared" si="6"/>
        <v>12</v>
      </c>
      <c r="L10" s="651">
        <f t="shared" si="0"/>
        <v>10</v>
      </c>
      <c r="M10" s="787"/>
      <c r="N10" s="786" t="e">
        <f t="shared" si="2"/>
        <v>#N/A</v>
      </c>
      <c r="O10" s="651">
        <f t="shared" si="1"/>
        <v>0</v>
      </c>
      <c r="P10" s="787"/>
      <c r="R10" s="783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42159</v>
      </c>
      <c r="B11" s="647" t="str">
        <f>IF(ROW(A11)-7&lt;=DAY(DATE($I$3,T!$A$4+1,1)-1),INDEX([7]ČR!B21:B386,DATE(2016,T!$A$4,1)-DATE(2016,1,1)+1,1),"")</f>
        <v>čtvrtek</v>
      </c>
      <c r="C11" s="101">
        <f>IF(ROW(A11)-7&lt;=DAY(DATE($I$3,T!$A$4+1,1)-1),INDEX([7]ČR!D21:D386,DATE(2016,T!$A$4,1)-DATE(2016,1,1)+1,1)/1000,"")</f>
        <v>10746.849399797271</v>
      </c>
      <c r="D11" s="105">
        <f>IF(ROW(A11)-7&lt;=DAY(DATE($I$3,T!$A$4+1,1)-1),INDEX([7]ČR!E21:E386,DATE(2016,T!$A$4,1)-DATE(2016,1,1)+1,1)/1000,"")</f>
        <v>115100.25828333333</v>
      </c>
      <c r="E11" s="106">
        <f>IF(ROW(A11)-7&lt;=DAY(DATE($I$3,T!$A$4+1,1)-1),INDEX([5]PT!AF19:AF384,DATE(2016,T!$A$4,1)-DATE(2016,1,1)+1,1),"")</f>
        <v>18.100000000000001</v>
      </c>
      <c r="F11" s="7"/>
      <c r="G11" s="648"/>
      <c r="H11" s="784">
        <f t="shared" si="3"/>
        <v>42159</v>
      </c>
      <c r="I11" s="652">
        <f t="shared" si="4"/>
        <v>10.746849399797272</v>
      </c>
      <c r="J11" s="653">
        <f t="shared" si="5"/>
        <v>18.100000000000001</v>
      </c>
      <c r="K11" s="786">
        <f t="shared" si="6"/>
        <v>13</v>
      </c>
      <c r="L11" s="651">
        <f t="shared" si="0"/>
        <v>2</v>
      </c>
      <c r="M11" s="787"/>
      <c r="N11" s="786" t="e">
        <f t="shared" si="2"/>
        <v>#N/A</v>
      </c>
      <c r="O11" s="651">
        <f t="shared" si="1"/>
        <v>0</v>
      </c>
      <c r="P11" s="787"/>
      <c r="R11" s="783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42160</v>
      </c>
      <c r="B12" s="647" t="str">
        <f>IF(ROW(A12)-7&lt;=DAY(DATE($I$3,T!$A$4+1,1)-1),INDEX([7]ČR!B22:B387,DATE(2016,T!$A$4,1)-DATE(2016,1,1)+1,1),"")</f>
        <v>pátek</v>
      </c>
      <c r="C12" s="101">
        <f>IF(ROW(A12)-7&lt;=DAY(DATE($I$3,T!$A$4+1,1)-1),INDEX([7]ČR!D22:D387,DATE(2016,T!$A$4,1)-DATE(2016,1,1)+1,1)/1000,"")</f>
        <v>10160.940166784341</v>
      </c>
      <c r="D12" s="105">
        <f>IF(ROW(A12)-7&lt;=DAY(DATE($I$3,T!$A$4+1,1)-1),INDEX([7]ČR!E22:E387,DATE(2016,T!$A$4,1)-DATE(2016,1,1)+1,1)/1000,"")</f>
        <v>108835.25528333333</v>
      </c>
      <c r="E12" s="106">
        <f>IF(ROW(A12)-7&lt;=DAY(DATE($I$3,T!$A$4+1,1)-1),INDEX([5]PT!AF20:AF385,DATE(2016,T!$A$4,1)-DATE(2016,1,1)+1,1),"")</f>
        <v>19</v>
      </c>
      <c r="F12" s="7"/>
      <c r="G12" s="648"/>
      <c r="H12" s="784">
        <f t="shared" si="3"/>
        <v>42160</v>
      </c>
      <c r="I12" s="652">
        <f t="shared" si="4"/>
        <v>10.160940166784341</v>
      </c>
      <c r="J12" s="653">
        <f t="shared" si="5"/>
        <v>19</v>
      </c>
      <c r="K12" s="786" t="e">
        <f t="shared" si="6"/>
        <v>#N/A</v>
      </c>
      <c r="L12" s="651">
        <f t="shared" si="0"/>
        <v>0</v>
      </c>
      <c r="M12" s="787"/>
      <c r="N12" s="786" t="e">
        <f t="shared" si="2"/>
        <v>#N/A</v>
      </c>
      <c r="O12" s="651">
        <f t="shared" si="1"/>
        <v>0</v>
      </c>
      <c r="P12" s="787"/>
      <c r="R12" s="783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42161</v>
      </c>
      <c r="B13" s="647" t="str">
        <f>IF(ROW(A13)-7&lt;=DAY(DATE($I$3,T!$A$4+1,1)-1),INDEX([7]ČR!B23:B388,DATE(2016,T!$A$4,1)-DATE(2016,1,1)+1,1),"")</f>
        <v>sobota</v>
      </c>
      <c r="C13" s="101">
        <f>IF(ROW(A13)-7&lt;=DAY(DATE($I$3,T!$A$4+1,1)-1),INDEX([7]ČR!D23:D388,DATE(2016,T!$A$4,1)-DATE(2016,1,1)+1,1)/1000,"")</f>
        <v>8219.2743342292742</v>
      </c>
      <c r="D13" s="105">
        <f>IF(ROW(A13)-7&lt;=DAY(DATE($I$3,T!$A$4+1,1)-1),INDEX([7]ČR!E23:E388,DATE(2016,T!$A$4,1)-DATE(2016,1,1)+1,1)/1000,"")</f>
        <v>88054.718283333335</v>
      </c>
      <c r="E13" s="106">
        <f>IF(ROW(A13)-7&lt;=DAY(DATE($I$3,T!$A$4+1,1)-1),INDEX([5]PT!AF21:AF386,DATE(2016,T!$A$4,1)-DATE(2016,1,1)+1,1),"")</f>
        <v>22</v>
      </c>
      <c r="F13" s="7"/>
      <c r="G13" s="648"/>
      <c r="H13" s="784">
        <f t="shared" si="3"/>
        <v>42161</v>
      </c>
      <c r="I13" s="652">
        <f t="shared" si="4"/>
        <v>8.219274334229274</v>
      </c>
      <c r="J13" s="653">
        <f t="shared" si="5"/>
        <v>22</v>
      </c>
      <c r="K13" s="786" t="e">
        <f t="shared" si="6"/>
        <v>#N/A</v>
      </c>
      <c r="L13" s="651">
        <f t="shared" si="0"/>
        <v>0</v>
      </c>
      <c r="M13" s="787"/>
      <c r="N13" s="786" t="e">
        <f t="shared" si="2"/>
        <v>#N/A</v>
      </c>
      <c r="O13" s="651">
        <f t="shared" si="1"/>
        <v>0</v>
      </c>
      <c r="P13" s="787"/>
      <c r="R13" s="783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42162</v>
      </c>
      <c r="B14" s="647" t="str">
        <f>IF(ROW(A14)-7&lt;=DAY(DATE($I$3,T!$A$4+1,1)-1),INDEX([7]ČR!B24:B389,DATE(2016,T!$A$4,1)-DATE(2016,1,1)+1,1),"")</f>
        <v>neděle</v>
      </c>
      <c r="C14" s="101">
        <f>IF(ROW(A14)-7&lt;=DAY(DATE($I$3,T!$A$4+1,1)-1),INDEX([7]ČR!D24:D389,DATE(2016,T!$A$4,1)-DATE(2016,1,1)+1,1)/1000,"")</f>
        <v>8781.8334472753122</v>
      </c>
      <c r="D14" s="105">
        <f>IF(ROW(A14)-7&lt;=DAY(DATE($I$3,T!$A$4+1,1)-1),INDEX([7]ČR!E24:E389,DATE(2016,T!$A$4,1)-DATE(2016,1,1)+1,1)/1000,"")</f>
        <v>94073.827283333332</v>
      </c>
      <c r="E14" s="106">
        <f>IF(ROW(A14)-7&lt;=DAY(DATE($I$3,T!$A$4+1,1)-1),INDEX([5]PT!AF22:AF387,DATE(2016,T!$A$4,1)-DATE(2016,1,1)+1,1),"")</f>
        <v>21.1</v>
      </c>
      <c r="F14" s="7"/>
      <c r="G14" s="648"/>
      <c r="H14" s="784">
        <f t="shared" si="3"/>
        <v>42162</v>
      </c>
      <c r="I14" s="652">
        <f t="shared" si="4"/>
        <v>8.7818334472753126</v>
      </c>
      <c r="J14" s="653">
        <f t="shared" si="5"/>
        <v>21.1</v>
      </c>
      <c r="K14" s="786" t="e">
        <f t="shared" si="6"/>
        <v>#N/A</v>
      </c>
      <c r="L14" s="651">
        <f t="shared" si="0"/>
        <v>0</v>
      </c>
      <c r="M14" s="787"/>
      <c r="N14" s="786" t="e">
        <f t="shared" si="2"/>
        <v>#N/A</v>
      </c>
      <c r="O14" s="651">
        <f t="shared" si="1"/>
        <v>0</v>
      </c>
      <c r="P14" s="787"/>
      <c r="R14" s="783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42163</v>
      </c>
      <c r="B15" s="647" t="str">
        <f>IF(ROW(A15)-7&lt;=DAY(DATE($I$3,T!$A$4+1,1)-1),INDEX([7]ČR!B25:B390,DATE(2016,T!$A$4,1)-DATE(2016,1,1)+1,1),"")</f>
        <v>pondělí</v>
      </c>
      <c r="C15" s="101">
        <f>IF(ROW(A15)-7&lt;=DAY(DATE($I$3,T!$A$4+1,1)-1),INDEX([7]ČR!D25:D390,DATE(2016,T!$A$4,1)-DATE(2016,1,1)+1,1)/1000,"")</f>
        <v>10694.449652365083</v>
      </c>
      <c r="D15" s="105">
        <f>IF(ROW(A15)-7&lt;=DAY(DATE($I$3,T!$A$4+1,1)-1),INDEX([7]ČR!E25:E390,DATE(2016,T!$A$4,1)-DATE(2016,1,1)+1,1)/1000,"")</f>
        <v>114540.00028333333</v>
      </c>
      <c r="E15" s="106">
        <f>IF(ROW(A15)-7&lt;=DAY(DATE($I$3,T!$A$4+1,1)-1),INDEX([5]PT!AF23:AF388,DATE(2016,T!$A$4,1)-DATE(2016,1,1)+1,1),"")</f>
        <v>17.3</v>
      </c>
      <c r="F15" s="7"/>
      <c r="G15" s="648"/>
      <c r="H15" s="784">
        <f t="shared" si="3"/>
        <v>42163</v>
      </c>
      <c r="I15" s="652">
        <f t="shared" si="4"/>
        <v>10.694449652365083</v>
      </c>
      <c r="J15" s="653">
        <f t="shared" si="5"/>
        <v>17.3</v>
      </c>
      <c r="K15" s="786" t="e">
        <f t="shared" si="6"/>
        <v>#N/A</v>
      </c>
      <c r="L15" s="651">
        <f t="shared" si="0"/>
        <v>0</v>
      </c>
      <c r="M15" s="787"/>
      <c r="N15" s="786" t="e">
        <f t="shared" si="2"/>
        <v>#N/A</v>
      </c>
      <c r="O15" s="651">
        <f t="shared" si="1"/>
        <v>0</v>
      </c>
      <c r="P15" s="787"/>
      <c r="R15" s="783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42164</v>
      </c>
      <c r="B16" s="647" t="str">
        <f>IF(ROW(A16)-7&lt;=DAY(DATE($I$3,T!$A$4+1,1)-1),INDEX([7]ČR!B26:B391,DATE(2016,T!$A$4,1)-DATE(2016,1,1)+1,1),"")</f>
        <v>úterý</v>
      </c>
      <c r="C16" s="101">
        <f>IF(ROW(A16)-7&lt;=DAY(DATE($I$3,T!$A$4+1,1)-1),INDEX([7]ČR!D26:D391,DATE(2016,T!$A$4,1)-DATE(2016,1,1)+1,1)/1000,"")</f>
        <v>11318.170860413256</v>
      </c>
      <c r="D16" s="105">
        <f>IF(ROW(A16)-7&lt;=DAY(DATE($I$3,T!$A$4+1,1)-1),INDEX([7]ČR!E26:E391,DATE(2016,T!$A$4,1)-DATE(2016,1,1)+1,1)/1000,"")</f>
        <v>121214.34128333333</v>
      </c>
      <c r="E16" s="106">
        <f>IF(ROW(A16)-7&lt;=DAY(DATE($I$3,T!$A$4+1,1)-1),INDEX([5]PT!AF24:AF389,DATE(2016,T!$A$4,1)-DATE(2016,1,1)+1,1),"")</f>
        <v>13.5</v>
      </c>
      <c r="F16" s="7"/>
      <c r="G16" s="648"/>
      <c r="H16" s="784">
        <f t="shared" si="3"/>
        <v>42164</v>
      </c>
      <c r="I16" s="652">
        <f t="shared" si="4"/>
        <v>11.318170860413256</v>
      </c>
      <c r="J16" s="653">
        <f t="shared" si="5"/>
        <v>13.5</v>
      </c>
      <c r="K16" s="786" t="e">
        <f t="shared" si="6"/>
        <v>#N/A</v>
      </c>
      <c r="L16" s="651">
        <f t="shared" si="0"/>
        <v>0</v>
      </c>
      <c r="M16" s="787"/>
      <c r="N16" s="786" t="e">
        <f t="shared" si="2"/>
        <v>#N/A</v>
      </c>
      <c r="O16" s="651">
        <f t="shared" si="1"/>
        <v>0</v>
      </c>
      <c r="P16" s="787"/>
      <c r="R16" s="783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42165</v>
      </c>
      <c r="B17" s="647" t="str">
        <f>IF(ROW(A17)-7&lt;=DAY(DATE($I$3,T!$A$4+1,1)-1),INDEX([7]ČR!B27:B392,DATE(2016,T!$A$4,1)-DATE(2016,1,1)+1,1),"")</f>
        <v>středa</v>
      </c>
      <c r="C17" s="101">
        <f>IF(ROW(A17)-7&lt;=DAY(DATE($I$3,T!$A$4+1,1)-1),INDEX([7]ČR!D27:D392,DATE(2016,T!$A$4,1)-DATE(2016,1,1)+1,1)/1000,"")</f>
        <v>10856.343232966216</v>
      </c>
      <c r="D17" s="105">
        <f>IF(ROW(A17)-7&lt;=DAY(DATE($I$3,T!$A$4+1,1)-1),INDEX([7]ČR!E27:E392,DATE(2016,T!$A$4,1)-DATE(2016,1,1)+1,1)/1000,"")</f>
        <v>116270.64528333333</v>
      </c>
      <c r="E17" s="106">
        <f>IF(ROW(A17)-7&lt;=DAY(DATE($I$3,T!$A$4+1,1)-1),INDEX([5]PT!AF25:AF390,DATE(2016,T!$A$4,1)-DATE(2016,1,1)+1,1),"")</f>
        <v>15.6</v>
      </c>
      <c r="F17" s="7"/>
      <c r="G17" s="648"/>
      <c r="H17" s="784">
        <f t="shared" si="3"/>
        <v>42165</v>
      </c>
      <c r="I17" s="652">
        <f t="shared" si="4"/>
        <v>10.856343232966216</v>
      </c>
      <c r="J17" s="653">
        <f t="shared" si="5"/>
        <v>15.6</v>
      </c>
      <c r="K17" s="786" t="e">
        <f t="shared" si="6"/>
        <v>#N/A</v>
      </c>
      <c r="L17" s="651">
        <f t="shared" si="0"/>
        <v>0</v>
      </c>
      <c r="M17" s="787"/>
      <c r="N17" s="786" t="e">
        <f t="shared" si="2"/>
        <v>#N/A</v>
      </c>
      <c r="O17" s="651">
        <f t="shared" si="1"/>
        <v>0</v>
      </c>
      <c r="P17" s="787"/>
      <c r="R17" s="783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42166</v>
      </c>
      <c r="B18" s="647" t="str">
        <f>IF(ROW(A18)-7&lt;=DAY(DATE($I$3,T!$A$4+1,1)-1),INDEX([7]ČR!B28:B393,DATE(2016,T!$A$4,1)-DATE(2016,1,1)+1,1),"")</f>
        <v>čtvrtek</v>
      </c>
      <c r="C18" s="101">
        <f>IF(ROW(A18)-7&lt;=DAY(DATE($I$3,T!$A$4+1,1)-1),INDEX([7]ČR!D28:D393,DATE(2016,T!$A$4,1)-DATE(2016,1,1)+1,1)/1000,"")</f>
        <v>10592.796184617917</v>
      </c>
      <c r="D18" s="105">
        <f>IF(ROW(A18)-7&lt;=DAY(DATE($I$3,T!$A$4+1,1)-1),INDEX([7]ČR!E28:E393,DATE(2016,T!$A$4,1)-DATE(2016,1,1)+1,1)/1000,"")</f>
        <v>113452.07528333332</v>
      </c>
      <c r="E18" s="106">
        <f>IF(ROW(A18)-7&lt;=DAY(DATE($I$3,T!$A$4+1,1)-1),INDEX([5]PT!AF26:AF391,DATE(2016,T!$A$4,1)-DATE(2016,1,1)+1,1),"")</f>
        <v>18.399999999999999</v>
      </c>
      <c r="F18" s="7"/>
      <c r="G18" s="648"/>
      <c r="H18" s="784">
        <f t="shared" si="3"/>
        <v>42166</v>
      </c>
      <c r="I18" s="652">
        <f t="shared" si="4"/>
        <v>10.592796184617917</v>
      </c>
      <c r="J18" s="653">
        <f t="shared" si="5"/>
        <v>18.399999999999999</v>
      </c>
      <c r="K18" s="786" t="e">
        <f t="shared" si="6"/>
        <v>#N/A</v>
      </c>
      <c r="L18" s="651">
        <f t="shared" si="0"/>
        <v>0</v>
      </c>
      <c r="M18" s="787"/>
      <c r="N18" s="786" t="e">
        <f t="shared" si="2"/>
        <v>#N/A</v>
      </c>
      <c r="O18" s="651">
        <f t="shared" si="1"/>
        <v>0</v>
      </c>
      <c r="P18" s="787"/>
      <c r="R18" s="783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42167</v>
      </c>
      <c r="B19" s="647" t="str">
        <f>IF(ROW(A19)-7&lt;=DAY(DATE($I$3,T!$A$4+1,1)-1),INDEX([7]ČR!B29:B394,DATE(2016,T!$A$4,1)-DATE(2016,1,1)+1,1),"")</f>
        <v>pátek</v>
      </c>
      <c r="C19" s="101">
        <f>IF(ROW(A19)-7&lt;=DAY(DATE($I$3,T!$A$4+1,1)-1),INDEX([7]ČR!D29:D394,DATE(2016,T!$A$4,1)-DATE(2016,1,1)+1,1)/1000,"")</f>
        <v>9757.8283784183623</v>
      </c>
      <c r="D19" s="105">
        <f>IF(ROW(A19)-7&lt;=DAY(DATE($I$3,T!$A$4+1,1)-1),INDEX([7]ČR!E29:E394,DATE(2016,T!$A$4,1)-DATE(2016,1,1)+1,1)/1000,"")</f>
        <v>104518.93428333334</v>
      </c>
      <c r="E19" s="106">
        <f>IF(ROW(A19)-7&lt;=DAY(DATE($I$3,T!$A$4+1,1)-1),INDEX([5]PT!AF27:AF392,DATE(2016,T!$A$4,1)-DATE(2016,1,1)+1,1),"")</f>
        <v>22.2</v>
      </c>
      <c r="F19" s="7"/>
      <c r="G19" s="648"/>
      <c r="H19" s="784">
        <f t="shared" si="3"/>
        <v>42167</v>
      </c>
      <c r="I19" s="652">
        <f t="shared" si="4"/>
        <v>9.7578283784183615</v>
      </c>
      <c r="J19" s="653">
        <f t="shared" si="5"/>
        <v>22.2</v>
      </c>
      <c r="K19" s="786" t="e">
        <f t="shared" si="6"/>
        <v>#N/A</v>
      </c>
      <c r="L19" s="651">
        <f t="shared" si="0"/>
        <v>0</v>
      </c>
      <c r="M19" s="787"/>
      <c r="N19" s="786" t="e">
        <f t="shared" si="2"/>
        <v>#N/A</v>
      </c>
      <c r="O19" s="651">
        <f t="shared" si="1"/>
        <v>0</v>
      </c>
      <c r="P19" s="787"/>
      <c r="R19" s="783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42168</v>
      </c>
      <c r="B20" s="647" t="str">
        <f>IF(ROW(A20)-7&lt;=DAY(DATE($I$3,T!$A$4+1,1)-1),INDEX([7]ČR!B30:B395,DATE(2016,T!$A$4,1)-DATE(2016,1,1)+1,1),"")</f>
        <v>sobota</v>
      </c>
      <c r="C20" s="101">
        <f>IF(ROW(A20)-7&lt;=DAY(DATE($I$3,T!$A$4+1,1)-1),INDEX([7]ČR!D30:D395,DATE(2016,T!$A$4,1)-DATE(2016,1,1)+1,1)/1000,"")</f>
        <v>8087.4519176162967</v>
      </c>
      <c r="D20" s="105">
        <f>IF(ROW(A20)-7&lt;=DAY(DATE($I$3,T!$A$4+1,1)-1),INDEX([7]ČR!E30:E395,DATE(2016,T!$A$4,1)-DATE(2016,1,1)+1,1)/1000,"")</f>
        <v>86645.689283333326</v>
      </c>
      <c r="E20" s="106">
        <f>IF(ROW(A20)-7&lt;=DAY(DATE($I$3,T!$A$4+1,1)-1),INDEX([5]PT!AF28:AF393,DATE(2016,T!$A$4,1)-DATE(2016,1,1)+1,1),"")</f>
        <v>21</v>
      </c>
      <c r="F20" s="7"/>
      <c r="G20" s="648"/>
      <c r="H20" s="784">
        <f t="shared" si="3"/>
        <v>42168</v>
      </c>
      <c r="I20" s="652">
        <f t="shared" si="4"/>
        <v>8.0874519176162973</v>
      </c>
      <c r="J20" s="653">
        <f t="shared" si="5"/>
        <v>21</v>
      </c>
      <c r="K20" s="786" t="e">
        <f t="shared" si="6"/>
        <v>#N/A</v>
      </c>
      <c r="L20" s="651">
        <f t="shared" si="0"/>
        <v>0</v>
      </c>
      <c r="M20" s="787"/>
      <c r="N20" s="786" t="e">
        <f t="shared" si="2"/>
        <v>#N/A</v>
      </c>
      <c r="O20" s="651">
        <f t="shared" si="1"/>
        <v>0</v>
      </c>
      <c r="P20" s="787"/>
      <c r="R20" s="783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42169</v>
      </c>
      <c r="B21" s="647" t="str">
        <f>IF(ROW(A21)-7&lt;=DAY(DATE($I$3,T!$A$4+1,1)-1),INDEX([7]ČR!B31:B396,DATE(2016,T!$A$4,1)-DATE(2016,1,1)+1,1),"")</f>
        <v>neděle</v>
      </c>
      <c r="C21" s="101">
        <f>IF(ROW(A21)-7&lt;=DAY(DATE($I$3,T!$A$4+1,1)-1),INDEX([7]ČR!D31:D396,DATE(2016,T!$A$4,1)-DATE(2016,1,1)+1,1)/1000,"")</f>
        <v>8352.7232431608118</v>
      </c>
      <c r="D21" s="105">
        <f>IF(ROW(A21)-7&lt;=DAY(DATE($I$3,T!$A$4+1,1)-1),INDEX([7]ČR!E31:E396,DATE(2016,T!$A$4,1)-DATE(2016,1,1)+1,1)/1000,"")</f>
        <v>89477.94028333333</v>
      </c>
      <c r="E21" s="106">
        <f>IF(ROW(A21)-7&lt;=DAY(DATE($I$3,T!$A$4+1,1)-1),INDEX([5]PT!AF29:AF394,DATE(2016,T!$A$4,1)-DATE(2016,1,1)+1,1),"")</f>
        <v>19.5</v>
      </c>
      <c r="F21" s="7"/>
      <c r="G21" s="648"/>
      <c r="H21" s="784">
        <f t="shared" si="3"/>
        <v>42169</v>
      </c>
      <c r="I21" s="652">
        <f t="shared" si="4"/>
        <v>8.3527232431608116</v>
      </c>
      <c r="J21" s="653">
        <f t="shared" si="5"/>
        <v>19.5</v>
      </c>
      <c r="K21" s="786" t="e">
        <f t="shared" si="6"/>
        <v>#N/A</v>
      </c>
      <c r="L21" s="651">
        <f t="shared" si="0"/>
        <v>0</v>
      </c>
      <c r="M21" s="787"/>
      <c r="N21" s="786" t="e">
        <f t="shared" si="2"/>
        <v>#N/A</v>
      </c>
      <c r="O21" s="651">
        <f t="shared" si="1"/>
        <v>0</v>
      </c>
      <c r="P21" s="787"/>
      <c r="R21" s="783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42170</v>
      </c>
      <c r="B22" s="647" t="str">
        <f>IF(ROW(A22)-7&lt;=DAY(DATE($I$3,T!$A$4+1,1)-1),INDEX([7]ČR!B32:B397,DATE(2016,T!$A$4,1)-DATE(2016,1,1)+1,1),"")</f>
        <v>pondělí</v>
      </c>
      <c r="C22" s="101">
        <f>IF(ROW(A22)-7&lt;=DAY(DATE($I$3,T!$A$4+1,1)-1),INDEX([7]ČR!D32:D397,DATE(2016,T!$A$4,1)-DATE(2016,1,1)+1,1)/1000,"")</f>
        <v>10533.784697160701</v>
      </c>
      <c r="D22" s="105">
        <f>IF(ROW(A22)-7&lt;=DAY(DATE($I$3,T!$A$4+1,1)-1),INDEX([7]ČR!E32:E397,DATE(2016,T!$A$4,1)-DATE(2016,1,1)+1,1)/1000,"")</f>
        <v>112819.46728333333</v>
      </c>
      <c r="E22" s="106">
        <f>IF(ROW(A22)-7&lt;=DAY(DATE($I$3,T!$A$4+1,1)-1),INDEX([5]PT!AF30:AF395,DATE(2016,T!$A$4,1)-DATE(2016,1,1)+1,1),"")</f>
        <v>16</v>
      </c>
      <c r="F22" s="7"/>
      <c r="G22" s="648"/>
      <c r="H22" s="784">
        <f t="shared" si="3"/>
        <v>42170</v>
      </c>
      <c r="I22" s="652">
        <f t="shared" si="4"/>
        <v>10.533784697160701</v>
      </c>
      <c r="J22" s="653">
        <f t="shared" si="5"/>
        <v>16</v>
      </c>
      <c r="K22" s="786" t="e">
        <f t="shared" si="6"/>
        <v>#N/A</v>
      </c>
      <c r="L22" s="651">
        <f>COUNTIFS($I$8:$I$38,"&gt;"&amp;K21,$I$8:$I$38,"&lt;="&amp;K22,$I$8:$I$38,"&gt;=0")</f>
        <v>0</v>
      </c>
      <c r="M22" s="787"/>
      <c r="N22" s="786" t="e">
        <f t="shared" si="2"/>
        <v>#N/A</v>
      </c>
      <c r="O22" s="651">
        <f t="shared" si="1"/>
        <v>0</v>
      </c>
      <c r="P22" s="787"/>
      <c r="R22" s="783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42171</v>
      </c>
      <c r="B23" s="647" t="str">
        <f>IF(ROW(A23)-7&lt;=DAY(DATE($I$3,T!$A$4+1,1)-1),INDEX([7]ČR!B33:B398,DATE(2016,T!$A$4,1)-DATE(2016,1,1)+1,1),"")</f>
        <v>úterý</v>
      </c>
      <c r="C23" s="101">
        <f>IF(ROW(A23)-7&lt;=DAY(DATE($I$3,T!$A$4+1,1)-1),INDEX([7]ČR!D33:D398,DATE(2016,T!$A$4,1)-DATE(2016,1,1)+1,1)/1000,"")</f>
        <v>11051.272942360116</v>
      </c>
      <c r="D23" s="105">
        <f>IF(ROW(A23)-7&lt;=DAY(DATE($I$3,T!$A$4+1,1)-1),INDEX([7]ČR!E33:E398,DATE(2016,T!$A$4,1)-DATE(2016,1,1)+1,1)/1000,"")</f>
        <v>118356.49828333333</v>
      </c>
      <c r="E23" s="106">
        <f>IF(ROW(A23)-7&lt;=DAY(DATE($I$3,T!$A$4+1,1)-1),INDEX([5]PT!AF31:AF396,DATE(2016,T!$A$4,1)-DATE(2016,1,1)+1,1),"")</f>
        <v>14.5</v>
      </c>
      <c r="F23" s="7"/>
      <c r="G23" s="648"/>
      <c r="H23" s="784">
        <f t="shared" si="3"/>
        <v>42171</v>
      </c>
      <c r="I23" s="652">
        <f t="shared" si="4"/>
        <v>11.051272942360116</v>
      </c>
      <c r="J23" s="653">
        <f t="shared" si="5"/>
        <v>14.5</v>
      </c>
      <c r="K23" s="786" t="e">
        <f t="shared" si="6"/>
        <v>#N/A</v>
      </c>
      <c r="L23" s="651">
        <f t="shared" ref="L23:L38" si="7">COUNTIFS($I$8:$I$38,"&gt;"&amp;K22,$I$8:$I$38,"&lt;="&amp;K23,$I$8:$I$38,"&gt;=0")</f>
        <v>0</v>
      </c>
      <c r="M23" s="787"/>
      <c r="N23" s="786" t="e">
        <f t="shared" si="2"/>
        <v>#N/A</v>
      </c>
      <c r="O23" s="651">
        <f t="shared" si="1"/>
        <v>0</v>
      </c>
      <c r="P23" s="787"/>
      <c r="R23" s="783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42172</v>
      </c>
      <c r="B24" s="647" t="str">
        <f>IF(ROW(A24)-7&lt;=DAY(DATE($I$3,T!$A$4+1,1)-1),INDEX([7]ČR!B34:B399,DATE(2016,T!$A$4,1)-DATE(2016,1,1)+1,1),"")</f>
        <v>středa</v>
      </c>
      <c r="C24" s="101">
        <f>IF(ROW(A24)-7&lt;=DAY(DATE($I$3,T!$A$4+1,1)-1),INDEX([7]ČR!D34:D399,DATE(2016,T!$A$4,1)-DATE(2016,1,1)+1,1)/1000,"")</f>
        <v>11171.552968152533</v>
      </c>
      <c r="D24" s="105">
        <f>IF(ROW(A24)-7&lt;=DAY(DATE($I$3,T!$A$4+1,1)-1),INDEX([7]ČR!E34:E399,DATE(2016,T!$A$4,1)-DATE(2016,1,1)+1,1)/1000,"")</f>
        <v>119643.46528333334</v>
      </c>
      <c r="E24" s="106">
        <f>IF(ROW(A24)-7&lt;=DAY(DATE($I$3,T!$A$4+1,1)-1),INDEX([5]PT!AF32:AF397,DATE(2016,T!$A$4,1)-DATE(2016,1,1)+1,1),"")</f>
        <v>12.3</v>
      </c>
      <c r="F24" s="7"/>
      <c r="G24" s="648"/>
      <c r="H24" s="784">
        <f t="shared" si="3"/>
        <v>42172</v>
      </c>
      <c r="I24" s="652">
        <f t="shared" si="4"/>
        <v>11.171552968152533</v>
      </c>
      <c r="J24" s="653">
        <f t="shared" si="5"/>
        <v>12.3</v>
      </c>
      <c r="K24" s="786" t="e">
        <f t="shared" si="6"/>
        <v>#N/A</v>
      </c>
      <c r="L24" s="651">
        <f t="shared" si="7"/>
        <v>0</v>
      </c>
      <c r="M24" s="787"/>
      <c r="N24" s="786" t="e">
        <f t="shared" si="2"/>
        <v>#N/A</v>
      </c>
      <c r="O24" s="651">
        <f t="shared" si="1"/>
        <v>0</v>
      </c>
      <c r="P24" s="787"/>
      <c r="R24" s="783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42173</v>
      </c>
      <c r="B25" s="647" t="str">
        <f>IF(ROW(A25)-7&lt;=DAY(DATE($I$3,T!$A$4+1,1)-1),INDEX([7]ČR!B35:B400,DATE(2016,T!$A$4,1)-DATE(2016,1,1)+1,1),"")</f>
        <v>čtvrtek</v>
      </c>
      <c r="C25" s="101">
        <f>IF(ROW(A25)-7&lt;=DAY(DATE($I$3,T!$A$4+1,1)-1),INDEX([7]ČR!D35:D400,DATE(2016,T!$A$4,1)-DATE(2016,1,1)+1,1)/1000,"")</f>
        <v>11287.807611347085</v>
      </c>
      <c r="D25" s="105">
        <f>IF(ROW(A25)-7&lt;=DAY(DATE($I$3,T!$A$4+1,1)-1),INDEX([7]ČR!E35:E400,DATE(2016,T!$A$4,1)-DATE(2016,1,1)+1,1)/1000,"")</f>
        <v>120888.85328333333</v>
      </c>
      <c r="E25" s="106">
        <f>IF(ROW(A25)-7&lt;=DAY(DATE($I$3,T!$A$4+1,1)-1),INDEX([5]PT!AF33:AF398,DATE(2016,T!$A$4,1)-DATE(2016,1,1)+1,1),"")</f>
        <v>15</v>
      </c>
      <c r="F25" s="7"/>
      <c r="G25" s="648"/>
      <c r="H25" s="784">
        <f t="shared" si="3"/>
        <v>42173</v>
      </c>
      <c r="I25" s="652">
        <f t="shared" si="4"/>
        <v>11.287807611347086</v>
      </c>
      <c r="J25" s="653">
        <f t="shared" si="5"/>
        <v>15</v>
      </c>
      <c r="K25" s="786" t="e">
        <f t="shared" si="6"/>
        <v>#N/A</v>
      </c>
      <c r="L25" s="651">
        <f t="shared" si="7"/>
        <v>0</v>
      </c>
      <c r="M25" s="787"/>
      <c r="N25" s="786" t="e">
        <f t="shared" si="2"/>
        <v>#N/A</v>
      </c>
      <c r="O25" s="651">
        <f t="shared" si="1"/>
        <v>0</v>
      </c>
      <c r="P25" s="787"/>
      <c r="R25" s="783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42174</v>
      </c>
      <c r="B26" s="647" t="str">
        <f>IF(ROW(A26)-7&lt;=DAY(DATE($I$3,T!$A$4+1,1)-1),INDEX([7]ČR!B36:B401,DATE(2016,T!$A$4,1)-DATE(2016,1,1)+1,1),"")</f>
        <v>pátek</v>
      </c>
      <c r="C26" s="101">
        <f>IF(ROW(A26)-7&lt;=DAY(DATE($I$3,T!$A$4+1,1)-1),INDEX([7]ČR!D36:D401,DATE(2016,T!$A$4,1)-DATE(2016,1,1)+1,1)/1000,"")</f>
        <v>11221.964926447567</v>
      </c>
      <c r="D26" s="105">
        <f>IF(ROW(A26)-7&lt;=DAY(DATE($I$3,T!$A$4+1,1)-1),INDEX([7]ČR!E36:E401,DATE(2016,T!$A$4,1)-DATE(2016,1,1)+1,1)/1000,"")</f>
        <v>120186.49428333333</v>
      </c>
      <c r="E26" s="106">
        <f>IF(ROW(A26)-7&lt;=DAY(DATE($I$3,T!$A$4+1,1)-1),INDEX([5]PT!AF34:AF399,DATE(2016,T!$A$4,1)-DATE(2016,1,1)+1,1),"")</f>
        <v>11.9</v>
      </c>
      <c r="F26" s="7"/>
      <c r="G26" s="648"/>
      <c r="H26" s="784">
        <f t="shared" si="3"/>
        <v>42174</v>
      </c>
      <c r="I26" s="652">
        <f t="shared" si="4"/>
        <v>11.221964926447567</v>
      </c>
      <c r="J26" s="653">
        <f t="shared" si="5"/>
        <v>11.9</v>
      </c>
      <c r="K26" s="786" t="e">
        <f t="shared" si="6"/>
        <v>#N/A</v>
      </c>
      <c r="L26" s="651">
        <f t="shared" si="7"/>
        <v>0</v>
      </c>
      <c r="M26" s="787"/>
      <c r="N26" s="786" t="e">
        <f t="shared" si="2"/>
        <v>#N/A</v>
      </c>
      <c r="O26" s="651">
        <f t="shared" si="1"/>
        <v>0</v>
      </c>
      <c r="P26" s="787"/>
      <c r="R26" s="783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42175</v>
      </c>
      <c r="B27" s="647" t="str">
        <f>IF(ROW(A27)-7&lt;=DAY(DATE($I$3,T!$A$4+1,1)-1),INDEX([7]ČR!B37:B402,DATE(2016,T!$A$4,1)-DATE(2016,1,1)+1,1),"")</f>
        <v>sobota</v>
      </c>
      <c r="C27" s="101">
        <f>IF(ROW(A27)-7&lt;=DAY(DATE($I$3,T!$A$4+1,1)-1),INDEX([7]ČR!D37:D402,DATE(2016,T!$A$4,1)-DATE(2016,1,1)+1,1)/1000,"")</f>
        <v>9632.0657383782618</v>
      </c>
      <c r="D27" s="105">
        <f>IF(ROW(A27)-7&lt;=DAY(DATE($I$3,T!$A$4+1,1)-1),INDEX([7]ČR!E37:E402,DATE(2016,T!$A$4,1)-DATE(2016,1,1)+1,1)/1000,"")</f>
        <v>103173.45928333333</v>
      </c>
      <c r="E27" s="106">
        <f>IF(ROW(A27)-7&lt;=DAY(DATE($I$3,T!$A$4+1,1)-1),INDEX([5]PT!AF35:AF400,DATE(2016,T!$A$4,1)-DATE(2016,1,1)+1,1),"")</f>
        <v>11</v>
      </c>
      <c r="F27" s="7"/>
      <c r="G27" s="648"/>
      <c r="H27" s="784">
        <f t="shared" si="3"/>
        <v>42175</v>
      </c>
      <c r="I27" s="652">
        <f t="shared" si="4"/>
        <v>9.6320657383782624</v>
      </c>
      <c r="J27" s="653">
        <f t="shared" si="5"/>
        <v>11</v>
      </c>
      <c r="K27" s="786" t="e">
        <f t="shared" si="6"/>
        <v>#N/A</v>
      </c>
      <c r="L27" s="651">
        <f t="shared" si="7"/>
        <v>0</v>
      </c>
      <c r="M27" s="787"/>
      <c r="N27" s="786" t="e">
        <f t="shared" si="2"/>
        <v>#N/A</v>
      </c>
      <c r="O27" s="651">
        <f t="shared" si="1"/>
        <v>0</v>
      </c>
      <c r="P27" s="787"/>
      <c r="R27" s="783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42176</v>
      </c>
      <c r="B28" s="647" t="str">
        <f>IF(ROW(A28)-7&lt;=DAY(DATE($I$3,T!$A$4+1,1)-1),INDEX([7]ČR!B38:B403,DATE(2016,T!$A$4,1)-DATE(2016,1,1)+1,1),"")</f>
        <v>neděle</v>
      </c>
      <c r="C28" s="101">
        <f>IF(ROW(A28)-7&lt;=DAY(DATE($I$3,T!$A$4+1,1)-1),INDEX([7]ČR!D38:D403,DATE(2016,T!$A$4,1)-DATE(2016,1,1)+1,1)/1000,"")</f>
        <v>10068.684557840834</v>
      </c>
      <c r="D28" s="105">
        <f>IF(ROW(A28)-7&lt;=DAY(DATE($I$3,T!$A$4+1,1)-1),INDEX([7]ČR!E38:E403,DATE(2016,T!$A$4,1)-DATE(2016,1,1)+1,1)/1000,"")</f>
        <v>107844.23228333333</v>
      </c>
      <c r="E28" s="106">
        <f>IF(ROW(A28)-7&lt;=DAY(DATE($I$3,T!$A$4+1,1)-1),INDEX([5]PT!AF36:AF401,DATE(2016,T!$A$4,1)-DATE(2016,1,1)+1,1),"")</f>
        <v>12.5</v>
      </c>
      <c r="F28" s="7"/>
      <c r="G28" s="648"/>
      <c r="H28" s="784">
        <f t="shared" si="3"/>
        <v>42176</v>
      </c>
      <c r="I28" s="652">
        <f t="shared" si="4"/>
        <v>10.068684557840834</v>
      </c>
      <c r="J28" s="653">
        <f t="shared" si="5"/>
        <v>12.5</v>
      </c>
      <c r="K28" s="786" t="e">
        <f t="shared" si="6"/>
        <v>#N/A</v>
      </c>
      <c r="L28" s="651">
        <f t="shared" si="7"/>
        <v>0</v>
      </c>
      <c r="M28" s="787"/>
      <c r="N28" s="786" t="e">
        <f t="shared" si="2"/>
        <v>#N/A</v>
      </c>
      <c r="O28" s="651">
        <f t="shared" si="1"/>
        <v>0</v>
      </c>
      <c r="P28" s="787"/>
      <c r="R28" s="783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42177</v>
      </c>
      <c r="B29" s="647" t="str">
        <f>IF(ROW(A29)-7&lt;=DAY(DATE($I$3,T!$A$4+1,1)-1),INDEX([7]ČR!B39:B404,DATE(2016,T!$A$4,1)-DATE(2016,1,1)+1,1),"")</f>
        <v>pondělí</v>
      </c>
      <c r="C29" s="101">
        <f>IF(ROW(A29)-7&lt;=DAY(DATE($I$3,T!$A$4+1,1)-1),INDEX([7]ČR!D39:D404,DATE(2016,T!$A$4,1)-DATE(2016,1,1)+1,1)/1000,"")</f>
        <v>11900.793448201846</v>
      </c>
      <c r="D29" s="105">
        <f>IF(ROW(A29)-7&lt;=DAY(DATE($I$3,T!$A$4+1,1)-1),INDEX([7]ČR!E39:E404,DATE(2016,T!$A$4,1)-DATE(2016,1,1)+1,1)/1000,"")</f>
        <v>127436.30728333333</v>
      </c>
      <c r="E29" s="106">
        <f>IF(ROW(A29)-7&lt;=DAY(DATE($I$3,T!$A$4+1,1)-1),INDEX([5]PT!AF37:AF402,DATE(2016,T!$A$4,1)-DATE(2016,1,1)+1,1),"")</f>
        <v>13.7</v>
      </c>
      <c r="F29" s="7"/>
      <c r="G29" s="648"/>
      <c r="H29" s="784">
        <f t="shared" si="3"/>
        <v>42177</v>
      </c>
      <c r="I29" s="652">
        <f t="shared" si="4"/>
        <v>11.900793448201846</v>
      </c>
      <c r="J29" s="653">
        <f t="shared" si="5"/>
        <v>13.7</v>
      </c>
      <c r="K29" s="786" t="e">
        <f t="shared" si="6"/>
        <v>#N/A</v>
      </c>
      <c r="L29" s="651">
        <f t="shared" si="7"/>
        <v>0</v>
      </c>
      <c r="M29" s="787"/>
      <c r="N29" s="786" t="e">
        <f t="shared" si="2"/>
        <v>#N/A</v>
      </c>
      <c r="O29" s="651">
        <f t="shared" si="1"/>
        <v>0</v>
      </c>
      <c r="P29" s="787"/>
      <c r="R29" s="783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42178</v>
      </c>
      <c r="B30" s="647" t="str">
        <f>IF(ROW(A30)-7&lt;=DAY(DATE($I$3,T!$A$4+1,1)-1),INDEX([7]ČR!B40:B405,DATE(2016,T!$A$4,1)-DATE(2016,1,1)+1,1),"")</f>
        <v>úterý</v>
      </c>
      <c r="C30" s="101">
        <f>IF(ROW(A30)-7&lt;=DAY(DATE($I$3,T!$A$4+1,1)-1),INDEX([7]ČR!D40:D405,DATE(2016,T!$A$4,1)-DATE(2016,1,1)+1,1)/1000,"")</f>
        <v>12514.668333493279</v>
      </c>
      <c r="D30" s="105">
        <f>IF(ROW(A30)-7&lt;=DAY(DATE($I$3,T!$A$4+1,1)-1),INDEX([7]ČR!E40:E405,DATE(2016,T!$A$4,1)-DATE(2016,1,1)+1,1)/1000,"")</f>
        <v>134005.90028333332</v>
      </c>
      <c r="E30" s="106">
        <f>IF(ROW(A30)-7&lt;=DAY(DATE($I$3,T!$A$4+1,1)-1),INDEX([5]PT!AF38:AF403,DATE(2016,T!$A$4,1)-DATE(2016,1,1)+1,1),"")</f>
        <v>12</v>
      </c>
      <c r="F30" s="7"/>
      <c r="G30" s="648"/>
      <c r="H30" s="784">
        <f t="shared" si="3"/>
        <v>42178</v>
      </c>
      <c r="I30" s="652">
        <f t="shared" si="4"/>
        <v>12.514668333493278</v>
      </c>
      <c r="J30" s="653">
        <f t="shared" si="5"/>
        <v>12</v>
      </c>
      <c r="K30" s="786" t="e">
        <f t="shared" si="6"/>
        <v>#N/A</v>
      </c>
      <c r="L30" s="651">
        <f t="shared" si="7"/>
        <v>0</v>
      </c>
      <c r="M30" s="787"/>
      <c r="N30" s="786" t="e">
        <f t="shared" si="2"/>
        <v>#N/A</v>
      </c>
      <c r="O30" s="651">
        <f t="shared" si="1"/>
        <v>0</v>
      </c>
      <c r="P30" s="787"/>
      <c r="R30" s="783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42179</v>
      </c>
      <c r="B31" s="647" t="str">
        <f>IF(ROW(A31)-7&lt;=DAY(DATE($I$3,T!$A$4+1,1)-1),INDEX([7]ČR!B41:B406,DATE(2016,T!$A$4,1)-DATE(2016,1,1)+1,1),"")</f>
        <v>středa</v>
      </c>
      <c r="C31" s="101">
        <f>IF(ROW(A31)-7&lt;=DAY(DATE($I$3,T!$A$4+1,1)-1),INDEX([7]ČR!D41:D406,DATE(2016,T!$A$4,1)-DATE(2016,1,1)+1,1)/1000,"")</f>
        <v>12524.604969460772</v>
      </c>
      <c r="D31" s="105">
        <f>IF(ROW(A31)-7&lt;=DAY(DATE($I$3,T!$A$4+1,1)-1),INDEX([7]ČR!E41:E406,DATE(2016,T!$A$4,1)-DATE(2016,1,1)+1,1)/1000,"")</f>
        <v>134115.32828333334</v>
      </c>
      <c r="E31" s="106">
        <f>IF(ROW(A31)-7&lt;=DAY(DATE($I$3,T!$A$4+1,1)-1),INDEX([5]PT!AF39:AF404,DATE(2016,T!$A$4,1)-DATE(2016,1,1)+1,1),"")</f>
        <v>12.8</v>
      </c>
      <c r="F31" s="7"/>
      <c r="G31" s="648"/>
      <c r="H31" s="784">
        <f t="shared" si="3"/>
        <v>42179</v>
      </c>
      <c r="I31" s="652">
        <f t="shared" si="4"/>
        <v>12.524604969460771</v>
      </c>
      <c r="J31" s="653">
        <f t="shared" si="5"/>
        <v>12.8</v>
      </c>
      <c r="K31" s="786" t="e">
        <f t="shared" si="6"/>
        <v>#N/A</v>
      </c>
      <c r="L31" s="651">
        <f t="shared" si="7"/>
        <v>0</v>
      </c>
      <c r="M31" s="787"/>
      <c r="N31" s="786" t="e">
        <f t="shared" si="2"/>
        <v>#N/A</v>
      </c>
      <c r="O31" s="651">
        <f t="shared" si="1"/>
        <v>0</v>
      </c>
      <c r="P31" s="787"/>
      <c r="R31" s="783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42180</v>
      </c>
      <c r="B32" s="647" t="str">
        <f>IF(ROW(A32)-7&lt;=DAY(DATE($I$3,T!$A$4+1,1)-1),INDEX([7]ČR!B42:B407,DATE(2016,T!$A$4,1)-DATE(2016,1,1)+1,1),"")</f>
        <v>čtvrtek</v>
      </c>
      <c r="C32" s="101">
        <f>IF(ROW(A32)-7&lt;=DAY(DATE($I$3,T!$A$4+1,1)-1),INDEX([7]ČR!D42:D407,DATE(2016,T!$A$4,1)-DATE(2016,1,1)+1,1)/1000,"")</f>
        <v>11591.579537906711</v>
      </c>
      <c r="D32" s="105">
        <f>IF(ROW(A32)-7&lt;=DAY(DATE($I$3,T!$A$4+1,1)-1),INDEX([7]ČR!E42:E407,DATE(2016,T!$A$4,1)-DATE(2016,1,1)+1,1)/1000,"")</f>
        <v>124121.03028333333</v>
      </c>
      <c r="E32" s="106">
        <f>IF(ROW(A32)-7&lt;=DAY(DATE($I$3,T!$A$4+1,1)-1),INDEX([5]PT!AF40:AF405,DATE(2016,T!$A$4,1)-DATE(2016,1,1)+1,1),"")</f>
        <v>15.3</v>
      </c>
      <c r="F32" s="7"/>
      <c r="G32" s="648"/>
      <c r="H32" s="784">
        <f t="shared" si="3"/>
        <v>42180</v>
      </c>
      <c r="I32" s="652">
        <f t="shared" si="4"/>
        <v>11.591579537906711</v>
      </c>
      <c r="J32" s="653">
        <f t="shared" si="5"/>
        <v>15.3</v>
      </c>
      <c r="K32" s="786" t="e">
        <f t="shared" si="6"/>
        <v>#N/A</v>
      </c>
      <c r="L32" s="651">
        <f t="shared" si="7"/>
        <v>0</v>
      </c>
      <c r="M32" s="787"/>
      <c r="N32" s="786" t="e">
        <f t="shared" si="2"/>
        <v>#N/A</v>
      </c>
      <c r="O32" s="651">
        <f t="shared" si="1"/>
        <v>0</v>
      </c>
      <c r="P32" s="787"/>
    </row>
    <row r="33" spans="1:16" ht="12" customHeight="1" x14ac:dyDescent="0.2">
      <c r="A33" s="104">
        <f>IF(ROW(A33)-7&lt;=DAY(DATE($I$3,T!$A$4+1,1)-1),INDEX([7]ČR!A43:A408,DATE(2016,T!$A$4,1)-DATE(2016,1,1)+1,1),"")</f>
        <v>42181</v>
      </c>
      <c r="B33" s="647" t="str">
        <f>IF(ROW(A33)-7&lt;=DAY(DATE($I$3,T!$A$4+1,1)-1),INDEX([7]ČR!B43:B408,DATE(2016,T!$A$4,1)-DATE(2016,1,1)+1,1),"")</f>
        <v>pátek</v>
      </c>
      <c r="C33" s="101">
        <f>IF(ROW(A33)-7&lt;=DAY(DATE($I$3,T!$A$4+1,1)-1),INDEX([7]ČR!D43:D408,DATE(2016,T!$A$4,1)-DATE(2016,1,1)+1,1)/1000,"")</f>
        <v>10491.096429598116</v>
      </c>
      <c r="D33" s="105">
        <f>IF(ROW(A33)-7&lt;=DAY(DATE($I$3,T!$A$4+1,1)-1),INDEX([7]ČR!E43:E408,DATE(2016,T!$A$4,1)-DATE(2016,1,1)+1,1)/1000,"")</f>
        <v>112351.36828333333</v>
      </c>
      <c r="E33" s="106">
        <f>IF(ROW(A33)-7&lt;=DAY(DATE($I$3,T!$A$4+1,1)-1),INDEX([5]PT!AF41:AF406,DATE(2016,T!$A$4,1)-DATE(2016,1,1)+1,1),"")</f>
        <v>18.2</v>
      </c>
      <c r="F33" s="7"/>
      <c r="G33" s="648"/>
      <c r="H33" s="784">
        <f t="shared" si="3"/>
        <v>42181</v>
      </c>
      <c r="I33" s="652">
        <f t="shared" si="4"/>
        <v>10.491096429598116</v>
      </c>
      <c r="J33" s="653">
        <f t="shared" si="5"/>
        <v>18.2</v>
      </c>
      <c r="K33" s="786" t="e">
        <f t="shared" si="6"/>
        <v>#N/A</v>
      </c>
      <c r="L33" s="651">
        <f t="shared" si="7"/>
        <v>0</v>
      </c>
      <c r="M33" s="787"/>
      <c r="N33" s="786" t="e">
        <f t="shared" si="2"/>
        <v>#N/A</v>
      </c>
      <c r="O33" s="651">
        <f t="shared" si="1"/>
        <v>0</v>
      </c>
      <c r="P33" s="787"/>
    </row>
    <row r="34" spans="1:16" ht="12" customHeight="1" x14ac:dyDescent="0.2">
      <c r="A34" s="104">
        <f>IF(ROW(A34)-7&lt;=DAY(DATE($I$3,T!$A$4+1,1)-1),INDEX([7]ČR!A44:A409,DATE(2016,T!$A$4,1)-DATE(2016,1,1)+1,1),"")</f>
        <v>42182</v>
      </c>
      <c r="B34" s="647" t="str">
        <f>IF(ROW(A34)-7&lt;=DAY(DATE($I$3,T!$A$4+1,1)-1),INDEX([7]ČR!B44:B409,DATE(2016,T!$A$4,1)-DATE(2016,1,1)+1,1),"")</f>
        <v>sobota</v>
      </c>
      <c r="C34" s="101">
        <f>IF(ROW(A34)-7&lt;=DAY(DATE($I$3,T!$A$4+1,1)-1),INDEX([7]ČR!D44:D409,DATE(2016,T!$A$4,1)-DATE(2016,1,1)+1,1)/1000,"")</f>
        <v>8986.0592689411715</v>
      </c>
      <c r="D34" s="105">
        <f>IF(ROW(A34)-7&lt;=DAY(DATE($I$3,T!$A$4+1,1)-1),INDEX([7]ČR!E44:E409,DATE(2016,T!$A$4,1)-DATE(2016,1,1)+1,1)/1000,"")</f>
        <v>96240.283283333338</v>
      </c>
      <c r="E34" s="106">
        <f>IF(ROW(A34)-7&lt;=DAY(DATE($I$3,T!$A$4+1,1)-1),INDEX([5]PT!AF42:AF407,DATE(2016,T!$A$4,1)-DATE(2016,1,1)+1,1),"")</f>
        <v>17.2</v>
      </c>
      <c r="F34" s="7"/>
      <c r="G34" s="648"/>
      <c r="H34" s="784">
        <f t="shared" si="3"/>
        <v>42182</v>
      </c>
      <c r="I34" s="652">
        <f t="shared" si="4"/>
        <v>8.9860592689411707</v>
      </c>
      <c r="J34" s="653">
        <f t="shared" si="5"/>
        <v>17.2</v>
      </c>
      <c r="K34" s="786" t="e">
        <f t="shared" si="6"/>
        <v>#N/A</v>
      </c>
      <c r="L34" s="651">
        <f t="shared" si="7"/>
        <v>0</v>
      </c>
      <c r="M34" s="787"/>
      <c r="N34" s="786" t="e">
        <f t="shared" si="2"/>
        <v>#N/A</v>
      </c>
      <c r="O34" s="651">
        <f t="shared" si="1"/>
        <v>0</v>
      </c>
      <c r="P34" s="787"/>
    </row>
    <row r="35" spans="1:16" ht="12" customHeight="1" x14ac:dyDescent="0.2">
      <c r="A35" s="104">
        <f>IF(ROW(A35)-7&lt;=DAY(DATE($I$3,T!$A$4+1,1)-1),INDEX([7]ČR!A45:A410,DATE(2016,T!$A$4,1)-DATE(2016,1,1)+1,1),"")</f>
        <v>42183</v>
      </c>
      <c r="B35" s="647" t="str">
        <f>IF(ROW(A35)-7&lt;=DAY(DATE($I$3,T!$A$4+1,1)-1),INDEX([7]ČR!B45:B410,DATE(2016,T!$A$4,1)-DATE(2016,1,1)+1,1),"")</f>
        <v>neděle</v>
      </c>
      <c r="C35" s="101">
        <f>IF(ROW(A35)-7&lt;=DAY(DATE($I$3,T!$A$4+1,1)-1),INDEX([7]ČR!D45:D410,DATE(2016,T!$A$4,1)-DATE(2016,1,1)+1,1)/1000,"")</f>
        <v>9238.8504465816332</v>
      </c>
      <c r="D35" s="105">
        <f>IF(ROW(A35)-7&lt;=DAY(DATE($I$3,T!$A$4+1,1)-1),INDEX([7]ČR!E45:E410,DATE(2016,T!$A$4,1)-DATE(2016,1,1)+1,1)/1000,"")</f>
        <v>98949.341283333328</v>
      </c>
      <c r="E35" s="106">
        <f>IF(ROW(A35)-7&lt;=DAY(DATE($I$3,T!$A$4+1,1)-1),INDEX([5]PT!AF43:AF408,DATE(2016,T!$A$4,1)-DATE(2016,1,1)+1,1),"")</f>
        <v>16.2</v>
      </c>
      <c r="F35" s="7"/>
      <c r="G35" s="648"/>
      <c r="H35" s="784">
        <f t="shared" si="3"/>
        <v>42183</v>
      </c>
      <c r="I35" s="652">
        <f t="shared" si="4"/>
        <v>9.2388504465816332</v>
      </c>
      <c r="J35" s="653">
        <f t="shared" si="5"/>
        <v>16.2</v>
      </c>
      <c r="K35" s="786" t="e">
        <f t="shared" si="6"/>
        <v>#N/A</v>
      </c>
      <c r="L35" s="651">
        <f t="shared" si="7"/>
        <v>0</v>
      </c>
      <c r="M35" s="787"/>
      <c r="N35" s="786" t="e">
        <f t="shared" si="2"/>
        <v>#N/A</v>
      </c>
      <c r="O35" s="651">
        <f t="shared" si="1"/>
        <v>0</v>
      </c>
      <c r="P35" s="787"/>
    </row>
    <row r="36" spans="1:16" ht="12" customHeight="1" x14ac:dyDescent="0.2">
      <c r="A36" s="104">
        <f>IF(ROW(A36)-7&lt;=DAY(DATE($I$3,T!$A$4+1,1)-1),INDEX([7]ČR!A46:A411,DATE(2016,T!$A$4,1)-DATE(2016,1,1)+1,1),"")</f>
        <v>42184</v>
      </c>
      <c r="B36" s="647" t="str">
        <f>IF(ROW(A36)-7&lt;=DAY(DATE($I$3,T!$A$4+1,1)-1),INDEX([7]ČR!B46:B411,DATE(2016,T!$A$4,1)-DATE(2016,1,1)+1,1),"")</f>
        <v>pondělí</v>
      </c>
      <c r="C36" s="101">
        <f>IF(ROW(A36)-7&lt;=DAY(DATE($I$3,T!$A$4+1,1)-1),INDEX([7]ČR!D46:D411,DATE(2016,T!$A$4,1)-DATE(2016,1,1)+1,1)/1000,"")</f>
        <v>11076.462548321208</v>
      </c>
      <c r="D36" s="105">
        <f>IF(ROW(A36)-7&lt;=DAY(DATE($I$3,T!$A$4+1,1)-1),INDEX([7]ČR!E46:E411,DATE(2016,T!$A$4,1)-DATE(2016,1,1)+1,1)/1000,"")</f>
        <v>118615.25728333333</v>
      </c>
      <c r="E36" s="106">
        <f>IF(ROW(A36)-7&lt;=DAY(DATE($I$3,T!$A$4+1,1)-1),INDEX([5]PT!AF44:AF409,DATE(2016,T!$A$4,1)-DATE(2016,1,1)+1,1),"")</f>
        <v>16.8</v>
      </c>
      <c r="F36" s="7"/>
      <c r="G36" s="648"/>
      <c r="H36" s="784">
        <f t="shared" si="3"/>
        <v>42184</v>
      </c>
      <c r="I36" s="652">
        <f t="shared" si="4"/>
        <v>11.076462548321208</v>
      </c>
      <c r="J36" s="653">
        <f t="shared" si="5"/>
        <v>16.8</v>
      </c>
      <c r="K36" s="786" t="e">
        <f t="shared" si="6"/>
        <v>#N/A</v>
      </c>
      <c r="L36" s="651">
        <f t="shared" si="7"/>
        <v>0</v>
      </c>
      <c r="M36" s="787"/>
      <c r="N36" s="786" t="e">
        <f t="shared" si="2"/>
        <v>#N/A</v>
      </c>
      <c r="O36" s="651">
        <f t="shared" si="1"/>
        <v>0</v>
      </c>
      <c r="P36" s="787"/>
    </row>
    <row r="37" spans="1:16" ht="12" customHeight="1" x14ac:dyDescent="0.2">
      <c r="A37" s="104">
        <f>IF(ROW(A37)-7&lt;=DAY(DATE($I$3,T!$A$4+1,1)-1),INDEX([7]ČR!A47:A412,DATE(2016,T!$A$4,1)-DATE(2016,1,1)+1,1),"")</f>
        <v>42185</v>
      </c>
      <c r="B37" s="647" t="str">
        <f>IF(ROW(A37)-7&lt;=DAY(DATE($I$3,T!$A$4+1,1)-1),INDEX([7]ČR!B47:B412,DATE(2016,T!$A$4,1)-DATE(2016,1,1)+1,1),"")</f>
        <v>úterý</v>
      </c>
      <c r="C37" s="101">
        <f>IF(ROW(A37)-7&lt;=DAY(DATE($I$3,T!$A$4+1,1)-1),INDEX([7]ČR!D47:D412,DATE(2016,T!$A$4,1)-DATE(2016,1,1)+1,1)/1000,"")</f>
        <v>10832.951940338289</v>
      </c>
      <c r="D37" s="105">
        <f>IF(ROW(A37)-7&lt;=DAY(DATE($I$3,T!$A$4+1,1)-1),INDEX([7]ČR!E47:E412,DATE(2016,T!$A$4,1)-DATE(2016,1,1)+1,1)/1000,"")</f>
        <v>116004.68128333332</v>
      </c>
      <c r="E37" s="106">
        <f>IF(ROW(A37)-7&lt;=DAY(DATE($I$3,T!$A$4+1,1)-1),INDEX([5]PT!AF45:AF410,DATE(2016,T!$A$4,1)-DATE(2016,1,1)+1,1),"")</f>
        <v>19.399999999999999</v>
      </c>
      <c r="F37" s="7"/>
      <c r="G37" s="648"/>
      <c r="H37" s="784">
        <f t="shared" si="3"/>
        <v>42185</v>
      </c>
      <c r="I37" s="652">
        <f t="shared" si="4"/>
        <v>10.832951940338289</v>
      </c>
      <c r="J37" s="653">
        <f t="shared" si="5"/>
        <v>19.399999999999999</v>
      </c>
      <c r="K37" s="786" t="e">
        <f t="shared" si="6"/>
        <v>#N/A</v>
      </c>
      <c r="L37" s="651">
        <f t="shared" si="7"/>
        <v>0</v>
      </c>
      <c r="M37" s="787"/>
      <c r="N37" s="786" t="e">
        <f t="shared" si="2"/>
        <v>#N/A</v>
      </c>
      <c r="O37" s="651">
        <f t="shared" si="1"/>
        <v>0</v>
      </c>
      <c r="P37" s="787"/>
    </row>
    <row r="38" spans="1:16" ht="12" customHeight="1" x14ac:dyDescent="0.2">
      <c r="A38" s="104" t="str">
        <f>IF(ROW(A38)-7&lt;=DAY(DATE($I$3,T!$A$4+1,1)-1),INDEX([7]ČR!A48:A413,DATE(2016,T!$A$4,1)-DATE(2016,1,1)+1,1),"")</f>
        <v/>
      </c>
      <c r="B38" s="647" t="str">
        <f>IF(ROW(A38)-7&lt;=DAY(DATE($I$3,T!$A$4+1,1)-1),INDEX([7]ČR!B48:B413,DATE(2016,T!$A$4,1)-DATE(2016,1,1)+1,1),"")</f>
        <v/>
      </c>
      <c r="C38" s="101" t="str">
        <f>IF(ROW(A38)-7&lt;=DAY(DATE($I$3,T!$A$4+1,1)-1),INDEX([7]ČR!D48:D413,DATE(2016,T!$A$4,1)-DATE(2016,1,1)+1,1)/1000,"")</f>
        <v/>
      </c>
      <c r="D38" s="105" t="str">
        <f>IF(ROW(A38)-7&lt;=DAY(DATE($I$3,T!$A$4+1,1)-1),INDEX([7]ČR!E48:E413,DATE(2016,T!$A$4,1)-DATE(2016,1,1)+1,1)/1000,"")</f>
        <v/>
      </c>
      <c r="E38" s="106" t="str">
        <f>IF(ROW(A38)-7&lt;=DAY(DATE($I$3,T!$A$4+1,1)-1),INDEX([5]PT!AF46:AF411,DATE(2016,T!$A$4,1)-DATE(2016,1,1)+1,1),"")</f>
        <v/>
      </c>
      <c r="F38" s="7"/>
      <c r="G38" s="648"/>
      <c r="H38" s="784" t="e">
        <f t="shared" si="3"/>
        <v>#N/A</v>
      </c>
      <c r="I38" s="652" t="e">
        <f t="shared" si="4"/>
        <v>#N/A</v>
      </c>
      <c r="J38" s="653" t="e">
        <f t="shared" si="5"/>
        <v>#N/A</v>
      </c>
      <c r="K38" s="786" t="e">
        <f t="shared" si="6"/>
        <v>#N/A</v>
      </c>
      <c r="L38" s="651">
        <f t="shared" si="7"/>
        <v>0</v>
      </c>
      <c r="M38" s="787"/>
      <c r="N38" s="786" t="e">
        <f t="shared" si="2"/>
        <v>#N/A</v>
      </c>
      <c r="O38" s="651">
        <f t="shared" si="1"/>
        <v>0</v>
      </c>
      <c r="P38" s="787"/>
    </row>
    <row r="39" spans="1:16" ht="12" customHeight="1" x14ac:dyDescent="0.2">
      <c r="A39" s="859" t="s">
        <v>2</v>
      </c>
      <c r="B39" s="860"/>
      <c r="C39" s="748">
        <f>SUM(C8:C38)</f>
        <v>314407.8264771126</v>
      </c>
      <c r="D39" s="749">
        <f>SUM(D8:D38)</f>
        <v>3367313.6155000003</v>
      </c>
      <c r="E39" s="750">
        <f>AVERAGE(E8:E38)</f>
        <v>16.746666666666666</v>
      </c>
      <c r="F39" s="7"/>
      <c r="G39" s="858"/>
      <c r="H39" s="91"/>
      <c r="I39" s="785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1" t="s">
        <v>45</v>
      </c>
      <c r="B40" s="862"/>
      <c r="C40" s="102">
        <f>MAX(C8:C38)</f>
        <v>12524.604969460772</v>
      </c>
      <c r="D40" s="8">
        <f>MAX(D8:D38)</f>
        <v>134115.32828333334</v>
      </c>
      <c r="E40" s="43">
        <f>VLOOKUP(C40,$C$8:$E$38,3,FALSE)</f>
        <v>12.8</v>
      </c>
      <c r="F40" s="7"/>
      <c r="G40" s="858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1" t="s">
        <v>46</v>
      </c>
      <c r="B41" s="862"/>
      <c r="C41" s="102">
        <f>MIN(C8:C38)</f>
        <v>8087.4519176162967</v>
      </c>
      <c r="D41" s="8">
        <f>MIN(D8:D38)</f>
        <v>86645.689283333326</v>
      </c>
      <c r="E41" s="43">
        <f>VLOOKUP(C41,$C$8:$E$38,3,FALSE)</f>
        <v>21</v>
      </c>
      <c r="F41" s="7"/>
      <c r="G41" s="858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3" t="s">
        <v>44</v>
      </c>
      <c r="B42" s="864"/>
      <c r="C42" s="103">
        <f>AVERAGE(C8:C38)</f>
        <v>10480.260882570419</v>
      </c>
      <c r="D42" s="44">
        <f>AVERAGE(D8:D38)</f>
        <v>112243.78718333335</v>
      </c>
      <c r="E42" s="45">
        <f>AVERAGE(E8:E38)</f>
        <v>16.746666666666666</v>
      </c>
      <c r="F42" s="7"/>
      <c r="G42" s="858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75</v>
      </c>
      <c r="P1" s="821"/>
    </row>
    <row r="2" spans="1:17" ht="15.95" customHeight="1" x14ac:dyDescent="0.25">
      <c r="A2" s="877" t="s">
        <v>189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7"/>
      <c r="E4" s="497"/>
      <c r="F4" s="497"/>
      <c r="G4" s="497"/>
      <c r="P4" s="594"/>
    </row>
    <row r="5" spans="1:17" ht="18" customHeight="1" x14ac:dyDescent="0.2">
      <c r="A5" s="515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.9499999999999993" customHeight="1" x14ac:dyDescent="0.2">
      <c r="A6" s="879" t="s">
        <v>253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564" t="str">
        <f>"spotřeba "&amp;$A$3</f>
        <v>spotřeba 2015</v>
      </c>
      <c r="C7" s="566" t="s">
        <v>250</v>
      </c>
      <c r="D7" s="522">
        <f>IF(T!$A$4&gt;='[8]Podklady MZ'!D$2,'[8]Podklady MZ'!D12,"")</f>
        <v>1081.280644710429</v>
      </c>
      <c r="E7" s="523">
        <f>IF(T!$A$4&gt;='[8]Podklady MZ'!E$2,'[8]Podklady MZ'!E12,"")</f>
        <v>989.86689164730865</v>
      </c>
      <c r="F7" s="524">
        <f>IF(T!$A$4&gt;='[8]Podklady MZ'!F$2,'[8]Podklady MZ'!F12,"")</f>
        <v>865.53252041105134</v>
      </c>
      <c r="G7" s="523">
        <f>IF(T!$A$4&gt;='[8]Podklady MZ'!G$2,'[8]Podklady MZ'!G12,"")</f>
        <v>622.80856614391325</v>
      </c>
      <c r="H7" s="522">
        <f>IF(T!$A$4&gt;='[8]Podklady MZ'!H$2,'[8]Podklady MZ'!H12,"")</f>
        <v>404.77237581362579</v>
      </c>
      <c r="I7" s="525">
        <f>IF(T!$A$4&gt;='[8]Podklady MZ'!I$2,'[8]Podklady MZ'!I12,"")</f>
        <v>314.40782647711256</v>
      </c>
      <c r="J7" s="522" t="str">
        <f>IF(T!$A$4&gt;='[8]Podklady MZ'!J$2,'[8]Podklady MZ'!J12,"")</f>
        <v/>
      </c>
      <c r="K7" s="522" t="str">
        <f>IF(T!$A$4&gt;='[8]Podklady MZ'!K$2,'[8]Podklady MZ'!K12,"")</f>
        <v/>
      </c>
      <c r="L7" s="525" t="str">
        <f>IF(T!$A$4&gt;='[8]Podklady MZ'!L$2,'[8]Podklady MZ'!L12,"")</f>
        <v/>
      </c>
      <c r="M7" s="522" t="str">
        <f>IF(T!$A$4&gt;='[8]Podklady MZ'!M$2,'[8]Podklady MZ'!M12,"")</f>
        <v/>
      </c>
      <c r="N7" s="522" t="str">
        <f>IF(T!$A$4&gt;='[8]Podklady MZ'!N$2,'[8]Podklady MZ'!N12,"")</f>
        <v/>
      </c>
      <c r="O7" s="522" t="str">
        <f>IF(T!$A$4&gt;='[8]Podklady MZ'!O$2,'[8]Podklady MZ'!O12,"")</f>
        <v/>
      </c>
      <c r="P7" s="595">
        <f>SUM(D7:O7)</f>
        <v>4278.6688252034401</v>
      </c>
    </row>
    <row r="8" spans="1:17" ht="18" customHeight="1" x14ac:dyDescent="0.2">
      <c r="A8" s="875"/>
      <c r="B8" s="564" t="str">
        <f>"spotřeba "&amp;$A$3</f>
        <v>spotřeba 2015</v>
      </c>
      <c r="C8" s="566" t="s">
        <v>303</v>
      </c>
      <c r="D8" s="523">
        <f>IF(T!$A$4&gt;='[8]Podklady MZ'!D$2,'[8]Podklady MZ'!D13,)</f>
        <v>11492.757934199999</v>
      </c>
      <c r="E8" s="523">
        <f>IF(T!$A$4&gt;='[8]Podklady MZ'!E$2,'[8]Podklady MZ'!E13,"")</f>
        <v>10525.401338</v>
      </c>
      <c r="F8" s="524">
        <f>IF(T!$A$4&gt;='[8]Podklady MZ'!F$2,'[8]Podklady MZ'!F13,"")</f>
        <v>9201.9026437999983</v>
      </c>
      <c r="G8" s="523">
        <f>IF(T!$A$4&gt;='[8]Podklady MZ'!G$2,'[8]Podklady MZ'!G13,"")</f>
        <v>6626.1087002000022</v>
      </c>
      <c r="H8" s="522">
        <f>IF(T!$A$4&gt;='[8]Podklady MZ'!H$2,'[8]Podklady MZ'!H13,"")</f>
        <v>4332.1303954000005</v>
      </c>
      <c r="I8" s="525">
        <f>IF(T!$A$4&gt;='[8]Podklady MZ'!I$2,'[8]Podklady MZ'!I13,"")</f>
        <v>3367.3136154999993</v>
      </c>
      <c r="J8" s="522" t="str">
        <f>IF(T!$A$4&gt;='[8]Podklady MZ'!J$2,'[8]Podklady MZ'!J13,"")</f>
        <v/>
      </c>
      <c r="K8" s="522" t="str">
        <f>IF(T!$A$4&gt;='[8]Podklady MZ'!K$2,'[8]Podklady MZ'!K13,"")</f>
        <v/>
      </c>
      <c r="L8" s="525" t="str">
        <f>IF(T!$A$4&gt;='[8]Podklady MZ'!L$2,'[8]Podklady MZ'!L13,"")</f>
        <v/>
      </c>
      <c r="M8" s="522" t="str">
        <f>IF(T!$A$4&gt;='[8]Podklady MZ'!M$2,'[8]Podklady MZ'!M13,"")</f>
        <v/>
      </c>
      <c r="N8" s="522" t="str">
        <f>IF(T!$A$4&gt;='[8]Podklady MZ'!N$2,'[8]Podklady MZ'!N13,"")</f>
        <v/>
      </c>
      <c r="O8" s="522" t="str">
        <f>IF(T!$A$4&gt;='[8]Podklady MZ'!O$2,'[8]Podklady MZ'!O13,"")</f>
        <v/>
      </c>
      <c r="P8" s="595">
        <f t="shared" ref="P8:P18" si="0">SUM(D8:O8)</f>
        <v>45545.614627100003</v>
      </c>
    </row>
    <row r="9" spans="1:17" ht="18" customHeight="1" x14ac:dyDescent="0.2">
      <c r="A9" s="875"/>
      <c r="B9" s="565" t="s">
        <v>249</v>
      </c>
      <c r="C9" s="567" t="s">
        <v>251</v>
      </c>
      <c r="D9" s="654">
        <f>IF(T!$A$4&gt;='[8]Podklady MZ'!D$2,'[8]Podklady MZ'!D14,)</f>
        <v>1.3175830293298696E-2</v>
      </c>
      <c r="E9" s="654">
        <f>IF(T!$A$4&gt;='[8]Podklady MZ'!E$2,'[8]Podklady MZ'!E14,"")</f>
        <v>0.10582116745661807</v>
      </c>
      <c r="F9" s="655">
        <f>IF(T!$A$4&gt;='[8]Podklady MZ'!F$2,'[8]Podklady MZ'!F14,"")</f>
        <v>0.15642829965663532</v>
      </c>
      <c r="G9" s="654">
        <f>IF(T!$A$4&gt;='[8]Podklady MZ'!G$2,'[8]Podklady MZ'!G14,"")</f>
        <v>0.16633369318363966</v>
      </c>
      <c r="H9" s="656">
        <f>IF(T!$A$4&gt;='[8]Podklady MZ'!H$2,'[8]Podklady MZ'!H14,"")</f>
        <v>-6.9326986800837861E-2</v>
      </c>
      <c r="I9" s="657">
        <f>IF(T!$A$4&gt;='[8]Podklady MZ'!I$2,'[8]Podklady MZ'!I14,"")</f>
        <v>1.7843565337174013E-2</v>
      </c>
      <c r="J9" s="656" t="str">
        <f>IF(T!$A$4&gt;='[8]Podklady MZ'!J$2,'[8]Podklady MZ'!J14,"")</f>
        <v/>
      </c>
      <c r="K9" s="656" t="str">
        <f>IF(T!$A$4&gt;='[8]Podklady MZ'!K$2,'[8]Podklady MZ'!K14,"")</f>
        <v/>
      </c>
      <c r="L9" s="657" t="str">
        <f>IF(T!$A$4&gt;='[8]Podklady MZ'!L$2,'[8]Podklady MZ'!L14,"")</f>
        <v/>
      </c>
      <c r="M9" s="656" t="str">
        <f>IF(T!$A$4&gt;='[8]Podklady MZ'!M$2,'[8]Podklady MZ'!M14,"")</f>
        <v/>
      </c>
      <c r="N9" s="656" t="str">
        <f>IF(T!$A$4&gt;='[8]Podklady MZ'!N$2,'[8]Podklady MZ'!N14,"")</f>
        <v/>
      </c>
      <c r="O9" s="656" t="str">
        <f>IF(T!$A$4&gt;='[8]Podklady MZ'!O$2,'[8]Podklady MZ'!O14,"")</f>
        <v/>
      </c>
      <c r="P9" s="658">
        <f>(P7-P10)/P10</f>
        <v>7.2718275994406764E-2</v>
      </c>
    </row>
    <row r="10" spans="1:17" ht="18" customHeight="1" x14ac:dyDescent="0.2">
      <c r="A10" s="875"/>
      <c r="B10" s="98" t="str">
        <f>"spotřeba "&amp;$A$3-1</f>
        <v>spotřeba 2014</v>
      </c>
      <c r="C10" s="568" t="s">
        <v>250</v>
      </c>
      <c r="D10" s="526">
        <f>IF(T!$A$4&gt;='[8]Podklady MZ'!D$2,'[8]Podklady MZ'!D15,)</f>
        <v>1067.2191463523316</v>
      </c>
      <c r="E10" s="526">
        <f>IF(T!$A$4&gt;='[8]Podklady MZ'!E$2,'[8]Podklady MZ'!E15,"")</f>
        <v>895.14192780736551</v>
      </c>
      <c r="F10" s="527">
        <f>IF(T!$A$4&gt;='[8]Podklady MZ'!F$2,'[8]Podklady MZ'!F15,"")</f>
        <v>748.4532509867181</v>
      </c>
      <c r="G10" s="526">
        <f>IF(T!$A$4&gt;='[8]Podklady MZ'!G$2,'[8]Podklady MZ'!G15,"")</f>
        <v>533.98831722325269</v>
      </c>
      <c r="H10" s="528">
        <f>IF(T!$A$4&gt;='[8]Podklady MZ'!H$2,'[8]Podklady MZ'!H15,"")</f>
        <v>434.92437201142451</v>
      </c>
      <c r="I10" s="529">
        <f>IF(T!$A$4&gt;='[8]Podklady MZ'!I$2,'[8]Podklady MZ'!I15,"")</f>
        <v>308.89602015901221</v>
      </c>
      <c r="J10" s="528" t="str">
        <f>IF(T!$A$4&gt;='[8]Podklady MZ'!J$2,'[8]Podklady MZ'!J15,"")</f>
        <v/>
      </c>
      <c r="K10" s="528" t="str">
        <f>IF(T!$A$4&gt;='[8]Podklady MZ'!K$2,'[8]Podklady MZ'!K15,"")</f>
        <v/>
      </c>
      <c r="L10" s="529" t="str">
        <f>IF(T!$A$4&gt;='[8]Podklady MZ'!L$2,'[8]Podklady MZ'!L15,"")</f>
        <v/>
      </c>
      <c r="M10" s="528" t="str">
        <f>IF(T!$A$4&gt;='[8]Podklady MZ'!M$2,'[8]Podklady MZ'!M15,"")</f>
        <v/>
      </c>
      <c r="N10" s="528" t="str">
        <f>IF(T!$A$4&gt;='[8]Podklady MZ'!N$2,'[8]Podklady MZ'!N15,"")</f>
        <v/>
      </c>
      <c r="O10" s="528" t="str">
        <f>IF(T!$A$4&gt;='[8]Podklady MZ'!O$2,'[8]Podklady MZ'!O15,"")</f>
        <v/>
      </c>
      <c r="P10" s="590">
        <f t="shared" si="0"/>
        <v>3988.6230345401045</v>
      </c>
    </row>
    <row r="11" spans="1:17" ht="18" customHeight="1" x14ac:dyDescent="0.2">
      <c r="A11" s="875"/>
      <c r="B11" s="98" t="str">
        <f>"spotřeba "&amp;$A$3-1</f>
        <v>spotřeba 2014</v>
      </c>
      <c r="C11" s="568" t="s">
        <v>303</v>
      </c>
      <c r="D11" s="526">
        <f>IF(T!$A$4&gt;='[8]Podklady MZ'!D$2,'[8]Podklady MZ'!D16,)</f>
        <v>11367.914916170237</v>
      </c>
      <c r="E11" s="526">
        <f>IF(T!$A$4&gt;='[8]Podklady MZ'!E$2,'[8]Podklady MZ'!E16,"")</f>
        <v>9518.248077734268</v>
      </c>
      <c r="F11" s="527">
        <f>IF(T!$A$4&gt;='[8]Podklady MZ'!F$2,'[8]Podklady MZ'!F16,"")</f>
        <v>7950.662373387202</v>
      </c>
      <c r="G11" s="526">
        <f>IF(T!$A$4&gt;='[8]Podklady MZ'!G$2,'[8]Podklady MZ'!G16,"")</f>
        <v>5679.1835705189296</v>
      </c>
      <c r="H11" s="528">
        <f>IF(T!$A$4&gt;='[8]Podklady MZ'!H$2,'[8]Podklady MZ'!H16,"")</f>
        <v>4628.7050628600246</v>
      </c>
      <c r="I11" s="529">
        <f>IF(T!$A$4&gt;='[8]Podklady MZ'!I$2,'[8]Podklady MZ'!I16,"")</f>
        <v>3288.3102275735141</v>
      </c>
      <c r="J11" s="528" t="str">
        <f>IF(T!$A$4&gt;='[8]Podklady MZ'!J$2,'[8]Podklady MZ'!J16,"")</f>
        <v/>
      </c>
      <c r="K11" s="528" t="str">
        <f>IF(T!$A$4&gt;='[8]Podklady MZ'!K$2,'[8]Podklady MZ'!K16,"")</f>
        <v/>
      </c>
      <c r="L11" s="529" t="str">
        <f>IF(T!$A$4&gt;='[8]Podklady MZ'!L$2,'[8]Podklady MZ'!L16,"")</f>
        <v/>
      </c>
      <c r="M11" s="528" t="str">
        <f>IF(T!$A$4&gt;='[8]Podklady MZ'!M$2,'[8]Podklady MZ'!M16,"")</f>
        <v/>
      </c>
      <c r="N11" s="528" t="str">
        <f>IF(T!$A$4&gt;='[8]Podklady MZ'!N$2,'[8]Podklady MZ'!N16,"")</f>
        <v/>
      </c>
      <c r="O11" s="528" t="str">
        <f>IF(T!$A$4&gt;='[8]Podklady MZ'!O$2,'[8]Podklady MZ'!O16,"")</f>
        <v/>
      </c>
      <c r="P11" s="590">
        <f t="shared" si="0"/>
        <v>42433.024228244176</v>
      </c>
    </row>
    <row r="12" spans="1:17" ht="9.9499999999999993" customHeight="1" x14ac:dyDescent="0.2">
      <c r="A12" s="876"/>
      <c r="B12" s="511"/>
      <c r="C12" s="531"/>
      <c r="D12" s="532"/>
      <c r="E12" s="532"/>
      <c r="F12" s="533"/>
      <c r="G12" s="532"/>
      <c r="H12" s="534"/>
      <c r="I12" s="535"/>
      <c r="J12" s="534"/>
      <c r="K12" s="534"/>
      <c r="L12" s="535"/>
      <c r="M12" s="534"/>
      <c r="N12" s="534"/>
      <c r="O12" s="534"/>
      <c r="P12" s="591"/>
    </row>
    <row r="13" spans="1:17" ht="9.9499999999999993" customHeight="1" x14ac:dyDescent="0.2">
      <c r="A13" s="879" t="s">
        <v>254</v>
      </c>
      <c r="B13" s="512"/>
      <c r="C13" s="536"/>
      <c r="D13" s="526"/>
      <c r="E13" s="526"/>
      <c r="F13" s="527"/>
      <c r="G13" s="526"/>
      <c r="H13" s="528"/>
      <c r="I13" s="529"/>
      <c r="J13" s="528"/>
      <c r="K13" s="528"/>
      <c r="L13" s="529"/>
      <c r="M13" s="528"/>
      <c r="N13" s="528"/>
      <c r="O13" s="528"/>
      <c r="P13" s="590"/>
    </row>
    <row r="14" spans="1:17" ht="18" customHeight="1" x14ac:dyDescent="0.2">
      <c r="A14" s="875"/>
      <c r="B14" s="564" t="str">
        <f>"spotřeba "&amp;$A$3</f>
        <v>spotřeba 2015</v>
      </c>
      <c r="C14" s="566" t="s">
        <v>250</v>
      </c>
      <c r="D14" s="522">
        <f>IF(T!$A$4&gt;='[8]Podklady MZ'!D$2,'[8]Podklady MZ'!D19,"")</f>
        <v>1162.3827182199684</v>
      </c>
      <c r="E14" s="523">
        <f>IF(T!$A$4&gt;='[8]Podklady MZ'!E$2,'[8]Podklady MZ'!E19,"")</f>
        <v>1022.8621044614633</v>
      </c>
      <c r="F14" s="524">
        <f>IF(T!$A$4&gt;='[8]Podklady MZ'!F$2,'[8]Podklady MZ'!F19,"")</f>
        <v>901.33118683539692</v>
      </c>
      <c r="G14" s="523">
        <f>IF(T!$A$4&gt;='[8]Podklady MZ'!G$2,'[8]Podklady MZ'!G19,"")</f>
        <v>647.29636373718301</v>
      </c>
      <c r="H14" s="522">
        <f>IF(T!$A$4&gt;='[8]Podklady MZ'!H$2,'[8]Podklady MZ'!H19,"")</f>
        <v>399.23311790096943</v>
      </c>
      <c r="I14" s="525">
        <f>IF(T!$A$4&gt;='[8]Podklady MZ'!I$2,'[8]Podklady MZ'!I19,"")</f>
        <v>318.95062063632389</v>
      </c>
      <c r="J14" s="522" t="str">
        <f>IF(T!$A$4&gt;='[8]Podklady MZ'!J$2,'[8]Podklady MZ'!J19,"")</f>
        <v/>
      </c>
      <c r="K14" s="522" t="str">
        <f>IF(T!$A$4&gt;='[8]Podklady MZ'!K$2,'[8]Podklady MZ'!K19,"")</f>
        <v/>
      </c>
      <c r="L14" s="525" t="str">
        <f>IF(T!$A$4&gt;='[8]Podklady MZ'!L$2,'[8]Podklady MZ'!L19,"")</f>
        <v/>
      </c>
      <c r="M14" s="522" t="str">
        <f>IF(T!$A$4&gt;='[8]Podklady MZ'!M$2,'[8]Podklady MZ'!M19,"")</f>
        <v/>
      </c>
      <c r="N14" s="522" t="str">
        <f>IF(T!$A$4&gt;='[8]Podklady MZ'!N$2,'[8]Podklady MZ'!N19,"")</f>
        <v/>
      </c>
      <c r="O14" s="522" t="str">
        <f>IF(T!$A$4&gt;='[8]Podklady MZ'!O$2,'[8]Podklady MZ'!O19,"")</f>
        <v/>
      </c>
      <c r="P14" s="595">
        <f t="shared" si="0"/>
        <v>4452.0561117913057</v>
      </c>
    </row>
    <row r="15" spans="1:17" ht="18" customHeight="1" x14ac:dyDescent="0.2">
      <c r="A15" s="875"/>
      <c r="B15" s="564" t="str">
        <f>"spotřeba "&amp;$A$3</f>
        <v>spotřeba 2015</v>
      </c>
      <c r="C15" s="566" t="s">
        <v>303</v>
      </c>
      <c r="D15" s="523">
        <f>IF(T!$A$4&gt;='[8]Podklady MZ'!D$2,'[8]Podklady MZ'!D20,"")</f>
        <v>12354.778819681072</v>
      </c>
      <c r="E15" s="523">
        <f>IF(T!$A$4&gt;='[8]Podklady MZ'!E$2,'[8]Podklady MZ'!E20,"")</f>
        <v>10876.244325104813</v>
      </c>
      <c r="F15" s="524">
        <f>IF(T!$A$4&gt;='[8]Podklady MZ'!F$2,'[8]Podklady MZ'!F20,"")</f>
        <v>9582.4959033788018</v>
      </c>
      <c r="G15" s="523">
        <f>IF(T!$A$4&gt;='[8]Podklady MZ'!G$2,'[8]Podklady MZ'!G20,"")</f>
        <v>6886.6362804260079</v>
      </c>
      <c r="H15" s="522">
        <f>IF(T!$A$4&gt;='[8]Podklady MZ'!H$2,'[8]Podklady MZ'!H20,"")</f>
        <v>4272.8457480148054</v>
      </c>
      <c r="I15" s="525">
        <f>IF(T!$A$4&gt;='[8]Podklady MZ'!I$2,'[8]Podklady MZ'!I20,"")</f>
        <v>3415.9670246600913</v>
      </c>
      <c r="J15" s="522" t="str">
        <f>IF(T!$A$4&gt;='[8]Podklady MZ'!J$2,'[8]Podklady MZ'!J20,"")</f>
        <v/>
      </c>
      <c r="K15" s="522" t="str">
        <f>IF(T!$A$4&gt;='[8]Podklady MZ'!K$2,'[8]Podklady MZ'!K20,"")</f>
        <v/>
      </c>
      <c r="L15" s="525" t="str">
        <f>IF(T!$A$4&gt;='[8]Podklady MZ'!L$2,'[8]Podklady MZ'!L20,"")</f>
        <v/>
      </c>
      <c r="M15" s="522" t="str">
        <f>IF(T!$A$4&gt;='[8]Podklady MZ'!M$2,'[8]Podklady MZ'!M20,"")</f>
        <v/>
      </c>
      <c r="N15" s="522" t="str">
        <f>IF(T!$A$4&gt;='[8]Podklady MZ'!N$2,'[8]Podklady MZ'!N20,"")</f>
        <v/>
      </c>
      <c r="O15" s="522" t="str">
        <f>IF(T!$A$4&gt;='[8]Podklady MZ'!O$2,'[8]Podklady MZ'!O20,"")</f>
        <v/>
      </c>
      <c r="P15" s="595">
        <f t="shared" si="0"/>
        <v>47388.968101265593</v>
      </c>
    </row>
    <row r="16" spans="1:17" ht="18" customHeight="1" x14ac:dyDescent="0.2">
      <c r="A16" s="875"/>
      <c r="B16" s="565" t="s">
        <v>249</v>
      </c>
      <c r="C16" s="567" t="s">
        <v>251</v>
      </c>
      <c r="D16" s="654">
        <f>IF(T!$A$4&gt;='[8]Podklady MZ'!D$2,'[8]Podklady MZ'!D21,"")</f>
        <v>-2.2563307146523652E-2</v>
      </c>
      <c r="E16" s="654">
        <f>IF(T!$A$4&gt;='[8]Podklady MZ'!E$2,'[8]Podklady MZ'!E21,"")</f>
        <v>-2.2117681991601066E-3</v>
      </c>
      <c r="F16" s="655">
        <f>IF(T!$A$4&gt;='[8]Podklady MZ'!F$2,'[8]Podklady MZ'!F21,"")</f>
        <v>5.4560177645998326E-2</v>
      </c>
      <c r="G16" s="654">
        <f>IF(T!$A$4&gt;='[8]Podklady MZ'!G$2,'[8]Podklady MZ'!G21,"")</f>
        <v>5.8169090312173891E-2</v>
      </c>
      <c r="H16" s="656">
        <f>IF(T!$A$4&gt;='[8]Podklady MZ'!H$2,'[8]Podklady MZ'!H21,"")</f>
        <v>-5.0182338264237479E-2</v>
      </c>
      <c r="I16" s="657">
        <f>IF(T!$A$4&gt;='[8]Podklady MZ'!I$2,'[8]Podklady MZ'!I21,"")</f>
        <v>2.3625739848265805E-2</v>
      </c>
      <c r="J16" s="656" t="str">
        <f>IF(T!$A$4&gt;='[8]Podklady MZ'!J$2,'[8]Podklady MZ'!J21,"")</f>
        <v/>
      </c>
      <c r="K16" s="656" t="str">
        <f>IF(T!$A$4&gt;='[8]Podklady MZ'!K$2,'[8]Podklady MZ'!K21,"")</f>
        <v/>
      </c>
      <c r="L16" s="657" t="str">
        <f>IF(T!$A$4&gt;='[8]Podklady MZ'!L$2,'[8]Podklady MZ'!L21,"")</f>
        <v/>
      </c>
      <c r="M16" s="656" t="str">
        <f>IF(T!$A$4&gt;='[8]Podklady MZ'!M$2,'[8]Podklady MZ'!M21,"")</f>
        <v/>
      </c>
      <c r="N16" s="656" t="str">
        <f>IF(T!$A$4&gt;='[8]Podklady MZ'!N$2,'[8]Podklady MZ'!N21,"")</f>
        <v/>
      </c>
      <c r="O16" s="656" t="str">
        <f>IF(T!$A$4&gt;='[8]Podklady MZ'!O$2,'[8]Podklady MZ'!O21,"")</f>
        <v/>
      </c>
      <c r="P16" s="658">
        <f>(P14-P17)/P17</f>
        <v>8.9251883393471378E-3</v>
      </c>
    </row>
    <row r="17" spans="1:16" ht="18" customHeight="1" x14ac:dyDescent="0.2">
      <c r="A17" s="875"/>
      <c r="B17" s="98" t="str">
        <f>"spotřeba "&amp;$A$3-1</f>
        <v>spotřeba 2014</v>
      </c>
      <c r="C17" s="568" t="s">
        <v>250</v>
      </c>
      <c r="D17" s="526">
        <f>IF(T!$A$4&gt;='[8]Podklady MZ'!D$2,'[8]Podklady MZ'!D22,"")</f>
        <v>1189.2153494121144</v>
      </c>
      <c r="E17" s="526">
        <f>IF(T!$A$4&gt;='[8]Podklady MZ'!E$2,'[8]Podklady MZ'!E22,"")</f>
        <v>1025.1294531860426</v>
      </c>
      <c r="F17" s="527">
        <f>IF(T!$A$4&gt;='[8]Podklady MZ'!F$2,'[8]Podklady MZ'!F22,"")</f>
        <v>854.69867527840756</v>
      </c>
      <c r="G17" s="526">
        <f>IF(T!$A$4&gt;='[8]Podklady MZ'!G$2,'[8]Podklady MZ'!G22,"")</f>
        <v>611.71354338673984</v>
      </c>
      <c r="H17" s="528">
        <f>IF(T!$A$4&gt;='[8]Podklady MZ'!H$2,'[8]Podklady MZ'!H22,"")</f>
        <v>420.32606255329387</v>
      </c>
      <c r="I17" s="529">
        <f>IF(T!$A$4&gt;='[8]Podklady MZ'!I$2,'[8]Podklady MZ'!I22,"")</f>
        <v>311.58909767509618</v>
      </c>
      <c r="J17" s="528" t="str">
        <f>IF(T!$A$4&gt;='[8]Podklady MZ'!J$2,'[8]Podklady MZ'!J22,"")</f>
        <v/>
      </c>
      <c r="K17" s="528" t="str">
        <f>IF(T!$A$4&gt;='[8]Podklady MZ'!K$2,'[8]Podklady MZ'!K22,"")</f>
        <v/>
      </c>
      <c r="L17" s="529" t="str">
        <f>IF(T!$A$4&gt;='[8]Podklady MZ'!L$2,'[8]Podklady MZ'!L22,"")</f>
        <v/>
      </c>
      <c r="M17" s="528" t="str">
        <f>IF(T!$A$4&gt;='[8]Podklady MZ'!M$2,'[8]Podklady MZ'!M22,"")</f>
        <v/>
      </c>
      <c r="N17" s="528" t="str">
        <f>IF(T!$A$4&gt;='[8]Podklady MZ'!N$2,'[8]Podklady MZ'!N22,"")</f>
        <v/>
      </c>
      <c r="O17" s="528" t="str">
        <f>IF(T!$A$4&gt;='[8]Podklady MZ'!O$2,'[8]Podklady MZ'!O22,"")</f>
        <v/>
      </c>
      <c r="P17" s="590">
        <f t="shared" si="0"/>
        <v>4412.6721814916946</v>
      </c>
    </row>
    <row r="18" spans="1:16" ht="18" customHeight="1" x14ac:dyDescent="0.2">
      <c r="A18" s="875"/>
      <c r="B18" s="98" t="str">
        <f>"spotřeba "&amp;$A$3-1</f>
        <v>spotřeba 2014</v>
      </c>
      <c r="C18" s="568" t="s">
        <v>303</v>
      </c>
      <c r="D18" s="526">
        <f>IF(T!$A$4&gt;='[8]Podklady MZ'!D$2,'[8]Podklady MZ'!D23,"")</f>
        <v>12667.408926479648</v>
      </c>
      <c r="E18" s="526">
        <f>IF(T!$A$4&gt;='[8]Podklady MZ'!E$2,'[8]Podklady MZ'!E23,"")</f>
        <v>10900.431104724707</v>
      </c>
      <c r="F18" s="527">
        <f>IF(T!$A$4&gt;='[8]Podklady MZ'!F$2,'[8]Podklady MZ'!F23,"")</f>
        <v>9079.2845407607147</v>
      </c>
      <c r="G18" s="526">
        <f>IF(T!$A$4&gt;='[8]Podklady MZ'!G$2,'[8]Podklady MZ'!G23,"")</f>
        <v>6505.8304536062005</v>
      </c>
      <c r="H18" s="528">
        <f>IF(T!$A$4&gt;='[8]Podklady MZ'!H$2,'[8]Podklady MZ'!H23,"")</f>
        <v>4473.3418014600138</v>
      </c>
      <c r="I18" s="529">
        <f>IF(T!$A$4&gt;='[8]Podklady MZ'!I$2,'[8]Podklady MZ'!I23,"")</f>
        <v>3316.9799863611479</v>
      </c>
      <c r="J18" s="528" t="str">
        <f>IF(T!$A$4&gt;='[8]Podklady MZ'!J$2,'[8]Podklady MZ'!J23,"")</f>
        <v/>
      </c>
      <c r="K18" s="528" t="str">
        <f>IF(T!$A$4&gt;='[8]Podklady MZ'!K$2,'[8]Podklady MZ'!K23,"")</f>
        <v/>
      </c>
      <c r="L18" s="529" t="str">
        <f>IF(T!$A$4&gt;='[8]Podklady MZ'!L$2,'[8]Podklady MZ'!L23,"")</f>
        <v/>
      </c>
      <c r="M18" s="528" t="str">
        <f>IF(T!$A$4&gt;='[8]Podklady MZ'!M$2,'[8]Podklady MZ'!M23,"")</f>
        <v/>
      </c>
      <c r="N18" s="528" t="str">
        <f>IF(T!$A$4&gt;='[8]Podklady MZ'!N$2,'[8]Podklady MZ'!N23,"")</f>
        <v/>
      </c>
      <c r="O18" s="528" t="str">
        <f>IF(T!$A$4&gt;='[8]Podklady MZ'!O$2,'[8]Podklady MZ'!O23,"")</f>
        <v/>
      </c>
      <c r="P18" s="590">
        <f t="shared" si="0"/>
        <v>46943.276813392433</v>
      </c>
    </row>
    <row r="19" spans="1:16" ht="9.9499999999999993" customHeight="1" x14ac:dyDescent="0.2">
      <c r="A19" s="876"/>
      <c r="B19" s="511"/>
      <c r="C19" s="531"/>
      <c r="D19" s="532"/>
      <c r="E19" s="532"/>
      <c r="F19" s="533"/>
      <c r="G19" s="532"/>
      <c r="H19" s="534"/>
      <c r="I19" s="535"/>
      <c r="J19" s="534"/>
      <c r="K19" s="534"/>
      <c r="L19" s="535"/>
      <c r="M19" s="534"/>
      <c r="N19" s="534"/>
      <c r="O19" s="534"/>
      <c r="P19" s="591"/>
    </row>
    <row r="20" spans="1:16" ht="9.9499999999999993" customHeight="1" x14ac:dyDescent="0.2">
      <c r="A20" s="503"/>
      <c r="B20" s="513"/>
      <c r="C20" s="537"/>
      <c r="D20" s="538"/>
      <c r="E20" s="538"/>
      <c r="F20" s="538"/>
      <c r="G20" s="539"/>
      <c r="H20" s="540"/>
      <c r="I20" s="541"/>
      <c r="J20" s="540"/>
      <c r="K20" s="540"/>
      <c r="L20" s="540"/>
      <c r="M20" s="542"/>
      <c r="N20" s="540"/>
      <c r="O20" s="540"/>
      <c r="P20" s="590"/>
    </row>
    <row r="21" spans="1:16" ht="18" customHeight="1" x14ac:dyDescent="0.2">
      <c r="A21" s="875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8" t="s">
        <v>250</v>
      </c>
      <c r="D21" s="662">
        <f>IF(T!$A$4&gt;='[8]Podklady MZ'!D$2,'[8]Podklady MZ'!D26,"")</f>
        <v>41.345389040398715</v>
      </c>
      <c r="E21" s="662">
        <f>IF(T!$A$4&gt;='[8]Podklady MZ'!E$2,'[8]Podklady MZ'!E26,"")</f>
        <v>42.621557004484409</v>
      </c>
      <c r="F21" s="662">
        <f>IF(T!$A$4&gt;='[8]Podklady MZ'!F$2,'[8]Podklady MZ'!F26,"")</f>
        <v>33.669323046807904</v>
      </c>
      <c r="G21" s="663">
        <f>IF(T!$A$4&gt;='[8]Podklady MZ'!G$2,'[8]Podklady MZ'!G26,"")</f>
        <v>32.46272056517094</v>
      </c>
      <c r="H21" s="664">
        <f>IF(T!$A$4&gt;='[8]Podklady MZ'!H$2,'[8]Podklady MZ'!H26,"")</f>
        <v>16.070703750605009</v>
      </c>
      <c r="I21" s="665">
        <f>IF(T!$A$4&gt;='[8]Podklady MZ'!I$2,'[8]Podklady MZ'!I26,"")</f>
        <v>12.524604969460771</v>
      </c>
      <c r="J21" s="664" t="str">
        <f>IF(T!$A$4&gt;='[8]Podklady MZ'!J$2,'[8]Podklady MZ'!J26,"")</f>
        <v/>
      </c>
      <c r="K21" s="664" t="str">
        <f>IF(T!$A$4&gt;='[8]Podklady MZ'!K$2,'[8]Podklady MZ'!K26,"")</f>
        <v/>
      </c>
      <c r="L21" s="664" t="str">
        <f>IF(T!$A$4&gt;='[8]Podklady MZ'!L$2,'[8]Podklady MZ'!L26,"")</f>
        <v/>
      </c>
      <c r="M21" s="666" t="str">
        <f>IF(T!$A$4&gt;='[8]Podklady MZ'!M$2,'[8]Podklady MZ'!M26,"")</f>
        <v/>
      </c>
      <c r="N21" s="664" t="str">
        <f>IF(T!$A$4&gt;='[8]Podklady MZ'!N$2,'[8]Podklady MZ'!N26,"")</f>
        <v/>
      </c>
      <c r="O21" s="664" t="str">
        <f>IF(T!$A$4&gt;='[8]Podklady MZ'!O$2,'[8]Podklady MZ'!O26,"")</f>
        <v/>
      </c>
      <c r="P21" s="671" t="str">
        <f>IF(T!$A$4&gt;='[8]Podklady MZ'!P$2,'[8]Podklady MZ'!P26,"")</f>
        <v/>
      </c>
    </row>
    <row r="22" spans="1:16" ht="18" customHeight="1" x14ac:dyDescent="0.2">
      <c r="A22" s="875"/>
      <c r="B22" s="98" t="str">
        <f>"max. spotřeba "&amp;$A$3</f>
        <v>max. spotřeba 2015</v>
      </c>
      <c r="C22" s="568" t="s">
        <v>303</v>
      </c>
      <c r="D22" s="662">
        <f>IF(T!$A$4&gt;='[8]Podklady MZ'!D$2,'[8]Podklady MZ'!D27,"")</f>
        <v>439.44407081290325</v>
      </c>
      <c r="E22" s="662">
        <f>IF(T!$A$4&gt;='[8]Podklady MZ'!E$2,'[8]Podklady MZ'!E27,"")</f>
        <v>453.14177378571429</v>
      </c>
      <c r="F22" s="662">
        <f>IF(T!$A$4&gt;='[8]Podklady MZ'!F$2,'[8]Podklady MZ'!F27,"")</f>
        <v>357.93155186451617</v>
      </c>
      <c r="G22" s="663">
        <f>IF(T!$A$4&gt;='[8]Podklady MZ'!G$2,'[8]Podklady MZ'!G27,"")</f>
        <v>345.30682224000003</v>
      </c>
      <c r="H22" s="664">
        <f>IF(T!$A$4&gt;='[8]Podklady MZ'!H$2,'[8]Podklady MZ'!H27,"")</f>
        <v>171.97315488387096</v>
      </c>
      <c r="I22" s="665">
        <f>IF(T!$A$4&gt;='[8]Podklady MZ'!I$2,'[8]Podklady MZ'!I27,"")</f>
        <v>134.11532828333333</v>
      </c>
      <c r="J22" s="664" t="str">
        <f>IF(T!$A$4&gt;='[8]Podklady MZ'!J$2,'[8]Podklady MZ'!J27,"")</f>
        <v/>
      </c>
      <c r="K22" s="664" t="str">
        <f>IF(T!$A$4&gt;='[8]Podklady MZ'!K$2,'[8]Podklady MZ'!K27,"")</f>
        <v/>
      </c>
      <c r="L22" s="664" t="str">
        <f>IF(T!$A$4&gt;='[8]Podklady MZ'!L$2,'[8]Podklady MZ'!L27,"")</f>
        <v/>
      </c>
      <c r="M22" s="666" t="str">
        <f>IF(T!$A$4&gt;='[8]Podklady MZ'!M$2,'[8]Podklady MZ'!M27,"")</f>
        <v/>
      </c>
      <c r="N22" s="664" t="str">
        <f>IF(T!$A$4&gt;='[8]Podklady MZ'!N$2,'[8]Podklady MZ'!N27,"")</f>
        <v/>
      </c>
      <c r="O22" s="664" t="str">
        <f>IF(T!$A$4&gt;='[8]Podklady MZ'!O$2,'[8]Podklady MZ'!O27,"")</f>
        <v/>
      </c>
      <c r="P22" s="671" t="str">
        <f>IF(T!$A$4&gt;='[8]Podklady MZ'!P$2,'[8]Podklady MZ'!P27,"")</f>
        <v/>
      </c>
    </row>
    <row r="23" spans="1:16" ht="18" customHeight="1" x14ac:dyDescent="0.2">
      <c r="A23" s="875"/>
      <c r="B23" s="575" t="s">
        <v>42</v>
      </c>
      <c r="C23" s="573" t="s">
        <v>252</v>
      </c>
      <c r="D23" s="547">
        <f>IF(T!$A$4&gt;='[8]Podklady MZ'!D$2,'[8]Podklady MZ'!D28,"")</f>
        <v>-3.6</v>
      </c>
      <c r="E23" s="547">
        <f>IF(T!$A$4&gt;='[8]Podklady MZ'!E$2,'[8]Podklady MZ'!E28,"")</f>
        <v>-3.4</v>
      </c>
      <c r="F23" s="547">
        <f>IF(T!$A$4&gt;='[8]Podklady MZ'!F$2,'[8]Podklady MZ'!F28,"")</f>
        <v>1</v>
      </c>
      <c r="G23" s="548">
        <f>IF(T!$A$4&gt;='[8]Podklady MZ'!G$2,'[8]Podklady MZ'!G28,"")</f>
        <v>1.3</v>
      </c>
      <c r="H23" s="549">
        <f>IF(T!$A$4&gt;='[8]Podklady MZ'!H$2,'[8]Podklady MZ'!H28,"")</f>
        <v>9.1</v>
      </c>
      <c r="I23" s="550">
        <f>IF(T!$A$4&gt;='[8]Podklady MZ'!I$2,'[8]Podklady MZ'!I28,"")</f>
        <v>12.8</v>
      </c>
      <c r="J23" s="549" t="str">
        <f>IF(T!$A$4&gt;='[8]Podklady MZ'!J$2,'[8]Podklady MZ'!J28,"")</f>
        <v/>
      </c>
      <c r="K23" s="549" t="str">
        <f>IF(T!$A$4&gt;='[8]Podklady MZ'!K$2,'[8]Podklady MZ'!K28,"")</f>
        <v/>
      </c>
      <c r="L23" s="549" t="str">
        <f>IF(T!$A$4&gt;='[8]Podklady MZ'!L$2,'[8]Podklady MZ'!L28,"")</f>
        <v/>
      </c>
      <c r="M23" s="11" t="str">
        <f>IF(T!$A$4&gt;='[8]Podklady MZ'!M$2,'[8]Podklady MZ'!M28,"")</f>
        <v/>
      </c>
      <c r="N23" s="549" t="str">
        <f>IF(T!$A$4&gt;='[8]Podklady MZ'!N$2,'[8]Podklady MZ'!N28,"")</f>
        <v/>
      </c>
      <c r="O23" s="549" t="str">
        <f>IF(T!$A$4&gt;='[8]Podklady MZ'!O$2,'[8]Podklady MZ'!O28,"")</f>
        <v/>
      </c>
      <c r="P23" s="591" t="str">
        <f>IF(T!$A$4&gt;='[8]Podklady MZ'!P$2,'[8]Podklady MZ'!P28,"")</f>
        <v/>
      </c>
    </row>
    <row r="24" spans="1:16" ht="18" customHeight="1" x14ac:dyDescent="0.2">
      <c r="A24" s="875"/>
      <c r="B24" s="98" t="str">
        <f>"min. spotřeba "&amp;$A$3</f>
        <v>min. spotřeba 2015</v>
      </c>
      <c r="C24" s="568" t="s">
        <v>250</v>
      </c>
      <c r="D24" s="662">
        <f>IF(T!$A$4&gt;='[8]Podklady MZ'!D$2,'[8]Podklady MZ'!D29,"")</f>
        <v>26.684387110760138</v>
      </c>
      <c r="E24" s="662">
        <f>IF(T!$A$4&gt;='[8]Podklady MZ'!E$2,'[8]Podklady MZ'!E29,"")</f>
        <v>29.662131335351482</v>
      </c>
      <c r="F24" s="662">
        <f>IF(T!$A$4&gt;='[8]Podklady MZ'!F$2,'[8]Podklady MZ'!F29,"")</f>
        <v>22.43004746355092</v>
      </c>
      <c r="G24" s="663">
        <f>IF(T!$A$4&gt;='[8]Podklady MZ'!G$2,'[8]Podklady MZ'!G29,"")</f>
        <v>12.336617288364373</v>
      </c>
      <c r="H24" s="664">
        <f>IF(T!$A$4&gt;='[8]Podklady MZ'!H$2,'[8]Podklady MZ'!H29,"")</f>
        <v>9.9833297936764538</v>
      </c>
      <c r="I24" s="665">
        <f>IF(T!$A$4&gt;='[8]Podklady MZ'!I$2,'[8]Podklady MZ'!I29,"")</f>
        <v>8.0874519176162973</v>
      </c>
      <c r="J24" s="664" t="str">
        <f>IF(T!$A$4&gt;='[8]Podklady MZ'!J$2,'[8]Podklady MZ'!J29,"")</f>
        <v/>
      </c>
      <c r="K24" s="664" t="str">
        <f>IF(T!$A$4&gt;='[8]Podklady MZ'!K$2,'[8]Podklady MZ'!K29,"")</f>
        <v/>
      </c>
      <c r="L24" s="664" t="str">
        <f>IF(T!$A$4&gt;='[8]Podklady MZ'!L$2,'[8]Podklady MZ'!L29,"")</f>
        <v/>
      </c>
      <c r="M24" s="666" t="str">
        <f>IF(T!$A$4&gt;='[8]Podklady MZ'!M$2,'[8]Podklady MZ'!M29,"")</f>
        <v/>
      </c>
      <c r="N24" s="664" t="str">
        <f>IF(T!$A$4&gt;='[8]Podklady MZ'!N$2,'[8]Podklady MZ'!N29,"")</f>
        <v/>
      </c>
      <c r="O24" s="664" t="str">
        <f>IF(T!$A$4&gt;='[8]Podklady MZ'!O$2,'[8]Podklady MZ'!O29,"")</f>
        <v/>
      </c>
      <c r="P24" s="671" t="str">
        <f>IF(T!$A$4&gt;='[8]Podklady MZ'!P$2,'[8]Podklady MZ'!P29,"")</f>
        <v/>
      </c>
    </row>
    <row r="25" spans="1:16" ht="18" customHeight="1" x14ac:dyDescent="0.2">
      <c r="A25" s="875"/>
      <c r="B25" s="98" t="str">
        <f>"min. spotřeba "&amp;$A$3</f>
        <v>min. spotřeba 2015</v>
      </c>
      <c r="C25" s="568" t="s">
        <v>303</v>
      </c>
      <c r="D25" s="662">
        <f>IF(T!$A$4&gt;='[8]Podklady MZ'!D$2,'[8]Podklady MZ'!D30,"")</f>
        <v>283.65752081290321</v>
      </c>
      <c r="E25" s="662">
        <f>IF(T!$A$4&gt;='[8]Podklady MZ'!E$2,'[8]Podklady MZ'!E30,"")</f>
        <v>315.42335078571426</v>
      </c>
      <c r="F25" s="662">
        <f>IF(T!$A$4&gt;='[8]Podklady MZ'!F$2,'[8]Podklady MZ'!F30,"")</f>
        <v>238.48520286451614</v>
      </c>
      <c r="G25" s="663">
        <f>IF(T!$A$4&gt;='[8]Podklady MZ'!G$2,'[8]Podklady MZ'!G30,"")</f>
        <v>131.30157723999997</v>
      </c>
      <c r="H25" s="664">
        <f>IF(T!$A$4&gt;='[8]Podklady MZ'!H$2,'[8]Podklady MZ'!H30,"")</f>
        <v>106.87008388387098</v>
      </c>
      <c r="I25" s="665">
        <f>IF(T!$A$4&gt;='[8]Podklady MZ'!I$2,'[8]Podklady MZ'!I30,"")</f>
        <v>86.645689283333326</v>
      </c>
      <c r="J25" s="664" t="str">
        <f>IF(T!$A$4&gt;='[8]Podklady MZ'!J$2,'[8]Podklady MZ'!J30,"")</f>
        <v/>
      </c>
      <c r="K25" s="664" t="str">
        <f>IF(T!$A$4&gt;='[8]Podklady MZ'!K$2,'[8]Podklady MZ'!K30,"")</f>
        <v/>
      </c>
      <c r="L25" s="664" t="str">
        <f>IF(T!$A$4&gt;='[8]Podklady MZ'!L$2,'[8]Podklady MZ'!L30,"")</f>
        <v/>
      </c>
      <c r="M25" s="666" t="str">
        <f>IF(T!$A$4&gt;='[8]Podklady MZ'!M$2,'[8]Podklady MZ'!M30,"")</f>
        <v/>
      </c>
      <c r="N25" s="664" t="str">
        <f>IF(T!$A$4&gt;='[8]Podklady MZ'!N$2,'[8]Podklady MZ'!N30,"")</f>
        <v/>
      </c>
      <c r="O25" s="664" t="str">
        <f>IF(T!$A$4&gt;='[8]Podklady MZ'!O$2,'[8]Podklady MZ'!O30,"")</f>
        <v/>
      </c>
      <c r="P25" s="671" t="str">
        <f>IF(T!$A$4&gt;='[8]Podklady MZ'!P$2,'[8]Podklady MZ'!P30,"")</f>
        <v/>
      </c>
    </row>
    <row r="26" spans="1:16" ht="18" customHeight="1" x14ac:dyDescent="0.2">
      <c r="A26" s="875"/>
      <c r="B26" s="569" t="s">
        <v>42</v>
      </c>
      <c r="C26" s="568" t="s">
        <v>252</v>
      </c>
      <c r="D26" s="543">
        <f>IF(T!$A$4&gt;='[8]Podklady MZ'!D$2,'[8]Podklady MZ'!D31,"")</f>
        <v>11</v>
      </c>
      <c r="E26" s="543">
        <f>IF(T!$A$4&gt;='[8]Podklady MZ'!E$2,'[8]Podklady MZ'!E31,"")</f>
        <v>2.2000000000000002</v>
      </c>
      <c r="F26" s="543">
        <f>IF(T!$A$4&gt;='[8]Podklady MZ'!F$2,'[8]Podklady MZ'!F31,"")</f>
        <v>4.2</v>
      </c>
      <c r="G26" s="544">
        <f>IF(T!$A$4&gt;='[8]Podklady MZ'!G$2,'[8]Podklady MZ'!G31,"")</f>
        <v>14.6</v>
      </c>
      <c r="H26" s="530">
        <f>IF(T!$A$4&gt;='[8]Podklady MZ'!H$2,'[8]Podklady MZ'!H31,"")</f>
        <v>15.5</v>
      </c>
      <c r="I26" s="545">
        <f>IF(T!$A$4&gt;='[8]Podklady MZ'!I$2,'[8]Podklady MZ'!I31,"")</f>
        <v>21</v>
      </c>
      <c r="J26" s="530" t="str">
        <f>IF(T!$A$4&gt;='[8]Podklady MZ'!J$2,'[8]Podklady MZ'!J31,"")</f>
        <v/>
      </c>
      <c r="K26" s="530" t="str">
        <f>IF(T!$A$4&gt;='[8]Podklady MZ'!K$2,'[8]Podklady MZ'!K31,"")</f>
        <v/>
      </c>
      <c r="L26" s="530" t="str">
        <f>IF(T!$A$4&gt;='[8]Podklady MZ'!L$2,'[8]Podklady MZ'!L31,"")</f>
        <v/>
      </c>
      <c r="M26" s="24" t="str">
        <f>IF(T!$A$4&gt;='[8]Podklady MZ'!M$2,'[8]Podklady MZ'!M31,"")</f>
        <v/>
      </c>
      <c r="N26" s="530" t="str">
        <f>IF(T!$A$4&gt;='[8]Podklady MZ'!N$2,'[8]Podklady MZ'!N31,"")</f>
        <v/>
      </c>
      <c r="O26" s="530" t="str">
        <f>IF(T!$A$4&gt;='[8]Podklady MZ'!O$2,'[8]Podklady MZ'!O31,"")</f>
        <v/>
      </c>
      <c r="P26" s="590" t="str">
        <f>IF(T!$A$4&gt;='[8]Podklady MZ'!P$2,'[8]Podklady MZ'!P31,"")</f>
        <v/>
      </c>
    </row>
    <row r="27" spans="1:16" ht="9.9499999999999993" customHeight="1" x14ac:dyDescent="0.2">
      <c r="A27" s="876"/>
      <c r="B27" s="546"/>
      <c r="C27" s="531"/>
      <c r="D27" s="547"/>
      <c r="E27" s="547"/>
      <c r="F27" s="547"/>
      <c r="G27" s="548"/>
      <c r="H27" s="534"/>
      <c r="I27" s="535"/>
      <c r="J27" s="534"/>
      <c r="K27" s="534"/>
      <c r="L27" s="534"/>
      <c r="M27" s="551"/>
      <c r="N27" s="534"/>
      <c r="O27" s="534"/>
      <c r="P27" s="591"/>
    </row>
    <row r="28" spans="1:16" ht="9.9499999999999993" customHeight="1" x14ac:dyDescent="0.2">
      <c r="A28" s="503"/>
      <c r="B28" s="552"/>
      <c r="C28" s="553"/>
      <c r="D28" s="554"/>
      <c r="E28" s="554"/>
      <c r="F28" s="554"/>
      <c r="G28" s="555"/>
      <c r="H28" s="540"/>
      <c r="I28" s="541"/>
      <c r="J28" s="540"/>
      <c r="K28" s="540"/>
      <c r="L28" s="540"/>
      <c r="M28" s="542"/>
      <c r="N28" s="540"/>
      <c r="O28" s="540"/>
      <c r="P28" s="590"/>
    </row>
    <row r="29" spans="1:16" ht="18" customHeight="1" x14ac:dyDescent="0.2">
      <c r="A29" s="875" t="str">
        <f>"Denní 
modelová spotřeba 
zemního plynu
"&amp;$A$3</f>
        <v>Denní 
modelová spotřeba 
zemního plynu
2015</v>
      </c>
      <c r="B29" s="571" t="s">
        <v>247</v>
      </c>
      <c r="C29" s="572" t="s">
        <v>250</v>
      </c>
      <c r="D29" s="659">
        <f>IF(T!$A$4&gt;='[8]Podklady MZ'!D$2,'[8]Podklady MZ'!D34,"")</f>
        <v>0.91219251430331394</v>
      </c>
      <c r="E29" s="659">
        <f>IF(T!$A$4&gt;='[8]Podklady MZ'!E$2,'[8]Podklady MZ'!E34,"")</f>
        <v>1.3110234890123738</v>
      </c>
      <c r="F29" s="659">
        <f>IF(T!$A$4&gt;='[8]Podklady MZ'!F$2,'[8]Podklady MZ'!F34,"")</f>
        <v>1.1251568759219512</v>
      </c>
      <c r="G29" s="660">
        <f>IF(T!$A$4&gt;='[8]Podklady MZ'!G$2,'[8]Podklady MZ'!G34,"")</f>
        <v>1.2859358325557315</v>
      </c>
      <c r="H29" s="659">
        <f>IF(T!$A$4&gt;='[8]Podklady MZ'!H$2,'[8]Podklady MZ'!H34,"")</f>
        <v>0.27227439236338308</v>
      </c>
      <c r="I29" s="661">
        <f>IF(T!$A$4&gt;='[8]Podklady MZ'!I$2,'[8]Podklady MZ'!I34,"")</f>
        <v>0.16364182324992455</v>
      </c>
      <c r="J29" s="659" t="str">
        <f>IF(T!$A$4&gt;='[8]Podklady MZ'!J$2,'[8]Podklady MZ'!J34,"")</f>
        <v/>
      </c>
      <c r="K29" s="659" t="str">
        <f>IF(T!$A$4&gt;='[8]Podklady MZ'!K$2,'[8]Podklady MZ'!K34,"")</f>
        <v/>
      </c>
      <c r="L29" s="659" t="str">
        <f>IF(T!$A$4&gt;='[8]Podklady MZ'!L$2,'[8]Podklady MZ'!L34,"")</f>
        <v/>
      </c>
      <c r="M29" s="660" t="str">
        <f>IF(T!$A$4&gt;='[8]Podklady MZ'!M$2,'[8]Podklady MZ'!M34,"")</f>
        <v/>
      </c>
      <c r="N29" s="659" t="str">
        <f>IF(T!$A$4&gt;='[8]Podklady MZ'!N$2,'[8]Podklady MZ'!N34,"")</f>
        <v/>
      </c>
      <c r="O29" s="659" t="str">
        <f>IF(T!$A$4&gt;='[8]Podklady MZ'!O$2,'[8]Podklady MZ'!O34,"")</f>
        <v/>
      </c>
      <c r="P29" s="596" t="s">
        <v>272</v>
      </c>
    </row>
    <row r="30" spans="1:16" ht="18" customHeight="1" x14ac:dyDescent="0.2">
      <c r="A30" s="875"/>
      <c r="B30" s="571" t="s">
        <v>247</v>
      </c>
      <c r="C30" s="572" t="s">
        <v>303</v>
      </c>
      <c r="D30" s="659">
        <f>IF(T!$A$4&gt;='[8]Podklady MZ'!D$2,'[8]Podklady MZ'!D35,"")</f>
        <v>9.6955474118236964</v>
      </c>
      <c r="E30" s="659">
        <f>IF(T!$A$4&gt;='[8]Podklady MZ'!E$2,'[8]Podklady MZ'!E35,"")</f>
        <v>13.940307026974384</v>
      </c>
      <c r="F30" s="659">
        <f>IF(T!$A$4&gt;='[8]Podklady MZ'!F$2,'[8]Podklady MZ'!F35,"")</f>
        <v>11.962097075588696</v>
      </c>
      <c r="G30" s="660">
        <f>IF(T!$A$4&gt;='[8]Podklady MZ'!G$2,'[8]Podklady MZ'!G35,"")</f>
        <v>13.681171183550427</v>
      </c>
      <c r="H30" s="659">
        <f>IF(T!$A$4&gt;='[8]Podklady MZ'!H$2,'[8]Podklady MZ'!H35,"")</f>
        <v>2.9140530370323043</v>
      </c>
      <c r="I30" s="661">
        <f>IF(T!$A$4&gt;='[8]Podklady MZ'!I$2,'[8]Podklady MZ'!I35,"")</f>
        <v>1.7526069426100241</v>
      </c>
      <c r="J30" s="659" t="str">
        <f>IF(T!$A$4&gt;='[8]Podklady MZ'!J$2,'[8]Podklady MZ'!J35,"")</f>
        <v/>
      </c>
      <c r="K30" s="659" t="str">
        <f>IF(T!$A$4&gt;='[8]Podklady MZ'!K$2,'[8]Podklady MZ'!K35,"")</f>
        <v/>
      </c>
      <c r="L30" s="659" t="str">
        <f>IF(T!$A$4&gt;='[8]Podklady MZ'!L$2,'[8]Podklady MZ'!L35,"")</f>
        <v/>
      </c>
      <c r="M30" s="660" t="str">
        <f>IF(T!$A$4&gt;='[8]Podklady MZ'!M$2,'[8]Podklady MZ'!M35,"")</f>
        <v/>
      </c>
      <c r="N30" s="659" t="str">
        <f>IF(T!$A$4&gt;='[8]Podklady MZ'!N$2,'[8]Podklady MZ'!N35,"")</f>
        <v/>
      </c>
      <c r="O30" s="659" t="str">
        <f>IF(T!$A$4&gt;='[8]Podklady MZ'!O$2,'[8]Podklady MZ'!O35,"")</f>
        <v/>
      </c>
      <c r="P30" s="596" t="s">
        <v>272</v>
      </c>
    </row>
    <row r="31" spans="1:16" ht="18" customHeight="1" x14ac:dyDescent="0.2">
      <c r="A31" s="875"/>
      <c r="B31" s="98" t="s">
        <v>255</v>
      </c>
      <c r="C31" s="568" t="s">
        <v>250</v>
      </c>
      <c r="D31" s="667">
        <f>IF(T!$A$4&gt;='[8]Podklady MZ'!D$2,'[8]Podklady MZ'!D36,"")</f>
        <v>37.110581900579199</v>
      </c>
      <c r="E31" s="667">
        <f>IF(T!$A$4&gt;='[8]Podklady MZ'!E$2,'[8]Podklady MZ'!E36,"")</f>
        <v>36.660259452578643</v>
      </c>
      <c r="F31" s="667">
        <f>IF(T!$A$4&gt;='[8]Podklady MZ'!F$2,'[8]Podklady MZ'!F36,"")</f>
        <v>33.566974590125859</v>
      </c>
      <c r="G31" s="668">
        <f>IF(T!$A$4&gt;='[8]Podklady MZ'!G$2,'[8]Podklady MZ'!G36,"")</f>
        <v>32.29328305837295</v>
      </c>
      <c r="H31" s="528" t="s">
        <v>272</v>
      </c>
      <c r="I31" s="529" t="s">
        <v>272</v>
      </c>
      <c r="J31" s="528" t="s">
        <v>272</v>
      </c>
      <c r="K31" s="528" t="s">
        <v>272</v>
      </c>
      <c r="L31" s="528" t="s">
        <v>272</v>
      </c>
      <c r="M31" s="668" t="str">
        <f>IF(T!$A$4&gt;='[8]Podklady MZ'!M$2,'[8]Podklady MZ'!M36,"")</f>
        <v/>
      </c>
      <c r="N31" s="667" t="str">
        <f>IF(T!$A$4&gt;='[8]Podklady MZ'!N$2,'[8]Podklady MZ'!N36,"")</f>
        <v/>
      </c>
      <c r="O31" s="667" t="str">
        <f>IF(T!$A$4&gt;='[8]Podklady MZ'!O$2,'[8]Podklady MZ'!O36,"")</f>
        <v/>
      </c>
      <c r="P31" s="590" t="s">
        <v>272</v>
      </c>
    </row>
    <row r="32" spans="1:16" ht="18" customHeight="1" x14ac:dyDescent="0.2">
      <c r="A32" s="875"/>
      <c r="B32" s="574" t="s">
        <v>255</v>
      </c>
      <c r="C32" s="573" t="s">
        <v>303</v>
      </c>
      <c r="D32" s="669">
        <f>IF(T!$A$4&gt;='[8]Podklady MZ'!D$2,'[8]Podklady MZ'!D37,"")</f>
        <v>394.44240185662397</v>
      </c>
      <c r="E32" s="669">
        <f>IF(T!$A$4&gt;='[8]Podklady MZ'!E$2,'[8]Podklady MZ'!E37,"")</f>
        <v>389.8139711001491</v>
      </c>
      <c r="F32" s="669">
        <f>IF(T!$A$4&gt;='[8]Podklady MZ'!F$2,'[8]Podklady MZ'!F37,"")</f>
        <v>356.86704420829369</v>
      </c>
      <c r="G32" s="670">
        <f>IF(T!$A$4&gt;='[8]Podklady MZ'!G$2,'[8]Podklady MZ'!G37,"")</f>
        <v>343.5707462341839</v>
      </c>
      <c r="H32" s="534" t="s">
        <v>272</v>
      </c>
      <c r="I32" s="535" t="s">
        <v>272</v>
      </c>
      <c r="J32" s="534" t="s">
        <v>272</v>
      </c>
      <c r="K32" s="534" t="s">
        <v>272</v>
      </c>
      <c r="L32" s="534" t="s">
        <v>272</v>
      </c>
      <c r="M32" s="670" t="str">
        <f>IF(T!$A$4&gt;='[8]Podklady MZ'!M$2,'[8]Podklady MZ'!M37,"")</f>
        <v/>
      </c>
      <c r="N32" s="669" t="str">
        <f>IF(T!$A$4&gt;='[8]Podklady MZ'!N$2,'[8]Podklady MZ'!N37,"")</f>
        <v/>
      </c>
      <c r="O32" s="669" t="str">
        <f>IF(T!$A$4&gt;='[8]Podklady MZ'!O$2,'[8]Podklady MZ'!O37,"")</f>
        <v/>
      </c>
      <c r="P32" s="591" t="s">
        <v>272</v>
      </c>
    </row>
    <row r="33" spans="1:16" ht="18" customHeight="1" x14ac:dyDescent="0.2">
      <c r="A33" s="875"/>
      <c r="B33" s="98" t="s">
        <v>256</v>
      </c>
      <c r="C33" s="568" t="s">
        <v>250</v>
      </c>
      <c r="D33" s="667">
        <f>IF(T!$A$4&gt;='[8]Podklady MZ'!D$2,'[8]Podklady MZ'!D38,"")</f>
        <v>48.056892072218965</v>
      </c>
      <c r="E33" s="667">
        <f>IF(T!$A$4&gt;='[8]Podklady MZ'!E$2,'[8]Podklady MZ'!E38,"")</f>
        <v>52.392541320727126</v>
      </c>
      <c r="F33" s="667">
        <f>IF(T!$A$4&gt;='[8]Podklady MZ'!F$2,'[8]Podklady MZ'!F38,"")</f>
        <v>47.068857101189273</v>
      </c>
      <c r="G33" s="668">
        <f>IF(T!$A$4&gt;='[8]Podklady MZ'!G$2,'[8]Podklady MZ'!G38,"")</f>
        <v>47.724513049041732</v>
      </c>
      <c r="H33" s="528" t="s">
        <v>272</v>
      </c>
      <c r="I33" s="529" t="s">
        <v>272</v>
      </c>
      <c r="J33" s="528" t="s">
        <v>272</v>
      </c>
      <c r="K33" s="528" t="s">
        <v>272</v>
      </c>
      <c r="L33" s="528" t="s">
        <v>272</v>
      </c>
      <c r="M33" s="668" t="str">
        <f>IF(T!$A$4&gt;='[8]Podklady MZ'!M$2,'[8]Podklady MZ'!M38,"")</f>
        <v/>
      </c>
      <c r="N33" s="667" t="str">
        <f>IF(T!$A$4&gt;='[8]Podklady MZ'!N$2,'[8]Podklady MZ'!N38,"")</f>
        <v/>
      </c>
      <c r="O33" s="667" t="str">
        <f>IF(T!$A$4&gt;='[8]Podklady MZ'!O$2,'[8]Podklady MZ'!O38,"")</f>
        <v/>
      </c>
      <c r="P33" s="590" t="s">
        <v>272</v>
      </c>
    </row>
    <row r="34" spans="1:16" ht="18" customHeight="1" x14ac:dyDescent="0.2">
      <c r="A34" s="875"/>
      <c r="B34" s="98" t="s">
        <v>256</v>
      </c>
      <c r="C34" s="568" t="s">
        <v>303</v>
      </c>
      <c r="D34" s="667">
        <f>IF(T!$A$4&gt;='[8]Podklady MZ'!D$2,'[8]Podklady MZ'!D39,"")</f>
        <v>510.78897079850827</v>
      </c>
      <c r="E34" s="667">
        <f>IF(T!$A$4&gt;='[8]Podklady MZ'!E$2,'[8]Podklady MZ'!E39,"")</f>
        <v>557.09765542384173</v>
      </c>
      <c r="F34" s="667">
        <f>IF(T!$A$4&gt;='[8]Podklady MZ'!F$2,'[8]Podklady MZ'!F39,"")</f>
        <v>500.412209115358</v>
      </c>
      <c r="G34" s="668">
        <f>IF(T!$A$4&gt;='[8]Podklady MZ'!G$2,'[8]Podklady MZ'!G39,"")</f>
        <v>507.74480043678903</v>
      </c>
      <c r="H34" s="528" t="s">
        <v>272</v>
      </c>
      <c r="I34" s="529" t="s">
        <v>272</v>
      </c>
      <c r="J34" s="528" t="s">
        <v>272</v>
      </c>
      <c r="K34" s="528" t="s">
        <v>272</v>
      </c>
      <c r="L34" s="528" t="s">
        <v>272</v>
      </c>
      <c r="M34" s="668" t="str">
        <f>IF(T!$A$4&gt;='[8]Podklady MZ'!M$2,'[8]Podklady MZ'!M39,"")</f>
        <v/>
      </c>
      <c r="N34" s="667" t="str">
        <f>IF(T!$A$4&gt;='[8]Podklady MZ'!N$2,'[8]Podklady MZ'!N39,"")</f>
        <v/>
      </c>
      <c r="O34" s="667" t="str">
        <f>IF(T!$A$4&gt;='[8]Podklady MZ'!O$2,'[8]Podklady MZ'!O39,"")</f>
        <v/>
      </c>
      <c r="P34" s="590" t="s">
        <v>272</v>
      </c>
    </row>
    <row r="35" spans="1:16" ht="9.9499999999999993" customHeight="1" x14ac:dyDescent="0.2">
      <c r="A35" s="876"/>
      <c r="B35" s="511"/>
      <c r="C35" s="531"/>
      <c r="D35" s="534"/>
      <c r="E35" s="534"/>
      <c r="F35" s="534"/>
      <c r="G35" s="551"/>
      <c r="H35" s="534"/>
      <c r="I35" s="535"/>
      <c r="J35" s="534"/>
      <c r="K35" s="534"/>
      <c r="L35" s="534"/>
      <c r="M35" s="551"/>
      <c r="N35" s="534"/>
      <c r="O35" s="534"/>
      <c r="P35" s="591"/>
    </row>
    <row r="36" spans="1:16" ht="9.9499999999999993" customHeight="1" x14ac:dyDescent="0.2">
      <c r="A36" s="558"/>
      <c r="B36" s="516"/>
      <c r="C36" s="520"/>
      <c r="D36" s="559"/>
      <c r="E36" s="560"/>
      <c r="F36" s="560"/>
      <c r="G36" s="561"/>
      <c r="H36" s="562"/>
      <c r="I36" s="563"/>
      <c r="J36" s="560"/>
      <c r="K36" s="560"/>
      <c r="L36" s="560"/>
      <c r="M36" s="561"/>
      <c r="N36" s="562"/>
      <c r="O36" s="562"/>
      <c r="P36" s="597"/>
    </row>
    <row r="37" spans="1:16" ht="14.1" customHeight="1" x14ac:dyDescent="0.2"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746"/>
    </row>
    <row r="38" spans="1:16" ht="14.1" customHeight="1" x14ac:dyDescent="0.2"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</row>
    <row r="39" spans="1:16" ht="14.1" customHeight="1" x14ac:dyDescent="0.2">
      <c r="D39" s="501"/>
      <c r="E39" s="690">
        <v>2</v>
      </c>
      <c r="F39" s="690">
        <v>3</v>
      </c>
      <c r="G39" s="690">
        <v>4</v>
      </c>
      <c r="H39" s="690">
        <v>5</v>
      </c>
      <c r="I39" s="690">
        <v>6</v>
      </c>
      <c r="J39" s="690">
        <v>7</v>
      </c>
      <c r="K39" s="690">
        <v>8</v>
      </c>
      <c r="L39" s="690">
        <v>9</v>
      </c>
      <c r="M39" s="690">
        <v>10</v>
      </c>
      <c r="N39" s="690">
        <v>11</v>
      </c>
      <c r="O39" s="690">
        <v>12</v>
      </c>
      <c r="P39" s="690"/>
    </row>
    <row r="40" spans="1:16" ht="14.1" customHeight="1" x14ac:dyDescent="0.2"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</row>
    <row r="41" spans="1:16" ht="14.1" customHeight="1" x14ac:dyDescent="0.2"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</row>
    <row r="42" spans="1:16" ht="14.1" customHeight="1" x14ac:dyDescent="0.2"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</row>
    <row r="43" spans="1:16" x14ac:dyDescent="0.2"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</row>
    <row r="44" spans="1:16" x14ac:dyDescent="0.2"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</row>
    <row r="45" spans="1:16" x14ac:dyDescent="0.2"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</row>
    <row r="46" spans="1:16" x14ac:dyDescent="0.2"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</row>
    <row r="47" spans="1:16" x14ac:dyDescent="0.2"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</row>
    <row r="48" spans="1:16" x14ac:dyDescent="0.2"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</row>
    <row r="49" spans="4:16" x14ac:dyDescent="0.2"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</row>
    <row r="50" spans="4:16" x14ac:dyDescent="0.2"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</row>
    <row r="51" spans="4:16" x14ac:dyDescent="0.2"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54</v>
      </c>
      <c r="P1" s="821"/>
    </row>
    <row r="2" spans="1:17" ht="15.95" customHeight="1" x14ac:dyDescent="0.25">
      <c r="A2" s="877" t="s">
        <v>248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 t="s">
        <v>128</v>
      </c>
      <c r="B5" s="887" t="s">
        <v>297</v>
      </c>
      <c r="C5" s="888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5.0999999999999996" customHeight="1" x14ac:dyDescent="0.2">
      <c r="A6" s="879" t="s">
        <v>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4.1" customHeight="1" x14ac:dyDescent="0.2">
      <c r="A7" s="875"/>
      <c r="B7" s="98" t="s">
        <v>259</v>
      </c>
      <c r="C7" s="568" t="s">
        <v>250</v>
      </c>
      <c r="D7" s="530">
        <f>IF(T!$A$4&gt;=D$50,INDEX([2]DS!$B36:$AK36,1,3*MONTH(D$5&amp;$A$3)-1)/1000,"")</f>
        <v>385.63213875298783</v>
      </c>
      <c r="E7" s="530">
        <f>IF(T!$A$4&gt;=E$50,INDEX([2]DS!$B36:$AK36,1,3*MONTH(E$5&amp;$A$3)-1)/1000,"")</f>
        <v>353.33978032210234</v>
      </c>
      <c r="F7" s="570">
        <f>IF(T!$A$4&gt;=F$50,INDEX([2]DS!$B36:$AK36,1,3*MONTH(F$5&amp;$A$3)-1)/1000,"")</f>
        <v>346.37501366394571</v>
      </c>
      <c r="G7" s="543">
        <f>IF(T!$A$4&gt;=G$50,INDEX([2]DS!$B36:$AK36,1,3*MONTH(G$5&amp;$A$3)-1)/1000,"")</f>
        <v>288.19805184514018</v>
      </c>
      <c r="H7" s="530">
        <f>IF(T!$A$4&gt;=H$50,INDEX([2]DS!$B36:$AK36,1,3*MONTH(H$5&amp;$A$3)-1)/1000,"")</f>
        <v>245.68114266191338</v>
      </c>
      <c r="I7" s="545">
        <f>IF(T!$A$4&gt;=I$50,INDEX([2]DS!$B36:$AK36,1,3*MONTH(I$5&amp;$A$3)-1)/1000,"")</f>
        <v>222.39487171832147</v>
      </c>
      <c r="J7" s="530" t="str">
        <f>IF(T!$A$4&gt;=J$50,INDEX([2]DS!$B36:$AK36,1,3*MONTH(J$5&amp;$A$3)-1)/1000,"")</f>
        <v/>
      </c>
      <c r="K7" s="530" t="str">
        <f>IF(T!$A$4&gt;=K$50,INDEX([2]DS!$B36:$AK36,1,3*MONTH(K$5&amp;$A$3)-1)/1000,"")</f>
        <v/>
      </c>
      <c r="L7" s="545" t="str">
        <f>IF(T!$A$4&gt;=L$50,INDEX([2]DS!$B36:$AK36,1,3*MONTH(L$5&amp;$A$3)-1)/1000,"")</f>
        <v/>
      </c>
      <c r="M7" s="530" t="str">
        <f>IF(T!$A$4&gt;=M$50,INDEX([2]DS!$B36:$AK36,1,3*MONTH(M$5&amp;$A$3)-1)/1000,"")</f>
        <v/>
      </c>
      <c r="N7" s="530" t="str">
        <f>IF(T!$A$4&gt;=N$50,INDEX([2]DS!$B36:$AK36,1,3*MONTH(N$5&amp;$A$3)-1)/1000,"")</f>
        <v/>
      </c>
      <c r="O7" s="530" t="str">
        <f>IF(T!$A$4&gt;=O$50,INDEX([2]DS!$B36:$AK36,1,3*MONTH(O$5&amp;$A$3)-1)/1000,"")</f>
        <v/>
      </c>
      <c r="P7" s="590">
        <f>SUM(D7:O7)</f>
        <v>1841.620998964411</v>
      </c>
    </row>
    <row r="8" spans="1:17" ht="14.1" customHeight="1" x14ac:dyDescent="0.2">
      <c r="A8" s="875"/>
      <c r="B8" s="98" t="s">
        <v>259</v>
      </c>
      <c r="C8" s="568" t="s">
        <v>303</v>
      </c>
      <c r="D8" s="543">
        <f>IF(T!$A$4&gt;=D$50,INDEX([2]DS!$B36:$AK36,1,3*MONTH(D$5&amp;$A$3))/1000,"")</f>
        <v>4099.1532515729996</v>
      </c>
      <c r="E8" s="560">
        <f>IF(T!$A$4&gt;=E$50,INDEX([2]DS!$B36:$AK36,1,3*MONTH(E$5&amp;$A$3))/1000,"")</f>
        <v>3757.3962138940001</v>
      </c>
      <c r="F8" s="570">
        <f>IF(T!$A$4&gt;=F$50,INDEX([2]DS!$B36:$AK36,1,3*MONTH(F$5&amp;$A$3))/1000,"")</f>
        <v>3682.5863261610011</v>
      </c>
      <c r="G8" s="543">
        <f>IF(T!$A$4&gt;=G$50,INDEX([2]DS!$B36:$AK36,1,3*MONTH(G$5&amp;$A$3))/1000,"")</f>
        <v>3066.2293641399992</v>
      </c>
      <c r="H8" s="530">
        <f>IF(T!$A$4&gt;=H$50,INDEX([2]DS!$B36:$AK36,1,3*MONTH(H$5&amp;$A$3))/1000,"")</f>
        <v>2629.4975017899997</v>
      </c>
      <c r="I8" s="545">
        <f>IF(T!$A$4&gt;=I$50,INDEX([2]DS!$B36:$AK36,1,3*MONTH(I$5&amp;$A$3))/1000,"")</f>
        <v>2382.0311126899996</v>
      </c>
      <c r="J8" s="530" t="str">
        <f>IF(T!$A$4&gt;=J$50,INDEX([2]DS!$B36:$AK36,1,3*MONTH(J$5&amp;$A$3))/1000,"")</f>
        <v/>
      </c>
      <c r="K8" s="530" t="str">
        <f>IF(T!$A$4&gt;=K$50,INDEX([2]DS!$B36:$AK36,1,3*MONTH(K$5&amp;$A$3))/1000,"")</f>
        <v/>
      </c>
      <c r="L8" s="545" t="str">
        <f>IF(T!$A$4&gt;=L$50,INDEX([2]DS!$B36:$AK36,1,3*MONTH(L$5&amp;$A$3))/1000,"")</f>
        <v/>
      </c>
      <c r="M8" s="530" t="str">
        <f>IF(T!$A$4&gt;=M$50,INDEX([2]DS!$B36:$AK36,1,3*MONTH(M$5&amp;$A$3))/1000,"")</f>
        <v/>
      </c>
      <c r="N8" s="530" t="str">
        <f>IF(T!$A$4&gt;=N$50,INDEX([2]DS!$B36:$AK36,1,3*MONTH(N$5&amp;$A$3))/1000,"")</f>
        <v/>
      </c>
      <c r="O8" s="530" t="str">
        <f>IF(T!$A$4&gt;=O$50,INDEX([2]DS!$B36:$AK36,1,3*MONTH(O$5&amp;$A$3))/1000,"")</f>
        <v/>
      </c>
      <c r="P8" s="590">
        <f t="shared" ref="P8" si="0">SUM(D8:O8)</f>
        <v>19616.893770247996</v>
      </c>
    </row>
    <row r="9" spans="1:17" ht="14.1" customHeight="1" x14ac:dyDescent="0.2">
      <c r="A9" s="875"/>
      <c r="B9" s="732" t="s">
        <v>257</v>
      </c>
      <c r="C9" s="733" t="s">
        <v>251</v>
      </c>
      <c r="D9" s="734">
        <f>IF(T!$A$4&gt;=D$50,D7/D$40,"")</f>
        <v>0.35664386219026406</v>
      </c>
      <c r="E9" s="734">
        <f>IF(T!$A$4&gt;=E$50,E7/E$40,"")</f>
        <v>0.35695684033317382</v>
      </c>
      <c r="F9" s="735">
        <f>IF(T!$A$4&gt;=F$50,F7/F$40,"")</f>
        <v>0.4001869268131576</v>
      </c>
      <c r="G9" s="734">
        <f>IF(T!$A$4&gt;=G$50,G7/G$40,"")</f>
        <v>0.46273929977048311</v>
      </c>
      <c r="H9" s="736">
        <f>IF(T!$A$4&gt;=H$50,H7/H$40,"")</f>
        <v>0.60696214474447441</v>
      </c>
      <c r="I9" s="737">
        <f>IF(T!$A$4&gt;=I$50,I7/I$40,"")</f>
        <v>0.70734496784431988</v>
      </c>
      <c r="J9" s="736" t="str">
        <f>IF(T!$A$4&gt;=J$50,J7/J$40,"")</f>
        <v/>
      </c>
      <c r="K9" s="736" t="str">
        <f>IF(T!$A$4&gt;=K$50,K7/K$40,"")</f>
        <v/>
      </c>
      <c r="L9" s="737" t="str">
        <f>IF(T!$A$4&gt;=L$50,L7/L$40,"")</f>
        <v/>
      </c>
      <c r="M9" s="736" t="str">
        <f>IF(T!$A$4&gt;=M$50,M7/M$40,"")</f>
        <v/>
      </c>
      <c r="N9" s="736" t="str">
        <f>IF(T!$A$4&gt;=N$50,N7/N$40,"")</f>
        <v/>
      </c>
      <c r="O9" s="736" t="str">
        <f>IF(T!$A$4&gt;=O$50,O7/O$40,"")</f>
        <v/>
      </c>
      <c r="P9" s="738">
        <f>P7/P$40</f>
        <v>0.43041911880789285</v>
      </c>
    </row>
    <row r="10" spans="1:17" ht="14.1" customHeight="1" x14ac:dyDescent="0.2">
      <c r="A10" s="875"/>
      <c r="B10" s="98" t="s">
        <v>0</v>
      </c>
      <c r="C10" s="568"/>
      <c r="D10" s="673">
        <f>IF(T!$A$4&gt;=D$50,INDEX([2]DS!$B36:$AK36,1,3*MONTH(D$5&amp;$A$3)-2),"")</f>
        <v>1590</v>
      </c>
      <c r="E10" s="683">
        <f>IF(T!$A$4&gt;=E$50,INDEX([2]DS!$B36:$AK36,1,3*MONTH(E$5&amp;$A$3)-2),"")</f>
        <v>1592</v>
      </c>
      <c r="F10" s="674">
        <f>IF(T!$A$4&gt;=F$50,INDEX([2]DS!$B36:$AK36,1,3*MONTH(F$5&amp;$A$3)-2),"")</f>
        <v>1593</v>
      </c>
      <c r="G10" s="673">
        <f>IF(T!$A$4&gt;=G$50,INDEX([2]DS!$B36:$AK36,1,3*MONTH(G$5&amp;$A$3)-2),"")</f>
        <v>1589</v>
      </c>
      <c r="H10" s="672">
        <f>IF(T!$A$4&gt;=H$50,INDEX([2]DS!$B36:$AK36,1,3*MONTH(H$5&amp;$A$3)-2),"")</f>
        <v>1593</v>
      </c>
      <c r="I10" s="675">
        <f>IF(T!$A$4&gt;=I$50,INDEX([2]DS!$B36:$AK36,1,3*MONTH(I$5&amp;$A$3)-2),"")</f>
        <v>1593</v>
      </c>
      <c r="J10" s="672" t="str">
        <f>IF(T!$A$4&gt;=J$50,INDEX([2]DS!$B36:$AK36,1,3*MONTH(J$5&amp;$A$3)-2),"")</f>
        <v/>
      </c>
      <c r="K10" s="672" t="str">
        <f>IF(T!$A$4&gt;=K$50,INDEX([2]DS!$B36:$AK36,1,3*MONTH(K$5&amp;$A$3)-2),"")</f>
        <v/>
      </c>
      <c r="L10" s="675" t="str">
        <f>IF(T!$A$4&gt;=L$50,INDEX([2]DS!$B36:$AK36,1,3*MONTH(L$5&amp;$A$3)-2),"")</f>
        <v/>
      </c>
      <c r="M10" s="672" t="str">
        <f>IF(T!$A$4&gt;=M$50,INDEX([2]DS!$B36:$AK36,1,3*MONTH(M$5&amp;$A$3)-2),"")</f>
        <v/>
      </c>
      <c r="N10" s="672" t="str">
        <f>IF(T!$A$4&gt;=N$50,INDEX([2]DS!$B36:$AK36,1,3*MONTH(N$5&amp;$A$3)-2),"")</f>
        <v/>
      </c>
      <c r="O10" s="672" t="str">
        <f>IF(T!$A$4&gt;=O$50,INDEX([2]DS!$B36:$AK36,1,3*MONTH(O$5&amp;$A$3)-2),"")</f>
        <v/>
      </c>
      <c r="P10" s="687" t="str">
        <f>O10</f>
        <v/>
      </c>
    </row>
    <row r="11" spans="1:17" ht="14.1" customHeight="1" x14ac:dyDescent="0.2">
      <c r="A11" s="875"/>
      <c r="B11" s="569" t="s">
        <v>258</v>
      </c>
      <c r="C11" s="568" t="s">
        <v>251</v>
      </c>
      <c r="D11" s="676">
        <f>IF(T!$A$4&gt;=D$50,D10/D$42,"")</f>
        <v>5.5806156787923972E-4</v>
      </c>
      <c r="E11" s="684">
        <f>IF(T!$A$4&gt;=E$50,E10/E$42,"")</f>
        <v>5.588321811514892E-4</v>
      </c>
      <c r="F11" s="677">
        <f>IF(T!$A$4&gt;=F$50,F10/F$42,"")</f>
        <v>5.5946246649546806E-4</v>
      </c>
      <c r="G11" s="676">
        <f>IF(T!$A$4&gt;=G$50,G10/G$42,"")</f>
        <v>5.583151181122835E-4</v>
      </c>
      <c r="H11" s="388">
        <f>IF(T!$A$4&gt;=H$50,H10/H$42,"")</f>
        <v>5.5994111655000348E-4</v>
      </c>
      <c r="I11" s="678">
        <f>IF(T!$A$4&gt;=I$50,I10/I$42,"")</f>
        <v>5.6025167363317756E-4</v>
      </c>
      <c r="J11" s="388" t="str">
        <f>IF(T!$A$4&gt;=J$50,J10/J$42,"")</f>
        <v/>
      </c>
      <c r="K11" s="388" t="str">
        <f>IF(T!$A$4&gt;=K$50,K10/K$42,"")</f>
        <v/>
      </c>
      <c r="L11" s="678" t="str">
        <f>IF(T!$A$4&gt;=L$50,L10/L$42,"")</f>
        <v/>
      </c>
      <c r="M11" s="388" t="str">
        <f>IF(T!$A$4&gt;=M$50,M10/M$42,"")</f>
        <v/>
      </c>
      <c r="N11" s="388" t="str">
        <f>IF(T!$A$4&gt;=N$50,N10/N$42,"")</f>
        <v/>
      </c>
      <c r="O11" s="388" t="str">
        <f>IF(T!$A$4&gt;=O$50,O10/O$42,"")</f>
        <v/>
      </c>
      <c r="P11" s="685" t="str">
        <f>IF(T!$A$4&gt;=O$50,P10/P$42,"")</f>
        <v/>
      </c>
    </row>
    <row r="12" spans="1:17" ht="5.0999999999999996" customHeight="1" x14ac:dyDescent="0.2">
      <c r="A12" s="876"/>
      <c r="B12" s="579"/>
      <c r="C12" s="577"/>
      <c r="D12" s="547"/>
      <c r="E12" s="547"/>
      <c r="F12" s="578"/>
      <c r="G12" s="547"/>
      <c r="H12" s="549"/>
      <c r="I12" s="550"/>
      <c r="J12" s="549"/>
      <c r="K12" s="549"/>
      <c r="L12" s="550"/>
      <c r="M12" s="549"/>
      <c r="N12" s="549"/>
      <c r="O12" s="549"/>
      <c r="P12" s="591"/>
    </row>
    <row r="13" spans="1:17" ht="5.0999999999999996" customHeight="1" x14ac:dyDescent="0.2">
      <c r="A13" s="879" t="s">
        <v>7</v>
      </c>
      <c r="B13" s="519"/>
      <c r="C13" s="520"/>
      <c r="D13" s="499"/>
      <c r="E13" s="499"/>
      <c r="F13" s="521"/>
      <c r="G13" s="499"/>
      <c r="H13" s="499"/>
      <c r="I13" s="521"/>
      <c r="J13" s="499"/>
      <c r="K13" s="499"/>
      <c r="L13" s="521"/>
      <c r="M13" s="499"/>
      <c r="N13" s="499"/>
      <c r="O13" s="686"/>
      <c r="P13" s="589"/>
    </row>
    <row r="14" spans="1:17" ht="14.1" customHeight="1" x14ac:dyDescent="0.2">
      <c r="A14" s="875"/>
      <c r="B14" s="98" t="s">
        <v>259</v>
      </c>
      <c r="C14" s="568" t="s">
        <v>250</v>
      </c>
      <c r="D14" s="543">
        <f>IF(T!$A$4&gt;=D$50,INDEX([2]DS!$B37:$AK37,1,3*MONTH(D$5&amp;$A$3)-1)/1000,"")</f>
        <v>109.44037237872847</v>
      </c>
      <c r="E14" s="543">
        <f>IF(T!$A$4&gt;=E$50,INDEX([2]DS!$B37:$AK37,1,3*MONTH(E$5&amp;$A$3)-1)/1000,"")</f>
        <v>101.46819909431994</v>
      </c>
      <c r="F14" s="570">
        <f>IF(T!$A$4&gt;=F$50,INDEX([2]DS!$B37:$AK37,1,3*MONTH(F$5&amp;$A$3)-1)/1000,"")</f>
        <v>85.97057093222827</v>
      </c>
      <c r="G14" s="543">
        <f>IF(T!$A$4&gt;=G$50,INDEX([2]DS!$B37:$AK37,1,3*MONTH(G$5&amp;$A$3)-1)/1000,"")</f>
        <v>61.6787553775373</v>
      </c>
      <c r="H14" s="530">
        <f>IF(T!$A$4&gt;=H$50,INDEX([2]DS!$B37:$AK37,1,3*MONTH(H$5&amp;$A$3)-1)/1000,"")</f>
        <v>35.649345603170651</v>
      </c>
      <c r="I14" s="545">
        <f>IF(T!$A$4&gt;=I$50,INDEX([2]DS!$B37:$AK37,1,3*MONTH(I$5&amp;$A$3)-1)/1000,"")</f>
        <v>27.487439111932243</v>
      </c>
      <c r="J14" s="530" t="str">
        <f>IF(T!$A$4&gt;=J$50,INDEX([2]DS!$B37:$AK37,1,3*MONTH(J$5&amp;$A$3)-1)/1000,"")</f>
        <v/>
      </c>
      <c r="K14" s="530" t="str">
        <f>IF(T!$A$4&gt;=K$50,INDEX([2]DS!$B37:$AK37,1,3*MONTH(K$5&amp;$A$3)-1)/1000,"")</f>
        <v/>
      </c>
      <c r="L14" s="545" t="str">
        <f>IF(T!$A$4&gt;=L$50,INDEX([2]DS!$B37:$AK37,1,3*MONTH(L$5&amp;$A$3)-1)/1000,"")</f>
        <v/>
      </c>
      <c r="M14" s="530" t="str">
        <f>IF(T!$A$4&gt;=M$50,INDEX([2]DS!$B37:$AK37,1,3*MONTH(M$5&amp;$A$3)-1)/1000,"")</f>
        <v/>
      </c>
      <c r="N14" s="530" t="str">
        <f>IF(T!$A$4&gt;=N$50,INDEX([2]DS!$B37:$AK37,1,3*MONTH(N$5&amp;$A$3)-1)/1000,"")</f>
        <v/>
      </c>
      <c r="O14" s="530" t="str">
        <f>IF(T!$A$4&gt;=O$50,INDEX([2]DS!$B37:$AK37,1,3*MONTH(O$5&amp;$A$3)-1)/1000,"")</f>
        <v/>
      </c>
      <c r="P14" s="590">
        <f>SUM(D14:O14)</f>
        <v>421.69468249791692</v>
      </c>
    </row>
    <row r="15" spans="1:17" ht="14.1" customHeight="1" x14ac:dyDescent="0.2">
      <c r="A15" s="875"/>
      <c r="B15" s="98" t="s">
        <v>259</v>
      </c>
      <c r="C15" s="568" t="s">
        <v>303</v>
      </c>
      <c r="D15" s="543">
        <f>IF(T!$A$4&gt;=D$50,INDEX([2]DS!$B37:$AK37,1,3*MONTH(D$5&amp;$A$3))/1000,"")</f>
        <v>1162.9244275710003</v>
      </c>
      <c r="E15" s="543">
        <f>IF(T!$A$4&gt;=E$50,INDEX([2]DS!$B37:$AK37,1,3*MONTH(E$5&amp;$A$3))/1000,"")</f>
        <v>1078.7178574569998</v>
      </c>
      <c r="F15" s="570">
        <f>IF(T!$A$4&gt;=F$50,INDEX([2]DS!$B37:$AK37,1,3*MONTH(F$5&amp;$A$3))/1000,"")</f>
        <v>913.84377809900013</v>
      </c>
      <c r="G15" s="543">
        <f>IF(T!$A$4&gt;=G$50,INDEX([2]DS!$B37:$AK37,1,3*MONTH(G$5&amp;$A$3))/1000,"")</f>
        <v>656.13119702499978</v>
      </c>
      <c r="H15" s="530">
        <f>IF(T!$A$4&gt;=H$50,INDEX([2]DS!$B37:$AK37,1,3*MONTH(H$5&amp;$A$3))/1000,"")</f>
        <v>381.52784663000011</v>
      </c>
      <c r="I15" s="545">
        <f>IF(T!$A$4&gt;=I$50,INDEX([2]DS!$B37:$AK37,1,3*MONTH(I$5&amp;$A$3))/1000,"")</f>
        <v>294.28688717999995</v>
      </c>
      <c r="J15" s="530" t="str">
        <f>IF(T!$A$4&gt;=J$50,INDEX([2]DS!$B37:$AK37,1,3*MONTH(J$5&amp;$A$3))/1000,"")</f>
        <v/>
      </c>
      <c r="K15" s="530" t="str">
        <f>IF(T!$A$4&gt;=K$50,INDEX([2]DS!$B37:$AK37,1,3*MONTH(K$5&amp;$A$3))/1000,"")</f>
        <v/>
      </c>
      <c r="L15" s="545" t="str">
        <f>IF(T!$A$4&gt;=L$50,INDEX([2]DS!$B37:$AK37,1,3*MONTH(L$5&amp;$A$3))/1000,"")</f>
        <v/>
      </c>
      <c r="M15" s="530" t="str">
        <f>IF(T!$A$4&gt;=M$50,INDEX([2]DS!$B37:$AK37,1,3*MONTH(M$5&amp;$A$3))/1000,"")</f>
        <v/>
      </c>
      <c r="N15" s="530" t="str">
        <f>IF(T!$A$4&gt;=N$50,INDEX([2]DS!$B37:$AK37,1,3*MONTH(N$5&amp;$A$3))/1000,"")</f>
        <v/>
      </c>
      <c r="O15" s="530" t="str">
        <f>IF(T!$A$4&gt;=O$50,INDEX([2]DS!$B37:$AK37,1,3*MONTH(O$5&amp;$A$3))/1000,"")</f>
        <v/>
      </c>
      <c r="P15" s="590">
        <f t="shared" ref="P15" si="1">SUM(D15:O15)</f>
        <v>4487.431993962</v>
      </c>
    </row>
    <row r="16" spans="1:17" ht="14.1" customHeight="1" x14ac:dyDescent="0.2">
      <c r="A16" s="875"/>
      <c r="B16" s="732" t="s">
        <v>257</v>
      </c>
      <c r="C16" s="733" t="s">
        <v>251</v>
      </c>
      <c r="D16" s="734">
        <f>IF(T!$A$4&gt;=D$50,D14/D$40,"")</f>
        <v>0.10121365198166593</v>
      </c>
      <c r="E16" s="734">
        <f>IF(T!$A$4&gt;=E$50,E14/E$40,"")</f>
        <v>0.10250690627018599</v>
      </c>
      <c r="F16" s="735">
        <f>IF(T!$A$4&gt;=F$50,F14/F$40,"")</f>
        <v>9.9326733224239391E-2</v>
      </c>
      <c r="G16" s="734">
        <f>IF(T!$A$4&gt;=G$50,G14/G$40,"")</f>
        <v>9.9033230417021695E-2</v>
      </c>
      <c r="H16" s="736">
        <f>IF(T!$A$4&gt;=H$50,H14/H$40,"")</f>
        <v>8.8072706889896143E-2</v>
      </c>
      <c r="I16" s="737">
        <f>IF(T!$A$4&gt;=I$50,I14/I$40,"")</f>
        <v>8.7426034532749705E-2</v>
      </c>
      <c r="J16" s="736" t="str">
        <f>IF(T!$A$4&gt;=J$50,J14/J$40,"")</f>
        <v/>
      </c>
      <c r="K16" s="736" t="str">
        <f>IF(T!$A$4&gt;=K$50,K14/K$40,"")</f>
        <v/>
      </c>
      <c r="L16" s="737" t="str">
        <f>IF(T!$A$4&gt;=L$50,L14/L$40,"")</f>
        <v/>
      </c>
      <c r="M16" s="736" t="str">
        <f>IF(T!$A$4&gt;=M$50,M14/M$40,"")</f>
        <v/>
      </c>
      <c r="N16" s="736" t="str">
        <f>IF(T!$A$4&gt;=N$50,N14/N$40,"")</f>
        <v/>
      </c>
      <c r="O16" s="736" t="str">
        <f>IF(T!$A$4&gt;=O$50,O14/O$40,"")</f>
        <v/>
      </c>
      <c r="P16" s="738">
        <f t="shared" ref="P16" si="2">P14/P$40</f>
        <v>9.8557441378433752E-2</v>
      </c>
    </row>
    <row r="17" spans="1:16" ht="14.1" customHeight="1" x14ac:dyDescent="0.2">
      <c r="A17" s="875"/>
      <c r="B17" s="98" t="s">
        <v>0</v>
      </c>
      <c r="C17" s="568"/>
      <c r="D17" s="673">
        <f>IF(T!$A$4&gt;=D$50,INDEX([2]DS!$B37:$AK37,1,3*MONTH(D$5&amp;$A$3)-2),"")</f>
        <v>6845</v>
      </c>
      <c r="E17" s="673">
        <f>IF(T!$A$4&gt;=E$50,INDEX([2]DS!$B37:$AK37,1,3*MONTH(E$5&amp;$A$3)-2),"")</f>
        <v>6843</v>
      </c>
      <c r="F17" s="674">
        <f>IF(T!$A$4&gt;=F$50,INDEX([2]DS!$B37:$AK37,1,3*MONTH(F$5&amp;$A$3)-2),"")</f>
        <v>6746</v>
      </c>
      <c r="G17" s="673">
        <f>IF(T!$A$4&gt;=G$50,INDEX([2]DS!$B37:$AK37,1,3*MONTH(G$5&amp;$A$3)-2),"")</f>
        <v>6744</v>
      </c>
      <c r="H17" s="672">
        <f>IF(T!$A$4&gt;=H$50,INDEX([2]DS!$B37:$AK37,1,3*MONTH(H$5&amp;$A$3)-2),"")</f>
        <v>6746</v>
      </c>
      <c r="I17" s="675">
        <f>IF(T!$A$4&gt;=I$50,INDEX([2]DS!$B37:$AK37,1,3*MONTH(I$5&amp;$A$3)-2),"")</f>
        <v>6758</v>
      </c>
      <c r="J17" s="672" t="str">
        <f>IF(T!$A$4&gt;=J$50,INDEX([2]DS!$B37:$AK37,1,3*MONTH(J$5&amp;$A$3)-2),"")</f>
        <v/>
      </c>
      <c r="K17" s="672" t="str">
        <f>IF(T!$A$4&gt;=K$50,INDEX([2]DS!$B37:$AK37,1,3*MONTH(K$5&amp;$A$3)-2),"")</f>
        <v/>
      </c>
      <c r="L17" s="675" t="str">
        <f>IF(T!$A$4&gt;=L$50,INDEX([2]DS!$B37:$AK37,1,3*MONTH(L$5&amp;$A$3)-2),"")</f>
        <v/>
      </c>
      <c r="M17" s="672" t="str">
        <f>IF(T!$A$4&gt;=M$50,INDEX([2]DS!$B37:$AK37,1,3*MONTH(M$5&amp;$A$3)-2),"")</f>
        <v/>
      </c>
      <c r="N17" s="672" t="str">
        <f>IF(T!$A$4&gt;=N$50,INDEX([2]DS!$B37:$AK37,1,3*MONTH(N$5&amp;$A$3)-2),"")</f>
        <v/>
      </c>
      <c r="O17" s="672" t="str">
        <f>IF(T!$A$4&gt;=O$50,INDEX([2]DS!$B37:$AK37,1,3*MONTH(O$5&amp;$A$3)-2),"")</f>
        <v/>
      </c>
      <c r="P17" s="687" t="str">
        <f>O17</f>
        <v/>
      </c>
    </row>
    <row r="18" spans="1:16" ht="14.1" customHeight="1" x14ac:dyDescent="0.2">
      <c r="A18" s="875"/>
      <c r="B18" s="569" t="s">
        <v>258</v>
      </c>
      <c r="C18" s="568" t="s">
        <v>251</v>
      </c>
      <c r="D18" s="676">
        <f>IF(T!$A$4&gt;=D$50,D17/D$42,"")</f>
        <v>2.4024725988260349E-3</v>
      </c>
      <c r="E18" s="684">
        <f>IF(T!$A$4&gt;=E$50,E17/E$42,"")</f>
        <v>2.4020657133289199E-3</v>
      </c>
      <c r="F18" s="677">
        <f>IF(T!$A$4&gt;=F$50,F17/F$42,"")</f>
        <v>2.369198869415209E-3</v>
      </c>
      <c r="G18" s="676">
        <f>IF(T!$A$4&gt;=G$50,G17/G$42,"")</f>
        <v>2.3695891482374072E-3</v>
      </c>
      <c r="H18" s="388">
        <f>IF(T!$A$4&gt;=H$50,H17/H$42,"")</f>
        <v>2.3712258457290166E-3</v>
      </c>
      <c r="I18" s="678">
        <f>IF(T!$A$4&gt;=I$50,I17/I$42,"")</f>
        <v>2.3767613373590797E-3</v>
      </c>
      <c r="J18" s="388" t="str">
        <f>IF(T!$A$4&gt;=J$50,J17/J$42,"")</f>
        <v/>
      </c>
      <c r="K18" s="388" t="str">
        <f>IF(T!$A$4&gt;=K$50,K17/K$42,"")</f>
        <v/>
      </c>
      <c r="L18" s="678" t="str">
        <f>IF(T!$A$4&gt;=L$50,L17/L$42,"")</f>
        <v/>
      </c>
      <c r="M18" s="388" t="str">
        <f>IF(T!$A$4&gt;=M$50,M17/M$42,"")</f>
        <v/>
      </c>
      <c r="N18" s="388" t="str">
        <f>IF(T!$A$4&gt;=N$50,N17/N$42,"")</f>
        <v/>
      </c>
      <c r="O18" s="388" t="str">
        <f>IF(T!$A$4&gt;=O$50,O17/O$42,"")</f>
        <v/>
      </c>
      <c r="P18" s="685" t="str">
        <f>IF(T!$A$4&gt;=O$50,P17/P$42,"")</f>
        <v/>
      </c>
    </row>
    <row r="19" spans="1:16" ht="5.0999999999999996" customHeight="1" x14ac:dyDescent="0.2">
      <c r="A19" s="876"/>
      <c r="B19" s="579"/>
      <c r="C19" s="577"/>
      <c r="D19" s="547"/>
      <c r="E19" s="547"/>
      <c r="F19" s="578"/>
      <c r="G19" s="547"/>
      <c r="H19" s="549"/>
      <c r="I19" s="550"/>
      <c r="J19" s="549"/>
      <c r="K19" s="549"/>
      <c r="L19" s="550"/>
      <c r="M19" s="549"/>
      <c r="N19" s="549"/>
      <c r="O19" s="549"/>
      <c r="P19" s="591"/>
    </row>
    <row r="20" spans="1:16" ht="5.0999999999999996" customHeight="1" x14ac:dyDescent="0.2">
      <c r="A20" s="879" t="s">
        <v>8</v>
      </c>
      <c r="B20" s="519"/>
      <c r="C20" s="520"/>
      <c r="D20" s="499"/>
      <c r="E20" s="499"/>
      <c r="F20" s="521"/>
      <c r="G20" s="499"/>
      <c r="H20" s="499"/>
      <c r="I20" s="521"/>
      <c r="J20" s="499"/>
      <c r="K20" s="499"/>
      <c r="L20" s="521"/>
      <c r="M20" s="499"/>
      <c r="N20" s="499"/>
      <c r="O20" s="686"/>
      <c r="P20" s="589"/>
    </row>
    <row r="21" spans="1:16" ht="14.1" customHeight="1" x14ac:dyDescent="0.2">
      <c r="A21" s="875"/>
      <c r="B21" s="98" t="s">
        <v>259</v>
      </c>
      <c r="C21" s="568" t="s">
        <v>250</v>
      </c>
      <c r="D21" s="543">
        <f>IF(T!$A$4&gt;=D$50,INDEX([2]DS!$B38:$AK38,1,3*MONTH(D$5&amp;$A$3)-1)/1000,"")</f>
        <v>185.45573098381678</v>
      </c>
      <c r="E21" s="543">
        <f>IF(T!$A$4&gt;=E$50,INDEX([2]DS!$B38:$AK38,1,3*MONTH(E$5&amp;$A$3)-1)/1000,"")</f>
        <v>168.97767665120313</v>
      </c>
      <c r="F21" s="570">
        <f>IF(T!$A$4&gt;=F$50,INDEX([2]DS!$B38:$AK38,1,3*MONTH(F$5&amp;$A$3)-1)/1000,"")</f>
        <v>136.93737206553737</v>
      </c>
      <c r="G21" s="543">
        <f>IF(T!$A$4&gt;=G$50,INDEX([2]DS!$B38:$AK38,1,3*MONTH(G$5&amp;$A$3)-1)/1000,"")</f>
        <v>84.908576362727246</v>
      </c>
      <c r="H21" s="530">
        <f>IF(T!$A$4&gt;=H$50,INDEX([2]DS!$B38:$AK38,1,3*MONTH(H$5&amp;$A$3)-1)/1000,"")</f>
        <v>37.021409665043308</v>
      </c>
      <c r="I21" s="545">
        <f>IF(T!$A$4&gt;=I$50,INDEX([2]DS!$B38:$AK38,1,3*MONTH(I$5&amp;$A$3)-1)/1000,"")</f>
        <v>18.340041647020101</v>
      </c>
      <c r="J21" s="530" t="str">
        <f>IF(T!$A$4&gt;=J$50,INDEX([2]DS!$B38:$AK38,1,3*MONTH(J$5&amp;$A$3)-1)/1000,"")</f>
        <v/>
      </c>
      <c r="K21" s="530" t="str">
        <f>IF(T!$A$4&gt;=K$50,INDEX([2]DS!$B38:$AK38,1,3*MONTH(K$5&amp;$A$3)-1)/1000,"")</f>
        <v/>
      </c>
      <c r="L21" s="545" t="str">
        <f>IF(T!$A$4&gt;=L$50,INDEX([2]DS!$B38:$AK38,1,3*MONTH(L$5&amp;$A$3)-1)/1000,"")</f>
        <v/>
      </c>
      <c r="M21" s="530" t="str">
        <f>IF(T!$A$4&gt;=M$50,INDEX([2]DS!$B38:$AK38,1,3*MONTH(M$5&amp;$A$3)-1)/1000,"")</f>
        <v/>
      </c>
      <c r="N21" s="530" t="str">
        <f>IF(T!$A$4&gt;=N$50,INDEX([2]DS!$B38:$AK38,1,3*MONTH(N$5&amp;$A$3)-1)/1000,"")</f>
        <v/>
      </c>
      <c r="O21" s="530" t="str">
        <f>IF(T!$A$4&gt;=O$50,INDEX([2]DS!$B38:$AK38,1,3*MONTH(O$5&amp;$A$3)-1)/1000,"")</f>
        <v/>
      </c>
      <c r="P21" s="590">
        <f>SUM(D21:O21)</f>
        <v>631.64080737534789</v>
      </c>
    </row>
    <row r="22" spans="1:16" ht="14.1" customHeight="1" x14ac:dyDescent="0.2">
      <c r="A22" s="875"/>
      <c r="B22" s="98" t="s">
        <v>259</v>
      </c>
      <c r="C22" s="568" t="s">
        <v>303</v>
      </c>
      <c r="D22" s="543">
        <f>IF(T!$A$4&gt;=D$50,INDEX([2]DS!$B38:$AK38,1,3*MONTH(D$5&amp;$A$3))/1000,"")</f>
        <v>1970.9617956427305</v>
      </c>
      <c r="E22" s="543">
        <f>IF(T!$A$4&gt;=E$50,INDEX([2]DS!$B38:$AK38,1,3*MONTH(E$5&amp;$A$3))/1000,"")</f>
        <v>1796.5965963848589</v>
      </c>
      <c r="F22" s="570">
        <f>IF(T!$A$4&gt;=F$50,INDEX([2]DS!$B38:$AK38,1,3*MONTH(F$5&amp;$A$3))/1000,"")</f>
        <v>1455.6892118568792</v>
      </c>
      <c r="G22" s="543">
        <f>IF(T!$A$4&gt;=G$50,INDEX([2]DS!$B38:$AK38,1,3*MONTH(G$5&amp;$A$3))/1000,"")</f>
        <v>903.30827032261004</v>
      </c>
      <c r="H22" s="530">
        <f>IF(T!$A$4&gt;=H$50,INDEX([2]DS!$B38:$AK38,1,3*MONTH(H$5&amp;$A$3))/1000,"")</f>
        <v>396.22632977909848</v>
      </c>
      <c r="I22" s="545">
        <f>IF(T!$A$4&gt;=I$50,INDEX([2]DS!$B38:$AK38,1,3*MONTH(I$5&amp;$A$3))/1000,"")</f>
        <v>196.31039852340263</v>
      </c>
      <c r="J22" s="530" t="str">
        <f>IF(T!$A$4&gt;=J$50,INDEX([2]DS!$B38:$AK38,1,3*MONTH(J$5&amp;$A$3))/1000,"")</f>
        <v/>
      </c>
      <c r="K22" s="530" t="str">
        <f>IF(T!$A$4&gt;=K$50,INDEX([2]DS!$B38:$AK38,1,3*MONTH(K$5&amp;$A$3))/1000,"")</f>
        <v/>
      </c>
      <c r="L22" s="545" t="str">
        <f>IF(T!$A$4&gt;=L$50,INDEX([2]DS!$B38:$AK38,1,3*MONTH(L$5&amp;$A$3))/1000,"")</f>
        <v/>
      </c>
      <c r="M22" s="530" t="str">
        <f>IF(T!$A$4&gt;=M$50,INDEX([2]DS!$B38:$AK38,1,3*MONTH(M$5&amp;$A$3))/1000,"")</f>
        <v/>
      </c>
      <c r="N22" s="530" t="str">
        <f>IF(T!$A$4&gt;=N$50,INDEX([2]DS!$B38:$AK38,1,3*MONTH(N$5&amp;$A$3))/1000,"")</f>
        <v/>
      </c>
      <c r="O22" s="530" t="str">
        <f>IF(T!$A$4&gt;=O$50,INDEX([2]DS!$B38:$AK38,1,3*MONTH(O$5&amp;$A$3))/1000,"")</f>
        <v/>
      </c>
      <c r="P22" s="590">
        <f t="shared" ref="P22" si="3">SUM(D22:O22)</f>
        <v>6719.0926025095805</v>
      </c>
    </row>
    <row r="23" spans="1:16" ht="14.1" customHeight="1" x14ac:dyDescent="0.2">
      <c r="A23" s="875"/>
      <c r="B23" s="732" t="s">
        <v>257</v>
      </c>
      <c r="C23" s="733" t="s">
        <v>251</v>
      </c>
      <c r="D23" s="734">
        <f>IF(T!$A$4&gt;=D$50,D21/D$40,"")</f>
        <v>0.17151487523127137</v>
      </c>
      <c r="E23" s="734">
        <f>IF(T!$A$4&gt;=E$50,E21/E$40,"")</f>
        <v>0.17070746319383825</v>
      </c>
      <c r="F23" s="735">
        <f>IF(T!$A$4&gt;=F$50,F21/F$40,"")</f>
        <v>0.15821160283214028</v>
      </c>
      <c r="G23" s="734">
        <f>IF(T!$A$4&gt;=G$50,G21/G$40,"")</f>
        <v>0.13633171674494632</v>
      </c>
      <c r="H23" s="736">
        <f>IF(T!$A$4&gt;=H$50,H21/H$40,"")</f>
        <v>9.146242958777151E-2</v>
      </c>
      <c r="I23" s="737">
        <f>IF(T!$A$4&gt;=I$50,I21/I$40,"")</f>
        <v>5.8331993309206298E-2</v>
      </c>
      <c r="J23" s="736" t="str">
        <f>IF(T!$A$4&gt;=J$50,J21/J$40,"")</f>
        <v/>
      </c>
      <c r="K23" s="736" t="str">
        <f>IF(T!$A$4&gt;=K$50,K21/K$40,"")</f>
        <v/>
      </c>
      <c r="L23" s="737" t="str">
        <f>IF(T!$A$4&gt;=L$50,L21/L$40,"")</f>
        <v/>
      </c>
      <c r="M23" s="736" t="str">
        <f>IF(T!$A$4&gt;=M$50,M21/M$40,"")</f>
        <v/>
      </c>
      <c r="N23" s="736" t="str">
        <f>IF(T!$A$4&gt;=N$50,N21/N$40,"")</f>
        <v/>
      </c>
      <c r="O23" s="736" t="str">
        <f>IF(T!$A$4&gt;=O$50,O21/O$40,"")</f>
        <v/>
      </c>
      <c r="P23" s="738">
        <f t="shared" ref="P23" si="4">P21/P$40</f>
        <v>0.14762553199951706</v>
      </c>
    </row>
    <row r="24" spans="1:16" ht="14.1" customHeight="1" x14ac:dyDescent="0.2">
      <c r="A24" s="875"/>
      <c r="B24" s="98" t="s">
        <v>0</v>
      </c>
      <c r="C24" s="568"/>
      <c r="D24" s="673">
        <f>IF(T!$A$4&gt;=D$50,INDEX([2]DS!$B38:$AK38,1,3*MONTH(D$5&amp;$A$3)-2),"")</f>
        <v>197927</v>
      </c>
      <c r="E24" s="673">
        <f>IF(T!$A$4&gt;=E$50,INDEX([2]DS!$B38:$AK38,1,3*MONTH(E$5&amp;$A$3)-2),"")</f>
        <v>197876</v>
      </c>
      <c r="F24" s="674">
        <f>IF(T!$A$4&gt;=F$50,INDEX([2]DS!$B38:$AK38,1,3*MONTH(F$5&amp;$A$3)-2),"")</f>
        <v>197840</v>
      </c>
      <c r="G24" s="673">
        <f>IF(T!$A$4&gt;=G$50,INDEX([2]DS!$B38:$AK38,1,3*MONTH(G$5&amp;$A$3)-2),"")</f>
        <v>197680</v>
      </c>
      <c r="H24" s="672">
        <f>IF(T!$A$4&gt;=H$50,INDEX([2]DS!$B38:$AK38,1,3*MONTH(H$5&amp;$A$3)-2),"")</f>
        <v>197545</v>
      </c>
      <c r="I24" s="675">
        <f>IF(T!$A$4&gt;=I$50,INDEX([2]DS!$B38:$AK38,1,3*MONTH(I$5&amp;$A$3)-2),"")</f>
        <v>197387</v>
      </c>
      <c r="J24" s="672" t="str">
        <f>IF(T!$A$4&gt;=J$50,INDEX([2]DS!$B38:$AK38,1,3*MONTH(J$5&amp;$A$3)-2),"")</f>
        <v/>
      </c>
      <c r="K24" s="672" t="str">
        <f>IF(T!$A$4&gt;=K$50,INDEX([2]DS!$B38:$AK38,1,3*MONTH(K$5&amp;$A$3)-2),"")</f>
        <v/>
      </c>
      <c r="L24" s="675" t="str">
        <f>IF(T!$A$4&gt;=L$50,INDEX([2]DS!$B38:$AK38,1,3*MONTH(L$5&amp;$A$3)-2),"")</f>
        <v/>
      </c>
      <c r="M24" s="672" t="str">
        <f>IF(T!$A$4&gt;=M$50,INDEX([2]DS!$B38:$AK38,1,3*MONTH(M$5&amp;$A$3)-2),"")</f>
        <v/>
      </c>
      <c r="N24" s="672" t="str">
        <f>IF(T!$A$4&gt;=N$50,INDEX([2]DS!$B38:$AK38,1,3*MONTH(N$5&amp;$A$3)-2),"")</f>
        <v/>
      </c>
      <c r="O24" s="672" t="str">
        <f>IF(T!$A$4&gt;=O$50,INDEX([2]DS!$B38:$AK38,1,3*MONTH(O$5&amp;$A$3)-2),"")</f>
        <v/>
      </c>
      <c r="P24" s="687" t="str">
        <f>O24</f>
        <v/>
      </c>
    </row>
    <row r="25" spans="1:16" ht="14.1" customHeight="1" x14ac:dyDescent="0.2">
      <c r="A25" s="875"/>
      <c r="B25" s="569" t="s">
        <v>258</v>
      </c>
      <c r="C25" s="568" t="s">
        <v>251</v>
      </c>
      <c r="D25" s="676">
        <f>IF(T!$A$4&gt;=D$50,D24/D$42,"")</f>
        <v>6.946883770165678E-2</v>
      </c>
      <c r="E25" s="684">
        <f>IF(T!$A$4&gt;=E$50,E24/E$42,"")</f>
        <v>6.9459470274831694E-2</v>
      </c>
      <c r="F25" s="677">
        <f>IF(T!$A$4&gt;=F$50,F24/F$42,"")</f>
        <v>6.9481515612971376E-2</v>
      </c>
      <c r="G25" s="676">
        <f>IF(T!$A$4&gt;=G$50,G24/G$42,"")</f>
        <v>6.9457352138726378E-2</v>
      </c>
      <c r="H25" s="388">
        <f>IF(T!$A$4&gt;=H$50,H24/H$42,"")</f>
        <v>6.943726796539261E-2</v>
      </c>
      <c r="I25" s="678">
        <f>IF(T!$A$4&gt;=I$50,I24/I$42,"")</f>
        <v>6.9420211615462663E-2</v>
      </c>
      <c r="J25" s="388" t="str">
        <f>IF(T!$A$4&gt;=J$50,J24/J$42,"")</f>
        <v/>
      </c>
      <c r="K25" s="388" t="str">
        <f>IF(T!$A$4&gt;=K$50,K24/K$42,"")</f>
        <v/>
      </c>
      <c r="L25" s="678" t="str">
        <f>IF(T!$A$4&gt;=L$50,L24/L$42,"")</f>
        <v/>
      </c>
      <c r="M25" s="388" t="str">
        <f>IF(T!$A$4&gt;=M$50,M24/M$42,"")</f>
        <v/>
      </c>
      <c r="N25" s="388" t="str">
        <f>IF(T!$A$4&gt;=N$50,N24/N$42,"")</f>
        <v/>
      </c>
      <c r="O25" s="388" t="str">
        <f>IF(T!$A$4&gt;=O$50,O24/O$42,"")</f>
        <v/>
      </c>
      <c r="P25" s="685" t="str">
        <f>IF(T!$A$4&gt;=O$50,P24/P$42,"")</f>
        <v/>
      </c>
    </row>
    <row r="26" spans="1:16" ht="5.0999999999999996" customHeight="1" x14ac:dyDescent="0.2">
      <c r="A26" s="876"/>
      <c r="B26" s="579"/>
      <c r="C26" s="577"/>
      <c r="D26" s="547"/>
      <c r="E26" s="547"/>
      <c r="F26" s="578"/>
      <c r="G26" s="547"/>
      <c r="H26" s="549"/>
      <c r="I26" s="550"/>
      <c r="J26" s="549"/>
      <c r="K26" s="549"/>
      <c r="L26" s="550"/>
      <c r="M26" s="549"/>
      <c r="N26" s="549"/>
      <c r="O26" s="549"/>
      <c r="P26" s="591"/>
    </row>
    <row r="27" spans="1:16" ht="5.0999999999999996" customHeight="1" x14ac:dyDescent="0.2">
      <c r="A27" s="879" t="s">
        <v>9</v>
      </c>
      <c r="B27" s="519"/>
      <c r="C27" s="520"/>
      <c r="D27" s="499"/>
      <c r="E27" s="499"/>
      <c r="F27" s="521"/>
      <c r="G27" s="499"/>
      <c r="H27" s="499"/>
      <c r="I27" s="521"/>
      <c r="J27" s="499"/>
      <c r="K27" s="499"/>
      <c r="L27" s="521"/>
      <c r="M27" s="499"/>
      <c r="N27" s="499"/>
      <c r="O27" s="686"/>
      <c r="P27" s="589"/>
    </row>
    <row r="28" spans="1:16" ht="14.1" customHeight="1" x14ac:dyDescent="0.2">
      <c r="A28" s="875"/>
      <c r="B28" s="98" t="s">
        <v>259</v>
      </c>
      <c r="C28" s="568" t="s">
        <v>250</v>
      </c>
      <c r="D28" s="543">
        <f>IF(T!$A$4&gt;=D$50,INDEX([2]DS!$B39:$AK39,1,3*MONTH(D$5&amp;$A$3)-1)/1000,"")</f>
        <v>380.09252846704175</v>
      </c>
      <c r="E28" s="543">
        <f>IF(T!$A$4&gt;=E$50,INDEX([2]DS!$B39:$AK39,1,3*MONTH(E$5&amp;$A$3)-1)/1000,"")</f>
        <v>345.72292906950554</v>
      </c>
      <c r="F28" s="570">
        <f>IF(T!$A$4&gt;=F$50,INDEX([2]DS!$B39:$AK39,1,3*MONTH(F$5&amp;$A$3)-1)/1000,"")</f>
        <v>279.45456243630036</v>
      </c>
      <c r="G28" s="543">
        <f>IF(T!$A$4&gt;=G$50,INDEX([2]DS!$B39:$AK39,1,3*MONTH(G$5&amp;$A$3)-1)/1000,"")</f>
        <v>174.77195921512549</v>
      </c>
      <c r="H28" s="530">
        <f>IF(T!$A$4&gt;=H$50,INDEX([2]DS!$B39:$AK39,1,3*MONTH(H$5&amp;$A$3)-1)/1000,"")</f>
        <v>77.136066298959577</v>
      </c>
      <c r="I28" s="545">
        <f>IF(T!$A$4&gt;=I$50,INDEX([2]DS!$B39:$AK39,1,3*MONTH(I$5&amp;$A$3)-1)/1000,"")</f>
        <v>39.043001396776461</v>
      </c>
      <c r="J28" s="530" t="str">
        <f>IF(T!$A$4&gt;=J$50,INDEX([2]DS!$B39:$AK39,1,3*MONTH(J$5&amp;$A$3)-1)/1000,"")</f>
        <v/>
      </c>
      <c r="K28" s="530" t="str">
        <f>IF(T!$A$4&gt;=K$50,INDEX([2]DS!$B39:$AK39,1,3*MONTH(K$5&amp;$A$3)-1)/1000,"")</f>
        <v/>
      </c>
      <c r="L28" s="545" t="str">
        <f>IF(T!$A$4&gt;=L$50,INDEX([2]DS!$B39:$AK39,1,3*MONTH(L$5&amp;$A$3)-1)/1000,"")</f>
        <v/>
      </c>
      <c r="M28" s="530" t="str">
        <f>IF(T!$A$4&gt;=M$50,INDEX([2]DS!$B39:$AK39,1,3*MONTH(M$5&amp;$A$3)-1)/1000,"")</f>
        <v/>
      </c>
      <c r="N28" s="530" t="str">
        <f>IF(T!$A$4&gt;=N$50,INDEX([2]DS!$B39:$AK39,1,3*MONTH(N$5&amp;$A$3)-1)/1000,"")</f>
        <v/>
      </c>
      <c r="O28" s="530" t="str">
        <f>IF(T!$A$4&gt;=O$50,INDEX([2]DS!$B39:$AK39,1,3*MONTH(O$5&amp;$A$3)-1)/1000,"")</f>
        <v/>
      </c>
      <c r="P28" s="590">
        <f>SUM(D28:O28)</f>
        <v>1296.2210468837091</v>
      </c>
    </row>
    <row r="29" spans="1:16" ht="14.1" customHeight="1" x14ac:dyDescent="0.2">
      <c r="A29" s="875"/>
      <c r="B29" s="98" t="s">
        <v>259</v>
      </c>
      <c r="C29" s="568" t="s">
        <v>303</v>
      </c>
      <c r="D29" s="543">
        <f>IF(T!$A$4&gt;=D$50,INDEX([2]DS!$B39:$AK39,1,3*MONTH(D$5&amp;$A$3))/1000,"")</f>
        <v>4040.0918949251254</v>
      </c>
      <c r="E29" s="543">
        <f>IF(T!$A$4&gt;=E$50,INDEX([2]DS!$B39:$AK39,1,3*MONTH(E$5&amp;$A$3))/1000,"")</f>
        <v>3676.2133806149886</v>
      </c>
      <c r="F29" s="570">
        <f>IF(T!$A$4&gt;=F$50,INDEX([2]DS!$B39:$AK39,1,3*MONTH(F$5&amp;$A$3))/1000,"")</f>
        <v>2970.9536981429555</v>
      </c>
      <c r="G29" s="543">
        <f>IF(T!$A$4&gt;=G$50,INDEX([2]DS!$B39:$AK39,1,3*MONTH(G$5&amp;$A$3))/1000,"")</f>
        <v>1859.4300816773416</v>
      </c>
      <c r="H29" s="530">
        <f>IF(T!$A$4&gt;=H$50,INDEX([2]DS!$B39:$AK39,1,3*MONTH(H$5&amp;$A$3))/1000,"")</f>
        <v>825.57538601090027</v>
      </c>
      <c r="I29" s="545">
        <f>IF(T!$A$4&gt;=I$50,INDEX([2]DS!$B39:$AK39,1,3*MONTH(I$5&amp;$A$3))/1000,"")</f>
        <v>417.97597447660297</v>
      </c>
      <c r="J29" s="530" t="str">
        <f>IF(T!$A$4&gt;=J$50,INDEX([2]DS!$B39:$AK39,1,3*MONTH(J$5&amp;$A$3))/1000,"")</f>
        <v/>
      </c>
      <c r="K29" s="530" t="str">
        <f>IF(T!$A$4&gt;=K$50,INDEX([2]DS!$B39:$AK39,1,3*MONTH(K$5&amp;$A$3))/1000,"")</f>
        <v/>
      </c>
      <c r="L29" s="545" t="str">
        <f>IF(T!$A$4&gt;=L$50,INDEX([2]DS!$B39:$AK39,1,3*MONTH(L$5&amp;$A$3))/1000,"")</f>
        <v/>
      </c>
      <c r="M29" s="530" t="str">
        <f>IF(T!$A$4&gt;=M$50,INDEX([2]DS!$B39:$AK39,1,3*MONTH(M$5&amp;$A$3))/1000,"")</f>
        <v/>
      </c>
      <c r="N29" s="530" t="str">
        <f>IF(T!$A$4&gt;=N$50,INDEX([2]DS!$B39:$AK39,1,3*MONTH(N$5&amp;$A$3))/1000,"")</f>
        <v/>
      </c>
      <c r="O29" s="530" t="str">
        <f>IF(T!$A$4&gt;=O$50,INDEX([2]DS!$B39:$AK39,1,3*MONTH(O$5&amp;$A$3))/1000,"")</f>
        <v/>
      </c>
      <c r="P29" s="590">
        <f t="shared" ref="P29" si="5">SUM(D29:O29)</f>
        <v>13790.240415847915</v>
      </c>
    </row>
    <row r="30" spans="1:16" ht="14.1" customHeight="1" x14ac:dyDescent="0.2">
      <c r="A30" s="875"/>
      <c r="B30" s="732" t="s">
        <v>257</v>
      </c>
      <c r="C30" s="733" t="s">
        <v>251</v>
      </c>
      <c r="D30" s="734">
        <f>IF(T!$A$4&gt;=D$50,D28/D$40,"")</f>
        <v>0.35152066884388633</v>
      </c>
      <c r="E30" s="734">
        <f>IF(T!$A$4&gt;=E$50,E28/E$40,"")</f>
        <v>0.34926201708418608</v>
      </c>
      <c r="F30" s="735">
        <f>IF(T!$A$4&gt;=F$50,F28/F$40,"")</f>
        <v>0.32286988989858412</v>
      </c>
      <c r="G30" s="734">
        <f>IF(T!$A$4&gt;=G$50,G28/G$40,"")</f>
        <v>0.28061901705768372</v>
      </c>
      <c r="H30" s="736">
        <f>IF(T!$A$4&gt;=H$50,H28/H$40,"")</f>
        <v>0.1905668124573833</v>
      </c>
      <c r="I30" s="737">
        <f>IF(T!$A$4&gt;=I$50,I28/I$40,"")</f>
        <v>0.1241794397243443</v>
      </c>
      <c r="J30" s="736" t="str">
        <f>IF(T!$A$4&gt;=J$50,J28/J$40,"")</f>
        <v/>
      </c>
      <c r="K30" s="736" t="str">
        <f>IF(T!$A$4&gt;=K$50,K28/K$40,"")</f>
        <v/>
      </c>
      <c r="L30" s="737" t="str">
        <f>IF(T!$A$4&gt;=L$50,L28/L$40,"")</f>
        <v/>
      </c>
      <c r="M30" s="736" t="str">
        <f>IF(T!$A$4&gt;=M$50,M28/M$40,"")</f>
        <v/>
      </c>
      <c r="N30" s="736" t="str">
        <f>IF(T!$A$4&gt;=N$50,N28/N$40,"")</f>
        <v/>
      </c>
      <c r="O30" s="736" t="str">
        <f>IF(T!$A$4&gt;=O$50,O28/O$40,"")</f>
        <v/>
      </c>
      <c r="P30" s="738">
        <f t="shared" ref="P30" si="6">P28/P$40</f>
        <v>0.30294958685509216</v>
      </c>
    </row>
    <row r="31" spans="1:16" ht="14.1" customHeight="1" x14ac:dyDescent="0.2">
      <c r="A31" s="875"/>
      <c r="B31" s="98" t="s">
        <v>0</v>
      </c>
      <c r="C31" s="568"/>
      <c r="D31" s="673">
        <f>IF(T!$A$4&gt;=D$50,INDEX([2]DS!$B39:$AK39,1,3*MONTH(D$5&amp;$A$3)-2),"")</f>
        <v>2642786</v>
      </c>
      <c r="E31" s="673">
        <f>IF(T!$A$4&gt;=E$50,INDEX([2]DS!$B39:$AK39,1,3*MONTH(E$5&amp;$A$3)-2),"")</f>
        <v>2642487</v>
      </c>
      <c r="F31" s="674">
        <f>IF(T!$A$4&gt;=F$50,INDEX([2]DS!$B39:$AK39,1,3*MONTH(F$5&amp;$A$3)-2),"")</f>
        <v>2641197</v>
      </c>
      <c r="G31" s="673">
        <f>IF(T!$A$4&gt;=G$50,INDEX([2]DS!$B39:$AK39,1,3*MONTH(G$5&amp;$A$3)-2),"")</f>
        <v>2640050</v>
      </c>
      <c r="H31" s="672">
        <f>IF(T!$A$4&gt;=H$50,INDEX([2]DS!$B39:$AK39,1,3*MONTH(H$5&amp;$A$3)-2),"")</f>
        <v>2639058</v>
      </c>
      <c r="I31" s="675">
        <f>IF(T!$A$4&gt;=I$50,INDEX([2]DS!$B39:$AK39,1,3*MONTH(I$5&amp;$A$3)-2),"")</f>
        <v>2637627</v>
      </c>
      <c r="J31" s="672" t="str">
        <f>IF(T!$A$4&gt;=J$50,INDEX([2]DS!$B39:$AK39,1,3*MONTH(J$5&amp;$A$3)-2),"")</f>
        <v/>
      </c>
      <c r="K31" s="672" t="str">
        <f>IF(T!$A$4&gt;=K$50,INDEX([2]DS!$B39:$AK39,1,3*MONTH(K$5&amp;$A$3)-2),"")</f>
        <v/>
      </c>
      <c r="L31" s="675" t="str">
        <f>IF(T!$A$4&gt;=L$50,INDEX([2]DS!$B39:$AK39,1,3*MONTH(L$5&amp;$A$3)-2),"")</f>
        <v/>
      </c>
      <c r="M31" s="672" t="str">
        <f>IF(T!$A$4&gt;=M$50,INDEX([2]DS!$B39:$AK39,1,3*MONTH(M$5&amp;$A$3)-2),"")</f>
        <v/>
      </c>
      <c r="N31" s="672" t="str">
        <f>IF(T!$A$4&gt;=N$50,INDEX([2]DS!$B39:$AK39,1,3*MONTH(N$5&amp;$A$3)-2),"")</f>
        <v/>
      </c>
      <c r="O31" s="672" t="str">
        <f>IF(T!$A$4&gt;=O$50,INDEX([2]DS!$B39:$AK39,1,3*MONTH(O$5&amp;$A$3)-2),"")</f>
        <v/>
      </c>
      <c r="P31" s="687" t="str">
        <f>O31</f>
        <v/>
      </c>
    </row>
    <row r="32" spans="1:16" ht="14.1" customHeight="1" x14ac:dyDescent="0.2">
      <c r="A32" s="875"/>
      <c r="B32" s="569" t="s">
        <v>258</v>
      </c>
      <c r="C32" s="568" t="s">
        <v>251</v>
      </c>
      <c r="D32" s="676">
        <f>IF(T!$A$4&gt;=D$50,D31/D$42,"")</f>
        <v>0.92757062813163793</v>
      </c>
      <c r="E32" s="684">
        <f>IF(T!$A$4&gt;=E$50,E31/E$42,"")</f>
        <v>0.92757963183068792</v>
      </c>
      <c r="F32" s="677">
        <f>IF(T!$A$4&gt;=F$50,F31/F$42,"")</f>
        <v>0.92758982305111792</v>
      </c>
      <c r="G32" s="676">
        <f>IF(T!$A$4&gt;=G$50,G31/G$42,"")</f>
        <v>0.92761474359492391</v>
      </c>
      <c r="H32" s="388">
        <f>IF(T!$A$4&gt;=H$50,H31/H$42,"")</f>
        <v>0.92763156507232836</v>
      </c>
      <c r="I32" s="678">
        <f>IF(T!$A$4&gt;=I$50,I31/I$42,"")</f>
        <v>0.92764277537354511</v>
      </c>
      <c r="J32" s="388" t="str">
        <f>IF(T!$A$4&gt;=J$50,J31/J$42,"")</f>
        <v/>
      </c>
      <c r="K32" s="388" t="str">
        <f>IF(T!$A$4&gt;=K$50,K31/K$42,"")</f>
        <v/>
      </c>
      <c r="L32" s="678" t="str">
        <f>IF(T!$A$4&gt;=L$50,L31/L$42,"")</f>
        <v/>
      </c>
      <c r="M32" s="388" t="str">
        <f>IF(T!$A$4&gt;=M$50,M31/M$42,"")</f>
        <v/>
      </c>
      <c r="N32" s="388" t="str">
        <f>IF(T!$A$4&gt;=N$50,N31/N$42,"")</f>
        <v/>
      </c>
      <c r="O32" s="388" t="str">
        <f>IF(T!$A$4&gt;=O$50,O31/O$42,"")</f>
        <v/>
      </c>
      <c r="P32" s="685" t="str">
        <f>IF(T!$A$4&gt;=O$50,P31/P$42,"")</f>
        <v/>
      </c>
    </row>
    <row r="33" spans="1:16" ht="5.0999999999999996" customHeight="1" x14ac:dyDescent="0.2">
      <c r="A33" s="876"/>
      <c r="B33" s="579"/>
      <c r="C33" s="577"/>
      <c r="D33" s="547"/>
      <c r="E33" s="547"/>
      <c r="F33" s="578"/>
      <c r="G33" s="547"/>
      <c r="H33" s="549"/>
      <c r="I33" s="550"/>
      <c r="J33" s="549"/>
      <c r="K33" s="549"/>
      <c r="L33" s="550"/>
      <c r="M33" s="549"/>
      <c r="N33" s="549"/>
      <c r="O33" s="549"/>
      <c r="P33" s="591"/>
    </row>
    <row r="34" spans="1:16" ht="5.0999999999999996" customHeight="1" x14ac:dyDescent="0.2">
      <c r="A34" s="882" t="s">
        <v>178</v>
      </c>
      <c r="B34" s="519"/>
      <c r="C34" s="581"/>
      <c r="D34" s="582"/>
      <c r="E34" s="582"/>
      <c r="F34" s="583"/>
      <c r="G34" s="582"/>
      <c r="H34" s="582"/>
      <c r="I34" s="583"/>
      <c r="J34" s="582"/>
      <c r="K34" s="582"/>
      <c r="L34" s="583"/>
      <c r="M34" s="582"/>
      <c r="N34" s="582"/>
      <c r="O34" s="582"/>
      <c r="P34" s="592"/>
    </row>
    <row r="35" spans="1:16" ht="14.1" customHeight="1" x14ac:dyDescent="0.2">
      <c r="A35" s="883"/>
      <c r="B35" s="98" t="s">
        <v>259</v>
      </c>
      <c r="C35" s="568" t="s">
        <v>250</v>
      </c>
      <c r="D35" s="543">
        <f>IF(T!$A$4&gt;=D$50,INDEX([2]DS!$B40:$AK40,1,3*MONTH(D$5&amp;$A$3)-1)/1000,"")</f>
        <v>20.659968092408928</v>
      </c>
      <c r="E35" s="543">
        <f>IF(T!$A$4&gt;=E$50,INDEX([2]DS!$B40:$AK40,1,3*MONTH(E$5&amp;$A$3)-1)/1000,"")</f>
        <v>20.358369064683973</v>
      </c>
      <c r="F35" s="570">
        <f>IF(T!$A$4&gt;=F$50,INDEX([2]DS!$B40:$AK40,1,3*MONTH(F$5&amp;$A$3)-1)/1000,"")</f>
        <v>16.79553672233488</v>
      </c>
      <c r="G35" s="543">
        <f>IF(T!$A$4&gt;=G$50,INDEX([2]DS!$B40:$AK40,1,3*MONTH(G$5&amp;$A$3)-1)/1000,"")</f>
        <v>13.251335840089334</v>
      </c>
      <c r="H35" s="530">
        <f>IF(T!$A$4&gt;=H$50,INDEX([2]DS!$B40:$AK40,1,3*MONTH(H$5&amp;$A$3)-1)/1000,"")</f>
        <v>9.2838074360848868</v>
      </c>
      <c r="I35" s="545">
        <f>IF(T!$A$4&gt;=I$50,INDEX([2]DS!$B40:$AK40,1,3*MONTH(I$5&amp;$A$3)-1)/1000,"")</f>
        <v>7.1425826043619889</v>
      </c>
      <c r="J35" s="530" t="str">
        <f>IF(T!$A$4&gt;=J$50,INDEX([2]DS!$B40:$AK40,1,3*MONTH(J$5&amp;$A$3)-1)/1000,"")</f>
        <v/>
      </c>
      <c r="K35" s="530" t="str">
        <f>IF(T!$A$4&gt;=K$50,INDEX([2]DS!$B40:$AK40,1,3*MONTH(K$5&amp;$A$3)-1)/1000,"")</f>
        <v/>
      </c>
      <c r="L35" s="545" t="str">
        <f>IF(T!$A$4&gt;=L$50,INDEX([2]DS!$B40:$AK40,1,3*MONTH(L$5&amp;$A$3)-1)/1000,"")</f>
        <v/>
      </c>
      <c r="M35" s="530" t="str">
        <f>IF(T!$A$4&gt;=M$50,INDEX([2]DS!$B40:$AK40,1,3*MONTH(M$5&amp;$A$3)-1)/1000,"")</f>
        <v/>
      </c>
      <c r="N35" s="530" t="str">
        <f>IF(T!$A$4&gt;=N$50,INDEX([2]DS!$B40:$AK40,1,3*MONTH(N$5&amp;$A$3)-1)/1000,"")</f>
        <v/>
      </c>
      <c r="O35" s="530" t="str">
        <f>IF(T!$A$4&gt;=O$50,INDEX([2]DS!$B40:$AK40,1,3*MONTH(O$5&amp;$A$3)-1)/1000,"")</f>
        <v/>
      </c>
      <c r="P35" s="590">
        <f>SUM(D35:O35)</f>
        <v>87.491599759963989</v>
      </c>
    </row>
    <row r="36" spans="1:16" ht="14.1" customHeight="1" x14ac:dyDescent="0.2">
      <c r="A36" s="883"/>
      <c r="B36" s="98" t="s">
        <v>259</v>
      </c>
      <c r="C36" s="568" t="s">
        <v>303</v>
      </c>
      <c r="D36" s="543">
        <f>IF(T!$A$4&gt;=D$50,INDEX([2]DS!$B40:$AK40,1,3*MONTH(D$5&amp;$A$3))/1000,"")</f>
        <v>219.62695818</v>
      </c>
      <c r="E36" s="543">
        <f>IF(T!$A$4&gt;=E$50,INDEX([2]DS!$B40:$AK40,1,3*MONTH(E$5&amp;$A$3))/1000,"")</f>
        <v>216.47732603215218</v>
      </c>
      <c r="F36" s="570">
        <f>IF(T!$A$4&gt;=F$50,INDEX([2]DS!$B40:$AK40,1,3*MONTH(F$5&amp;$A$3))/1000,"")</f>
        <v>178.82983849000001</v>
      </c>
      <c r="G36" s="543">
        <f>IF(T!$A$4&gt;=G$50,INDEX([2]DS!$B40:$AK40,1,3*MONTH(G$5&amp;$A$3))/1000,"")</f>
        <v>141.00974815999996</v>
      </c>
      <c r="H36" s="530">
        <f>IF(T!$A$4&gt;=H$50,INDEX([2]DS!$B40:$AK40,1,3*MONTH(H$5&amp;$A$3))/1000,"")</f>
        <v>99.303309700000014</v>
      </c>
      <c r="I36" s="545">
        <f>IF(T!$A$4&gt;=I$50,INDEX([2]DS!$B40:$AK40,1,3*MONTH(I$5&amp;$A$3))/1000,"")</f>
        <v>76.709236539999992</v>
      </c>
      <c r="J36" s="530" t="str">
        <f>IF(T!$A$4&gt;=J$50,INDEX([2]DS!$B40:$AK40,1,3*MONTH(J$5&amp;$A$3))/1000,"")</f>
        <v/>
      </c>
      <c r="K36" s="530" t="str">
        <f>IF(T!$A$4&gt;=K$50,INDEX([2]DS!$B40:$AK40,1,3*MONTH(K$5&amp;$A$3))/1000,"")</f>
        <v/>
      </c>
      <c r="L36" s="545" t="str">
        <f>IF(T!$A$4&gt;=L$50,INDEX([2]DS!$B40:$AK40,1,3*MONTH(L$5&amp;$A$3))/1000,"")</f>
        <v/>
      </c>
      <c r="M36" s="530" t="str">
        <f>IF(T!$A$4&gt;=M$50,INDEX([2]DS!$B40:$AK40,1,3*MONTH(M$5&amp;$A$3))/1000,"")</f>
        <v/>
      </c>
      <c r="N36" s="530" t="str">
        <f>IF(T!$A$4&gt;=N$50,INDEX([2]DS!$B40:$AK40,1,3*MONTH(N$5&amp;$A$3))/1000,"")</f>
        <v/>
      </c>
      <c r="O36" s="530" t="str">
        <f>IF(T!$A$4&gt;=O$50,INDEX([2]DS!$B40:$AK40,1,3*MONTH(O$5&amp;$A$3))/1000,"")</f>
        <v/>
      </c>
      <c r="P36" s="590">
        <f>SUM(D36:O36)</f>
        <v>931.95641710215216</v>
      </c>
    </row>
    <row r="37" spans="1:16" ht="14.1" customHeight="1" x14ac:dyDescent="0.2">
      <c r="A37" s="883"/>
      <c r="B37" s="569" t="s">
        <v>257</v>
      </c>
      <c r="C37" s="576" t="s">
        <v>251</v>
      </c>
      <c r="D37" s="676">
        <f>IF(T!$A$4&gt;=D$50,D35/D$40,"")</f>
        <v>1.9106941752912325E-2</v>
      </c>
      <c r="E37" s="676">
        <f>IF(T!$A$4&gt;=E$50,E35/E$40,"")</f>
        <v>2.0566773118615787E-2</v>
      </c>
      <c r="F37" s="677">
        <f>IF(T!$A$4&gt;=F$50,F35/F$40,"")</f>
        <v>1.9404847231878602E-2</v>
      </c>
      <c r="G37" s="676">
        <f>IF(T!$A$4&gt;=G$50,G35/G$40,"")</f>
        <v>2.1276736009865037E-2</v>
      </c>
      <c r="H37" s="388">
        <f>IF(T!$A$4&gt;=H$50,H35/H$40,"")</f>
        <v>2.2935906320474524E-2</v>
      </c>
      <c r="I37" s="678">
        <f>IF(T!$A$4&gt;=I$50,I35/I$40,"")</f>
        <v>2.2717564589379919E-2</v>
      </c>
      <c r="J37" s="388" t="str">
        <f>IF(T!$A$4&gt;=J$50,J35/J$40,"")</f>
        <v/>
      </c>
      <c r="K37" s="388" t="str">
        <f>IF(T!$A$4&gt;=K$50,K35/K$40,"")</f>
        <v/>
      </c>
      <c r="L37" s="678" t="str">
        <f>IF(T!$A$4&gt;=L$50,L35/L$40,"")</f>
        <v/>
      </c>
      <c r="M37" s="388" t="str">
        <f>IF(T!$A$4&gt;=M$50,M35/M$40,"")</f>
        <v/>
      </c>
      <c r="N37" s="388" t="str">
        <f>IF(T!$A$4&gt;=N$50,N35/N$40,"")</f>
        <v/>
      </c>
      <c r="O37" s="388" t="str">
        <f>IF(T!$A$4&gt;=O$50,O35/O$40,"")</f>
        <v/>
      </c>
      <c r="P37" s="685">
        <f t="shared" ref="P37" si="7">P35/P$40</f>
        <v>2.0448320959064108E-2</v>
      </c>
    </row>
    <row r="38" spans="1:16" ht="5.0999999999999996" customHeight="1" thickBot="1" x14ac:dyDescent="0.25">
      <c r="A38" s="884"/>
      <c r="B38" s="584"/>
      <c r="C38" s="585"/>
      <c r="D38" s="586"/>
      <c r="E38" s="586"/>
      <c r="F38" s="586"/>
      <c r="G38" s="584"/>
      <c r="H38" s="586"/>
      <c r="I38" s="587"/>
      <c r="J38" s="586"/>
      <c r="K38" s="586"/>
      <c r="L38" s="586"/>
      <c r="M38" s="584"/>
      <c r="N38" s="586"/>
      <c r="O38" s="586"/>
      <c r="P38" s="593"/>
    </row>
    <row r="39" spans="1:16" ht="5.0999999999999996" customHeight="1" thickTop="1" x14ac:dyDescent="0.2">
      <c r="A39" s="885" t="s">
        <v>5</v>
      </c>
      <c r="B39" s="598"/>
      <c r="C39" s="599"/>
      <c r="D39" s="600"/>
      <c r="E39" s="600"/>
      <c r="F39" s="601"/>
      <c r="G39" s="600"/>
      <c r="H39" s="600"/>
      <c r="I39" s="601"/>
      <c r="J39" s="600"/>
      <c r="K39" s="600"/>
      <c r="L39" s="601"/>
      <c r="M39" s="600"/>
      <c r="N39" s="600"/>
      <c r="O39" s="600"/>
      <c r="P39" s="602"/>
    </row>
    <row r="40" spans="1:16" x14ac:dyDescent="0.2">
      <c r="A40" s="885"/>
      <c r="B40" s="564" t="s">
        <v>259</v>
      </c>
      <c r="C40" s="566" t="s">
        <v>250</v>
      </c>
      <c r="D40" s="522">
        <f>IF(T!$A$4&gt;=D$50,D7+D14+D21+D28+D35,"")</f>
        <v>1081.2807386749837</v>
      </c>
      <c r="E40" s="523">
        <f>IF(T!$A$4&gt;=E$50,E7+E14+E21+E28+E35,"")</f>
        <v>989.86695420181502</v>
      </c>
      <c r="F40" s="524">
        <f>IF(T!$A$4&gt;=F$50,F7+F14+F21+F28+F35,"")</f>
        <v>865.53305582034659</v>
      </c>
      <c r="G40" s="523">
        <f>IF(T!$A$4&gt;=G$50,G7+G14+G21+G28+G35,"")</f>
        <v>622.80867864061963</v>
      </c>
      <c r="H40" s="522">
        <f>IF(T!$A$4&gt;=H$50,H7+H14+H21+H28+H35,"")</f>
        <v>404.77177166517185</v>
      </c>
      <c r="I40" s="525">
        <f>IF(T!$A$4&gt;=I$50,I7+I14+I21+I28+I35,"")</f>
        <v>314.40793647841224</v>
      </c>
      <c r="J40" s="522" t="str">
        <f>IF(T!$A$4&gt;=J$50,J7+J14+J21+J28+J35,"")</f>
        <v/>
      </c>
      <c r="K40" s="522" t="str">
        <f>IF(T!$A$4&gt;=K$50,K7+K14+K21+K28+K35,"")</f>
        <v/>
      </c>
      <c r="L40" s="525" t="str">
        <f>IF(T!$A$4&gt;=L$50,L7+L14+L21+L28+L35,"")</f>
        <v/>
      </c>
      <c r="M40" s="522" t="str">
        <f>IF(T!$A$4&gt;=M$50,M7+M14+M21+M28+M35,"")</f>
        <v/>
      </c>
      <c r="N40" s="522" t="str">
        <f>IF(T!$A$4&gt;=N$50,N7+N14+N21+N28+N35,"")</f>
        <v/>
      </c>
      <c r="O40" s="522" t="str">
        <f>IF(T!$A$4&gt;=O$50,O7+O14+O21+O28+O35,"")</f>
        <v/>
      </c>
      <c r="P40" s="595">
        <f>SUM(D40:O40)</f>
        <v>4278.6691354813493</v>
      </c>
    </row>
    <row r="41" spans="1:16" x14ac:dyDescent="0.2">
      <c r="A41" s="885"/>
      <c r="B41" s="739" t="s">
        <v>259</v>
      </c>
      <c r="C41" s="740" t="s">
        <v>303</v>
      </c>
      <c r="D41" s="741">
        <f>IF(T!$A$4&gt;=D$50,D8+D15+D22+D29+D36,"")</f>
        <v>11492.758327891857</v>
      </c>
      <c r="E41" s="741">
        <f>IF(T!$A$4&gt;=E$50,E8+E15+E22+E29+E36,"")</f>
        <v>10525.401374383</v>
      </c>
      <c r="F41" s="742">
        <f>IF(T!$A$4&gt;=F$50,F8+F15+F22+F29+F36,"")</f>
        <v>9201.9028527498376</v>
      </c>
      <c r="G41" s="741">
        <f>IF(T!$A$4&gt;=G$50,G8+G15+G22+G29+G36,"")</f>
        <v>6626.1086613249508</v>
      </c>
      <c r="H41" s="743">
        <f>IF(T!$A$4&gt;=H$50,H8+H15+H22+H29+H36,"")</f>
        <v>4332.1303739099976</v>
      </c>
      <c r="I41" s="744">
        <f>IF(T!$A$4&gt;=I$50,I8+I15+I22+I29+I36,"")</f>
        <v>3367.313609410005</v>
      </c>
      <c r="J41" s="743" t="str">
        <f>IF(T!$A$4&gt;=J$50,J8+J15+J22+J29+J36,"")</f>
        <v/>
      </c>
      <c r="K41" s="743" t="str">
        <f>IF(T!$A$4&gt;=K$50,K8+K15+K22+K29+K36,"")</f>
        <v/>
      </c>
      <c r="L41" s="744" t="str">
        <f>IF(T!$A$4&gt;=L$50,L8+L15+L22+L29+L36,"")</f>
        <v/>
      </c>
      <c r="M41" s="743" t="str">
        <f>IF(T!$A$4&gt;=M$50,M8+M15+M22+M29+M36,"")</f>
        <v/>
      </c>
      <c r="N41" s="743" t="str">
        <f>IF(T!$A$4&gt;=N$50,N8+N15+N22+N29+N36,"")</f>
        <v/>
      </c>
      <c r="O41" s="743" t="str">
        <f>IF(T!$A$4&gt;=O$50,O8+O15+O22+O29+O36,"")</f>
        <v/>
      </c>
      <c r="P41" s="745">
        <f t="shared" ref="P41" si="8">SUM(D41:O41)</f>
        <v>45545.61519966965</v>
      </c>
    </row>
    <row r="42" spans="1:16" x14ac:dyDescent="0.2">
      <c r="A42" s="885"/>
      <c r="B42" s="564" t="s">
        <v>0</v>
      </c>
      <c r="C42" s="566"/>
      <c r="D42" s="679">
        <f>IF(T!$A$4&gt;=D$50,SUM(D10+D17+D24+D31),"")</f>
        <v>2849148</v>
      </c>
      <c r="E42" s="679">
        <f>IF(T!$A$4&gt;=E$50,SUM(E10+E17+E24+E31),"")</f>
        <v>2848798</v>
      </c>
      <c r="F42" s="680">
        <f>IF(T!$A$4&gt;=F$50,SUM(F10+F17+F24+F31),"")</f>
        <v>2847376</v>
      </c>
      <c r="G42" s="679">
        <f>IF(T!$A$4&gt;=G$50,SUM(G10+G17+G24+G31),"")</f>
        <v>2846063</v>
      </c>
      <c r="H42" s="681">
        <f>IF(T!$A$4&gt;=H$50,SUM(H10+H17+H24+H31),"")</f>
        <v>2844942</v>
      </c>
      <c r="I42" s="682">
        <f>IF(T!$A$4&gt;=I$50,SUM(I10+I17+I24+I31),"")</f>
        <v>2843365</v>
      </c>
      <c r="J42" s="681" t="str">
        <f>IF(T!$A$4&gt;=J$50,SUM(J10+J17+J24+J31),"")</f>
        <v/>
      </c>
      <c r="K42" s="681" t="str">
        <f>IF(T!$A$4&gt;=K$50,SUM(K10+K17+K24+K31),"")</f>
        <v/>
      </c>
      <c r="L42" s="682" t="str">
        <f>IF(T!$A$4&gt;=L$50,SUM(L10+L17+L24+L31),"")</f>
        <v/>
      </c>
      <c r="M42" s="681" t="str">
        <f>IF(T!$A$4&gt;=M$50,SUM(M10+M17+M24+M31),"")</f>
        <v/>
      </c>
      <c r="N42" s="681" t="str">
        <f>IF(T!$A$4&gt;=N$50,SUM(N10+N17+N24+N31),"")</f>
        <v/>
      </c>
      <c r="O42" s="681" t="str">
        <f>IF(T!$A$4&gt;=O$50,SUM(O10+O17+O24+O31),"")</f>
        <v/>
      </c>
      <c r="P42" s="688" t="str">
        <f>O42</f>
        <v/>
      </c>
    </row>
    <row r="43" spans="1:16" ht="5.0999999999999996" customHeight="1" x14ac:dyDescent="0.2">
      <c r="A43" s="886"/>
      <c r="B43" s="609"/>
      <c r="C43" s="610"/>
      <c r="D43" s="604"/>
      <c r="E43" s="604"/>
      <c r="F43" s="605"/>
      <c r="G43" s="604"/>
      <c r="H43" s="606"/>
      <c r="I43" s="607"/>
      <c r="J43" s="606"/>
      <c r="K43" s="606"/>
      <c r="L43" s="607"/>
      <c r="M43" s="606"/>
      <c r="N43" s="606"/>
      <c r="O43" s="606"/>
      <c r="P43" s="608"/>
    </row>
    <row r="44" spans="1:16" ht="5.0999999999999996" customHeight="1" x14ac:dyDescent="0.2">
      <c r="B44" s="510"/>
      <c r="C44" s="580"/>
      <c r="G44" s="510"/>
      <c r="H44" s="505"/>
      <c r="I44" s="504"/>
      <c r="M44" s="510"/>
      <c r="N44" s="505"/>
      <c r="O44" s="505"/>
      <c r="P44" s="594"/>
    </row>
    <row r="45" spans="1:16" x14ac:dyDescent="0.2">
      <c r="P45" s="39"/>
    </row>
    <row r="46" spans="1:16" ht="5.0999999999999996" customHeight="1" x14ac:dyDescent="0.2">
      <c r="A46" s="39"/>
      <c r="B46" s="39"/>
      <c r="C46" s="764"/>
      <c r="D46" s="765"/>
      <c r="E46" s="39"/>
      <c r="F46" s="766"/>
      <c r="G46" s="39"/>
      <c r="H46" s="39"/>
      <c r="I46" s="39"/>
      <c r="J46" s="765"/>
      <c r="K46" s="39"/>
      <c r="L46" s="766"/>
      <c r="M46" s="39"/>
      <c r="N46" s="39"/>
      <c r="O46" s="39"/>
      <c r="P46" s="767"/>
    </row>
    <row r="47" spans="1:16" x14ac:dyDescent="0.2">
      <c r="A47" s="880" t="s">
        <v>304</v>
      </c>
      <c r="B47" s="880"/>
      <c r="C47" s="768" t="s">
        <v>305</v>
      </c>
      <c r="D47" s="772">
        <f>IF(T!$A$4&gt;=D$50,INDEX('[9]2015'!$B$6:$AW$6,1,4*D$50-3)/1000,"")</f>
        <v>32.793244577459717</v>
      </c>
      <c r="E47" s="774">
        <f>IF(T!$A$4&gt;=E$50,INDEX('[9]2015'!$B$6:$AW$6,1,4*E$50-3)/1000,"")</f>
        <v>26.878824805038349</v>
      </c>
      <c r="F47" s="775">
        <f>IF(T!$A$4&gt;=F$50,INDEX('[9]2015'!$B$6:$AW$6,1,4*F$50-3)/1000,"")</f>
        <v>20.451244841267822</v>
      </c>
      <c r="G47" s="774">
        <f>IF(T!$A$4&gt;=G$50,INDEX('[9]2015'!$B$6:$AW$6,1,4*G$50-3)/1000,"")</f>
        <v>15.537596976853051</v>
      </c>
      <c r="H47" s="774">
        <f>IF(T!$A$4&gt;=H$50,INDEX('[9]2015'!$B$6:$AW$6,1,4*H$50-3)/1000,"")</f>
        <v>11.702739657456808</v>
      </c>
      <c r="I47" s="774">
        <f>IF(T!$A$4&gt;=I$50,INDEX('[9]2015'!$B$6:$AW$6,1,4*I$50-3)/1000,"")</f>
        <v>9.6252015760092089</v>
      </c>
      <c r="J47" s="772" t="str">
        <f>IF(T!$A$4&gt;=J$50,INDEX('[9]2015'!$B$6:$AW$6,1,4*J$50-3)/1000,"")</f>
        <v/>
      </c>
      <c r="K47" s="774" t="str">
        <f>IF(T!$A$4&gt;=K$50,INDEX('[9]2015'!$B$6:$AW$6,1,4*K$50-3)/1000,"")</f>
        <v/>
      </c>
      <c r="L47" s="775" t="str">
        <f>IF(T!$A$4&gt;=L$50,INDEX('[9]2015'!$B$6:$AW$6,1,4*L$50-3)/1000,"")</f>
        <v/>
      </c>
      <c r="M47" s="774" t="str">
        <f>IF(T!$A$4&gt;=M$50,INDEX('[9]2015'!$B$6:$AW$6,1,4*M$50-3)/1000,"")</f>
        <v/>
      </c>
      <c r="N47" s="774" t="str">
        <f>IF(T!$A$4&gt;=N$50,INDEX('[9]2015'!$B$6:$AW$6,1,4*N$50-3)/1000,"")</f>
        <v/>
      </c>
      <c r="O47" s="774" t="str">
        <f>IF(T!$A$4&gt;=O$50,INDEX('[9]2015'!$B$6:$AW$6,1,4*O$50-3)/1000,"")</f>
        <v/>
      </c>
      <c r="P47" s="769">
        <f>SUM(D47:O47)</f>
        <v>116.98885243408495</v>
      </c>
    </row>
    <row r="48" spans="1:16" x14ac:dyDescent="0.2">
      <c r="A48" s="881" t="s">
        <v>304</v>
      </c>
      <c r="B48" s="881"/>
      <c r="C48" s="770" t="s">
        <v>303</v>
      </c>
      <c r="D48" s="773">
        <f>IF(T!$A$4&gt;=D$50,INDEX('[9]2015'!$B$6:$AW$6,1,4*D$50-2)/1000,"")</f>
        <v>348.5541000000004</v>
      </c>
      <c r="E48" s="776">
        <f>IF(T!$A$4&gt;=E$50,INDEX('[9]2015'!$B$6:$AW$6,1,4*E$50-2)/1000,"")</f>
        <v>285.80650999999995</v>
      </c>
      <c r="F48" s="777">
        <f>IF(T!$A$4&gt;=F$50,INDEX('[9]2015'!$B$6:$AW$6,1,4*F$50-2)/1000,"")</f>
        <v>217.42712999999995</v>
      </c>
      <c r="G48" s="776">
        <f>IF(T!$A$4&gt;=G$50,INDEX('[9]2015'!$B$6:$AW$6,1,4*G$50-2)/1000,"")</f>
        <v>165.30567000000008</v>
      </c>
      <c r="H48" s="776">
        <f>IF(T!$A$4&gt;=H$50,INDEX('[9]2015'!$B$6:$AW$6,1,4*H$50-2)/1000,"")</f>
        <v>125.25032000000007</v>
      </c>
      <c r="I48" s="776">
        <f>IF(T!$A$4&gt;=I$50,INDEX('[9]2015'!$B$6:$AW$6,1,4*I$50-2)/1000,"")</f>
        <v>103.08605000000003</v>
      </c>
      <c r="J48" s="773" t="str">
        <f>IF(T!$A$4&gt;=J$50,INDEX('[9]2015'!$B$6:$AW$6,1,4*J$50-2)/1000,"")</f>
        <v/>
      </c>
      <c r="K48" s="776" t="str">
        <f>IF(T!$A$4&gt;=K$50,INDEX('[9]2015'!$B$6:$AW$6,1,4*K$50-2)/1000,"")</f>
        <v/>
      </c>
      <c r="L48" s="777" t="str">
        <f>IF(T!$A$4&gt;=L$50,INDEX('[9]2015'!$B$6:$AW$6,1,4*L$50-2)/1000,"")</f>
        <v/>
      </c>
      <c r="M48" s="776" t="str">
        <f>IF(T!$A$4&gt;=M$50,INDEX('[9]2015'!$B$6:$AW$6,1,4*M$50-2)/1000,"")</f>
        <v/>
      </c>
      <c r="N48" s="776" t="str">
        <f>IF(T!$A$4&gt;=N$50,INDEX('[9]2015'!$B$6:$AW$6,1,4*N$50-2)/1000,"")</f>
        <v/>
      </c>
      <c r="O48" s="776" t="str">
        <f>IF(T!$A$4&gt;=O$50,INDEX('[9]2015'!$B$6:$AW$6,1,4*O$50-2)/1000,"")</f>
        <v/>
      </c>
      <c r="P48" s="771">
        <f>SUM(D48:O48)</f>
        <v>1245.4297800000006</v>
      </c>
    </row>
    <row r="49" spans="1:16" ht="5.0999999999999996" customHeight="1" x14ac:dyDescent="0.2">
      <c r="A49" s="39"/>
      <c r="B49" s="39"/>
      <c r="C49" s="764"/>
      <c r="D49" s="765"/>
      <c r="E49" s="39"/>
      <c r="F49" s="766"/>
      <c r="G49" s="39"/>
      <c r="H49" s="39"/>
      <c r="I49" s="39"/>
      <c r="J49" s="765"/>
      <c r="K49" s="39"/>
      <c r="L49" s="766"/>
      <c r="M49" s="39"/>
      <c r="N49" s="39"/>
      <c r="O49" s="39"/>
      <c r="P49" s="767"/>
    </row>
    <row r="50" spans="1:16" x14ac:dyDescent="0.2">
      <c r="D50" s="690">
        <v>1</v>
      </c>
      <c r="E50" s="690">
        <v>2</v>
      </c>
      <c r="F50" s="690">
        <v>3</v>
      </c>
      <c r="G50" s="690">
        <v>4</v>
      </c>
      <c r="H50" s="690">
        <v>5</v>
      </c>
      <c r="I50" s="690">
        <v>6</v>
      </c>
      <c r="J50" s="690">
        <v>7</v>
      </c>
      <c r="K50" s="690">
        <v>8</v>
      </c>
      <c r="L50" s="690">
        <v>9</v>
      </c>
      <c r="M50" s="690">
        <v>10</v>
      </c>
      <c r="N50" s="690">
        <v>11</v>
      </c>
      <c r="O50" s="690">
        <v>12</v>
      </c>
    </row>
  </sheetData>
  <mergeCells count="12">
    <mergeCell ref="O1:P1"/>
    <mergeCell ref="A2:P2"/>
    <mergeCell ref="A3:P3"/>
    <mergeCell ref="A6:A12"/>
    <mergeCell ref="A13:A19"/>
    <mergeCell ref="B5:C5"/>
    <mergeCell ref="A47:B47"/>
    <mergeCell ref="A48:B48"/>
    <mergeCell ref="A20:A26"/>
    <mergeCell ref="A27:A33"/>
    <mergeCell ref="A34:A38"/>
    <mergeCell ref="A39:A4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55</v>
      </c>
      <c r="P1" s="821"/>
    </row>
    <row r="2" spans="1:17" ht="15.95" customHeight="1" x14ac:dyDescent="0.25">
      <c r="A2" s="877" t="s">
        <v>188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" customHeight="1" x14ac:dyDescent="0.2">
      <c r="A6" s="879" t="s">
        <v>176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98" t="s">
        <v>151</v>
      </c>
      <c r="C7" s="568" t="s">
        <v>250</v>
      </c>
      <c r="D7" s="530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3">
        <f>IF(T!$A$4&gt;=E$42,(INDEX('[1]Přepravní soustava'!$C$13:$AL$13,1,MATCH(E$5,'[1]Přepravní soustava'!$C$1:$AL$1,0))+INDEX('[2]Z ZDS'!$C$31:$BB$31,1,MATCH(E$5,'[2]Z ZDS'!$C$1:$AX$1,0)))/1000,"")</f>
        <v>2481.910466691224</v>
      </c>
      <c r="F7" s="570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3">
        <f>IF(T!$A$4&gt;=G$42,(INDEX('[1]Přepravní soustava'!$C$13:$AL$13,1,MATCH(G$5,'[1]Přepravní soustava'!$C$1:$AL$1,0))+INDEX('[2]Z ZDS'!$C$31:$BB$31,1,MATCH(G$5,'[2]Z ZDS'!$C$1:$AX$1,0)))/1000,"")</f>
        <v>3359.6992668793901</v>
      </c>
      <c r="H7" s="530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5">
        <f>IF(T!$A$4&gt;=I$42,(INDEX('[1]Přepravní soustava'!$C$13:$AL$13,1,MATCH(I$5,'[1]Přepravní soustava'!$C$1:$AL$1,0))+INDEX('[2]Z ZDS'!$C$31:$BB$31,1,MATCH(I$5,'[2]Z ZDS'!$C$1:$AX$1,0)))/1000,"")</f>
        <v>3085.6129205509801</v>
      </c>
      <c r="J7" s="530" t="str">
        <f>IF(T!$A$4&gt;=J$42,(INDEX('[1]Přepravní soustava'!$C$13:$AL$13,1,MATCH(J$5,'[1]Přepravní soustava'!$C$1:$AL$1,0))+INDEX('[2]Z ZDS'!$C$31:$BB$31,1,MATCH(J$5,'[2]Z ZDS'!$C$1:$AX$1,0)))/1000,"")</f>
        <v/>
      </c>
      <c r="K7" s="530" t="str">
        <f>IF(T!$A$4&gt;=K$42,(INDEX('[1]Přepravní soustava'!$C$13:$AL$13,1,MATCH(K$5,'[1]Přepravní soustava'!$C$1:$AL$1,0))+INDEX('[2]Z ZDS'!$C$31:$BB$31,1,MATCH(K$5,'[2]Z ZDS'!$C$1:$AX$1,0)))/1000,"")</f>
        <v/>
      </c>
      <c r="L7" s="545" t="str">
        <f>IF(T!$A$4&gt;=L$42,(INDEX('[1]Přepravní soustava'!$C$13:$AL$13,1,MATCH(L$5,'[1]Přepravní soustava'!$C$1:$AL$1,0))+INDEX('[2]Z ZDS'!$C$31:$BB$31,1,MATCH(L$5,'[2]Z ZDS'!$C$1:$AX$1,0)))/1000,"")</f>
        <v/>
      </c>
      <c r="M7" s="530" t="str">
        <f>IF(T!$A$4&gt;=M$42,(INDEX('[1]Přepravní soustava'!$C$13:$AL$13,1,MATCH(M$5,'[1]Přepravní soustava'!$C$1:$AL$1,0))+INDEX('[2]Z ZDS'!$C$31:$BB$31,1,MATCH(M$5,'[2]Z ZDS'!$C$1:$AX$1,0)))/1000,"")</f>
        <v/>
      </c>
      <c r="N7" s="530" t="str">
        <f>IF(T!$A$4&gt;=N$42,(INDEX('[1]Přepravní soustava'!$C$13:$AL$13,1,MATCH(N$5,'[1]Přepravní soustava'!$C$1:$AL$1,0))+INDEX('[2]Z ZDS'!$C$31:$BB$31,1,MATCH(N$5,'[2]Z ZDS'!$C$1:$AX$1,0)))/1000,"")</f>
        <v/>
      </c>
      <c r="O7" s="530" t="str">
        <f>IF(T!$A$4&gt;=O$42,(INDEX('[1]Přepravní soustava'!$C$13:$AL$13,1,MATCH(O$5,'[1]Přepravní soustava'!$C$1:$AL$1,0))+INDEX('[2]Z ZDS'!$C$31:$BB$31,1,MATCH(O$5,'[2]Z ZDS'!$C$1:$AX$1,0)))/1000,"")</f>
        <v/>
      </c>
      <c r="P7" s="590">
        <f>SUM(D7:O7)</f>
        <v>18993.513354459654</v>
      </c>
    </row>
    <row r="8" spans="1:17" ht="18" customHeight="1" x14ac:dyDescent="0.2">
      <c r="A8" s="875"/>
      <c r="B8" s="98" t="s">
        <v>152</v>
      </c>
      <c r="C8" s="568" t="s">
        <v>250</v>
      </c>
      <c r="D8" s="530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3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0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3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30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5">
        <f>IF(T!$A$4&gt;=I$42,-(INDEX('[1]Přepravní soustava'!$C$22:$AL$22,1,MATCH(I$5,'[1]Přepravní soustava'!$C$1:$AL$1,0))+INDEX('[2]Do ZDS'!$C$32:$BB$32,1,MATCH(I$5,'[2]Do ZDS'!$C$1:$AX$1,0)))/1000,"")</f>
        <v>-2207.6789693017681</v>
      </c>
      <c r="J8" s="530" t="str">
        <f>IF(T!$A$4&gt;=J$42,-(INDEX('[1]Přepravní soustava'!$C$22:$AL$22,1,MATCH(J$5,'[1]Přepravní soustava'!$C$1:$AL$1,0))+INDEX('[2]Do ZDS'!$C$32:$BB$32,1,MATCH(J$5,'[2]Do ZDS'!$C$1:$AX$1,0)))/1000,"")</f>
        <v/>
      </c>
      <c r="K8" s="530" t="str">
        <f>IF(T!$A$4&gt;=K$42,-(INDEX('[1]Přepravní soustava'!$C$22:$AL$22,1,MATCH(K$5,'[1]Přepravní soustava'!$C$1:$AL$1,0))+INDEX('[2]Do ZDS'!$C$32:$BB$32,1,MATCH(K$5,'[2]Do ZDS'!$C$1:$AX$1,0)))/1000,"")</f>
        <v/>
      </c>
      <c r="L8" s="545" t="str">
        <f>IF(T!$A$4&gt;=L$42,-(INDEX('[1]Přepravní soustava'!$C$22:$AL$22,1,MATCH(L$5,'[1]Přepravní soustava'!$C$1:$AL$1,0))+INDEX('[2]Do ZDS'!$C$32:$BB$32,1,MATCH(L$5,'[2]Do ZDS'!$C$1:$AX$1,0)))/1000,"")</f>
        <v/>
      </c>
      <c r="M8" s="530" t="str">
        <f>IF(T!$A$4&gt;=M$42,-(INDEX('[1]Přepravní soustava'!$C$22:$AL$22,1,MATCH(M$5,'[1]Přepravní soustava'!$C$1:$AL$1,0))+INDEX('[2]Do ZDS'!$C$32:$BB$32,1,MATCH(M$5,'[2]Do ZDS'!$C$1:$AX$1,0)))/1000,"")</f>
        <v/>
      </c>
      <c r="N8" s="530" t="str">
        <f>IF(T!$A$4&gt;=N$42,-(INDEX('[1]Přepravní soustava'!$C$22:$AL$22,1,MATCH(N$5,'[1]Přepravní soustava'!$C$1:$AL$1,0))+INDEX('[2]Do ZDS'!$C$32:$BB$32,1,MATCH(N$5,'[2]Do ZDS'!$C$1:$AX$1,0)))/1000,"")</f>
        <v/>
      </c>
      <c r="O8" s="530" t="str">
        <f>IF(T!$A$4&gt;=O$42,-(INDEX('[1]Přepravní soustava'!$C$22:$AL$22,1,MATCH(O$5,'[1]Přepravní soustava'!$C$1:$AL$1,0))+INDEX('[2]Do ZDS'!$C$32:$BB$32,1,MATCH(O$5,'[2]Do ZDS'!$C$1:$AX$1,0)))/1000,"")</f>
        <v/>
      </c>
      <c r="P8" s="590">
        <f t="shared" ref="P8:P34" si="0">SUM(D8:O8)</f>
        <v>-15618.821422088346</v>
      </c>
    </row>
    <row r="9" spans="1:17" ht="18" customHeight="1" x14ac:dyDescent="0.2">
      <c r="A9" s="875"/>
      <c r="B9" s="757" t="s">
        <v>153</v>
      </c>
      <c r="C9" s="758" t="s">
        <v>250</v>
      </c>
      <c r="D9" s="759">
        <f>IF(T!$A$4&gt;=D$42,D7+D8,"")</f>
        <v>438.636603516381</v>
      </c>
      <c r="E9" s="759">
        <f>IF(T!$A$4&gt;=E$42,E7+E8,"")</f>
        <v>267.99208555172618</v>
      </c>
      <c r="F9" s="760">
        <f>IF(T!$A$4&gt;=F$42,F7+F8,"")</f>
        <v>334.61263391546436</v>
      </c>
      <c r="G9" s="759">
        <f>IF(T!$A$4&gt;=G$42,G7+G8,"")</f>
        <v>642.47210476351529</v>
      </c>
      <c r="H9" s="761">
        <f>IF(T!$A$4&gt;=H$42,H7+H8,"")</f>
        <v>813.04455337501076</v>
      </c>
      <c r="I9" s="762">
        <f>IF(T!$A$4&gt;=I$42,I7+I8,"")</f>
        <v>877.93395124921199</v>
      </c>
      <c r="J9" s="761" t="str">
        <f>IF(T!$A$4&gt;=J$42,J7+J8,"")</f>
        <v/>
      </c>
      <c r="K9" s="761" t="str">
        <f>IF(T!$A$4&gt;=K$42,K7+K8,"")</f>
        <v/>
      </c>
      <c r="L9" s="762" t="str">
        <f>IF(T!$A$4&gt;=L$42,L7+L8,"")</f>
        <v/>
      </c>
      <c r="M9" s="761" t="str">
        <f>IF(T!$A$4&gt;=M$42,M7+M8,"")</f>
        <v/>
      </c>
      <c r="N9" s="761" t="str">
        <f>IF(T!$A$4&gt;=N$42,N7+N8,"")</f>
        <v/>
      </c>
      <c r="O9" s="761" t="str">
        <f>IF(T!$A$4&gt;=O$42,O7+O8,"")</f>
        <v/>
      </c>
      <c r="P9" s="763">
        <f t="shared" si="0"/>
        <v>3374.6919323713096</v>
      </c>
    </row>
    <row r="10" spans="1:17" ht="18" customHeight="1" x14ac:dyDescent="0.2">
      <c r="A10" s="875"/>
      <c r="B10" s="98" t="s">
        <v>151</v>
      </c>
      <c r="C10" s="568" t="s">
        <v>303</v>
      </c>
      <c r="D10" s="543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3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0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3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30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5">
        <f>IF(T!$A$4&gt;=I$42,(INDEX('[1]Přepravní soustava'!$C$13:$AL$13,1,MATCH(I$5,'[1]Přepravní soustava'!$C$1:$AL$1,0)+1)+INDEX('[2]Z ZDS'!$C$31:$BB$31,1,MATCH(I$5,'[2]Z ZDS'!$C$1:$AX$1,0)+1))/1000,"")</f>
        <v>33002.955940426</v>
      </c>
      <c r="J10" s="530" t="str">
        <f>IF(T!$A$4&gt;=J$42,(INDEX('[1]Přepravní soustava'!$C$13:$AL$13,1,MATCH(J$5,'[1]Přepravní soustava'!$C$1:$AL$1,0)+1)+INDEX('[2]Z ZDS'!$C$31:$BB$31,1,MATCH(J$5,'[2]Z ZDS'!$C$1:$AX$1,0)+1))/1000,"")</f>
        <v/>
      </c>
      <c r="K10" s="530" t="str">
        <f>IF(T!$A$4&gt;=K$42,(INDEX('[1]Přepravní soustava'!$C$13:$AL$13,1,MATCH(K$5,'[1]Přepravní soustava'!$C$1:$AL$1,0)+1)+INDEX('[2]Z ZDS'!$C$31:$BB$31,1,MATCH(K$5,'[2]Z ZDS'!$C$1:$AX$1,0)+1))/1000,"")</f>
        <v/>
      </c>
      <c r="L10" s="545" t="str">
        <f>IF(T!$A$4&gt;=L$42,(INDEX('[1]Přepravní soustava'!$C$13:$AL$13,1,MATCH(L$5,'[1]Přepravní soustava'!$C$1:$AL$1,0)+1)+INDEX('[2]Z ZDS'!$C$31:$BB$31,1,MATCH(L$5,'[2]Z ZDS'!$C$1:$AX$1,0)+1))/1000,"")</f>
        <v/>
      </c>
      <c r="M10" s="530" t="str">
        <f>IF(T!$A$4&gt;=M$42,(INDEX('[1]Přepravní soustava'!$C$13:$AL$13,1,MATCH(M$5,'[1]Přepravní soustava'!$C$1:$AL$1,0)+1)+INDEX('[2]Z ZDS'!$C$31:$BB$31,1,MATCH(M$5,'[2]Z ZDS'!$C$1:$AX$1,0)+1))/1000,"")</f>
        <v/>
      </c>
      <c r="N10" s="530" t="str">
        <f>IF(T!$A$4&gt;=N$42,(INDEX('[1]Přepravní soustava'!$C$13:$AL$13,1,MATCH(N$5,'[1]Přepravní soustava'!$C$1:$AL$1,0)+1)+INDEX('[2]Z ZDS'!$C$31:$BB$31,1,MATCH(N$5,'[2]Z ZDS'!$C$1:$AX$1,0)+1))/1000,"")</f>
        <v/>
      </c>
      <c r="O10" s="530" t="str">
        <f>IF(T!$A$4&gt;=O$42,(INDEX('[1]Přepravní soustava'!$C$13:$AL$13,1,MATCH(O$5,'[1]Přepravní soustava'!$C$1:$AL$1,0)+1)+INDEX('[2]Z ZDS'!$C$31:$BB$31,1,MATCH(O$5,'[2]Z ZDS'!$C$1:$AX$1,0)+1))/1000,"")</f>
        <v/>
      </c>
      <c r="P10" s="590">
        <f t="shared" si="0"/>
        <v>202364.42741461998</v>
      </c>
    </row>
    <row r="11" spans="1:17" ht="18" customHeight="1" x14ac:dyDescent="0.2">
      <c r="A11" s="875"/>
      <c r="B11" s="98" t="s">
        <v>152</v>
      </c>
      <c r="C11" s="568" t="s">
        <v>303</v>
      </c>
      <c r="D11" s="543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3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0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3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30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5">
        <f>IF(T!$A$4&gt;=I$42,-(INDEX('[1]Přepravní soustava'!$C$22:$AL$22,1,MATCH(I$5,'[1]Přepravní soustava'!$C$1:$AL$1,0)+1)+INDEX('[2]Do ZDS'!$C$32:$BB$32,1,MATCH(I$5,'[2]Do ZDS'!$C$1:$AX$1,0)+1))/1000,"")</f>
        <v>-23609.495381262001</v>
      </c>
      <c r="J11" s="530" t="str">
        <f>IF(T!$A$4&gt;=J$42,-(INDEX('[1]Přepravní soustava'!$C$22:$AL$22,1,MATCH(J$5,'[1]Přepravní soustava'!$C$1:$AL$1,0)+1)+INDEX('[2]Do ZDS'!$C$32:$BB$32,1,MATCH(J$5,'[2]Do ZDS'!$C$1:$AX$1,0)+1))/1000,"")</f>
        <v/>
      </c>
      <c r="K11" s="530" t="str">
        <f>IF(T!$A$4&gt;=K$42,-(INDEX('[1]Přepravní soustava'!$C$22:$AL$22,1,MATCH(K$5,'[1]Přepravní soustava'!$C$1:$AL$1,0)+1)+INDEX('[2]Do ZDS'!$C$32:$BB$32,1,MATCH(K$5,'[2]Do ZDS'!$C$1:$AX$1,0)+1))/1000,"")</f>
        <v/>
      </c>
      <c r="L11" s="545" t="str">
        <f>IF(T!$A$4&gt;=L$42,-(INDEX('[1]Přepravní soustava'!$C$22:$AL$22,1,MATCH(L$5,'[1]Přepravní soustava'!$C$1:$AL$1,0)+1)+INDEX('[2]Do ZDS'!$C$32:$BB$32,1,MATCH(L$5,'[2]Do ZDS'!$C$1:$AX$1,0)+1))/1000,"")</f>
        <v/>
      </c>
      <c r="M11" s="530" t="str">
        <f>IF(T!$A$4&gt;=M$42,-(INDEX('[1]Přepravní soustava'!$C$22:$AL$22,1,MATCH(M$5,'[1]Přepravní soustava'!$C$1:$AL$1,0)+1)+INDEX('[2]Do ZDS'!$C$32:$BB$32,1,MATCH(M$5,'[2]Do ZDS'!$C$1:$AX$1,0)+1))/1000,"")</f>
        <v/>
      </c>
      <c r="N11" s="530" t="str">
        <f>IF(T!$A$4&gt;=N$42,-(INDEX('[1]Přepravní soustava'!$C$22:$AL$22,1,MATCH(N$5,'[1]Přepravní soustava'!$C$1:$AL$1,0)+1)+INDEX('[2]Do ZDS'!$C$32:$BB$32,1,MATCH(N$5,'[2]Do ZDS'!$C$1:$AX$1,0)+1))/1000,"")</f>
        <v/>
      </c>
      <c r="O11" s="530" t="str">
        <f>IF(T!$A$4&gt;=O$42,-(INDEX('[1]Přepravní soustava'!$C$22:$AL$22,1,MATCH(O$5,'[1]Přepravní soustava'!$C$1:$AL$1,0)+1)+INDEX('[2]Do ZDS'!$C$32:$BB$32,1,MATCH(O$5,'[2]Do ZDS'!$C$1:$AX$1,0)+1))/1000,"")</f>
        <v/>
      </c>
      <c r="P11" s="590">
        <f t="shared" si="0"/>
        <v>-166433.72309424492</v>
      </c>
    </row>
    <row r="12" spans="1:17" ht="18" customHeight="1" x14ac:dyDescent="0.2">
      <c r="A12" s="875"/>
      <c r="B12" s="611" t="s">
        <v>153</v>
      </c>
      <c r="C12" s="568" t="s">
        <v>303</v>
      </c>
      <c r="D12" s="543">
        <f>IF(T!$A$4&gt;=D$42,D10+D11,"")</f>
        <v>4633.513772353388</v>
      </c>
      <c r="E12" s="543">
        <f>IF(T!$A$4&gt;=E$42,E10+E11,"")</f>
        <v>2830.2355777027078</v>
      </c>
      <c r="F12" s="570">
        <f>IF(T!$A$4&gt;=F$42,F10+F11,"")</f>
        <v>3546.6825392079918</v>
      </c>
      <c r="G12" s="543">
        <f>IF(T!$A$4&gt;=G$42,G10+G11,"")</f>
        <v>6830.3887158149992</v>
      </c>
      <c r="H12" s="530">
        <f>IF(T!$A$4&gt;=H$42,H10+H11,"")</f>
        <v>8696.4231561319903</v>
      </c>
      <c r="I12" s="545">
        <f>IF(T!$A$4&gt;=I$42,I10+I11,"")</f>
        <v>9393.4605591639993</v>
      </c>
      <c r="J12" s="530" t="str">
        <f>IF(T!$A$4&gt;=J$42,J10+J11,"")</f>
        <v/>
      </c>
      <c r="K12" s="530" t="str">
        <f>IF(T!$A$4&gt;=K$42,K10+K11,"")</f>
        <v/>
      </c>
      <c r="L12" s="545" t="str">
        <f>IF(T!$A$4&gt;=L$42,L10+L11,"")</f>
        <v/>
      </c>
      <c r="M12" s="530" t="str">
        <f>IF(T!$A$4&gt;=M$42,M10+M11,"")</f>
        <v/>
      </c>
      <c r="N12" s="530" t="str">
        <f>IF(T!$A$4&gt;=N$42,N10+N11,"")</f>
        <v/>
      </c>
      <c r="O12" s="530" t="str">
        <f>IF(T!$A$4&gt;=O$42,O10+O11,"")</f>
        <v/>
      </c>
      <c r="P12" s="590">
        <f t="shared" si="0"/>
        <v>35930.70432037508</v>
      </c>
    </row>
    <row r="13" spans="1:17" ht="9" customHeight="1" x14ac:dyDescent="0.2">
      <c r="A13" s="876"/>
      <c r="B13" s="514"/>
      <c r="C13" s="502"/>
      <c r="D13" s="547"/>
      <c r="E13" s="547"/>
      <c r="F13" s="578"/>
      <c r="G13" s="547"/>
      <c r="H13" s="549"/>
      <c r="I13" s="550"/>
      <c r="J13" s="549"/>
      <c r="K13" s="549"/>
      <c r="L13" s="550"/>
      <c r="M13" s="549"/>
      <c r="N13" s="549"/>
      <c r="O13" s="549"/>
      <c r="P13" s="591"/>
    </row>
    <row r="14" spans="1:17" ht="9" customHeight="1" x14ac:dyDescent="0.2">
      <c r="A14" s="879" t="s">
        <v>182</v>
      </c>
      <c r="B14" s="519"/>
      <c r="C14" s="520"/>
      <c r="D14" s="499"/>
      <c r="E14" s="499"/>
      <c r="F14" s="521"/>
      <c r="G14" s="499"/>
      <c r="H14" s="499"/>
      <c r="I14" s="521"/>
      <c r="J14" s="499"/>
      <c r="K14" s="499"/>
      <c r="L14" s="521"/>
      <c r="M14" s="499"/>
      <c r="N14" s="499"/>
      <c r="O14" s="499"/>
      <c r="P14" s="590"/>
    </row>
    <row r="15" spans="1:17" ht="18" customHeight="1" x14ac:dyDescent="0.2">
      <c r="A15" s="875"/>
      <c r="B15" s="98" t="s">
        <v>158</v>
      </c>
      <c r="C15" s="568" t="s">
        <v>250</v>
      </c>
      <c r="D15" s="530">
        <f>IF(T!$A$4&gt;=D$42,INDEX('[1]Přepravní soustava'!$C$41:$AL$41,1,MATCH(D$5,'[1]Přepravní soustava'!$C$1:$AL$1,0))/1000,"")</f>
        <v>663.07631100000003</v>
      </c>
      <c r="E15" s="543">
        <f>IF(T!$A$4&gt;=E$42,INDEX('[1]Přepravní soustava'!$C$41:$AL$41,1,MATCH(E$5,'[1]Přepravní soustava'!$C$1:$AL$1,0))/1000,"")</f>
        <v>730.844382</v>
      </c>
      <c r="F15" s="570">
        <f>IF(T!$A$4&gt;=F$42,INDEX('[1]Přepravní soustava'!$C$41:$AL$41,1,MATCH(F$5,'[1]Přepravní soustava'!$C$1:$AL$1,0))/1000,"")</f>
        <v>531.26270799999998</v>
      </c>
      <c r="G15" s="543">
        <f>IF(T!$A$4&gt;=G$42,INDEX('[1]Přepravní soustava'!$C$41:$AL$41,1,MATCH(G$5,'[1]Přepravní soustava'!$C$1:$AL$1,0))/1000,"")</f>
        <v>40.534314999999999</v>
      </c>
      <c r="H15" s="530">
        <f>IF(T!$A$4&gt;=H$42,INDEX('[1]Přepravní soustava'!$C$41:$AL$41,1,MATCH(H$5,'[1]Přepravní soustava'!$C$1:$AL$1,0))/1000,"")</f>
        <v>0.36129300000000003</v>
      </c>
      <c r="I15" s="545">
        <f>IF(T!$A$4&gt;=I$42,INDEX('[1]Přepravní soustava'!$C$41:$AL$41,1,MATCH(I$5,'[1]Přepravní soustava'!$C$1:$AL$1,0))/1000,"")</f>
        <v>0.13611899999999999</v>
      </c>
      <c r="J15" s="530" t="str">
        <f>IF(T!$A$4&gt;=J$42,INDEX('[1]Přepravní soustava'!$C$41:$AL$41,1,MATCH(J$5,'[1]Přepravní soustava'!$C$1:$AL$1,0))/1000,"")</f>
        <v/>
      </c>
      <c r="K15" s="530" t="str">
        <f>IF(T!$A$4&gt;=K$42,INDEX('[1]Přepravní soustava'!$C$41:$AL$41,1,MATCH(K$5,'[1]Přepravní soustava'!$C$1:$AL$1,0))/1000,"")</f>
        <v/>
      </c>
      <c r="L15" s="545" t="str">
        <f>IF(T!$A$4&gt;=L$42,INDEX('[1]Přepravní soustava'!$C$41:$AL$41,1,MATCH(L$5,'[1]Přepravní soustava'!$C$1:$AL$1,0))/1000,"")</f>
        <v/>
      </c>
      <c r="M15" s="530" t="str">
        <f>IF(T!$A$4&gt;=M$42,INDEX('[1]Přepravní soustava'!$C$41:$AL$41,1,MATCH(M$5,'[1]Přepravní soustava'!$C$1:$AL$1,0))/1000,"")</f>
        <v/>
      </c>
      <c r="N15" s="530" t="str">
        <f>IF(T!$A$4&gt;=N$42,INDEX('[1]Přepravní soustava'!$C$41:$AL$41,1,MATCH(N$5,'[1]Přepravní soustava'!$C$1:$AL$1,0))/1000,"")</f>
        <v/>
      </c>
      <c r="O15" s="530" t="str">
        <f>IF(T!$A$4&gt;=O$42,INDEX('[1]Přepravní soustava'!$C$41:$AL$41,1,MATCH(O$5,'[1]Přepravní soustava'!$C$1:$AL$1,0))/1000,"")</f>
        <v/>
      </c>
      <c r="P15" s="590">
        <f t="shared" si="0"/>
        <v>1966.215128</v>
      </c>
    </row>
    <row r="16" spans="1:17" ht="18" customHeight="1" x14ac:dyDescent="0.2">
      <c r="A16" s="875"/>
      <c r="B16" s="98" t="s">
        <v>159</v>
      </c>
      <c r="C16" s="568" t="s">
        <v>250</v>
      </c>
      <c r="D16" s="543">
        <f>IF(T!$A$4&gt;=D$42,-INDEX('[1]Přepravní soustava'!$C$45:$AL$45,1,MATCH(D$5,'[1]Přepravní soustava'!$C$1:$AL$1,0))/1000,"")</f>
        <v>-16.494135</v>
      </c>
      <c r="E16" s="543">
        <f>IF(T!$A$4&gt;=E$42,-INDEX('[1]Přepravní soustava'!$C$45:$AL$45,1,MATCH(E$5,'[1]Přepravní soustava'!$C$1:$AL$1,0))/1000,"")</f>
        <v>-9.5552060000000001</v>
      </c>
      <c r="F16" s="570">
        <f>IF(T!$A$4&gt;=F$42,-INDEX('[1]Přepravní soustava'!$C$45:$AL$45,1,MATCH(F$5,'[1]Přepravní soustava'!$C$1:$AL$1,0))/1000,"")</f>
        <v>-9.0375149999999991</v>
      </c>
      <c r="G16" s="543">
        <f>IF(T!$A$4&gt;=G$42,-INDEX('[1]Přepravní soustava'!$C$45:$AL$45,1,MATCH(G$5,'[1]Přepravní soustava'!$C$1:$AL$1,0))/1000,"")</f>
        <v>-52.046067999999998</v>
      </c>
      <c r="H16" s="530">
        <f>IF(T!$A$4&gt;=H$42,-INDEX('[1]Přepravní soustava'!$C$45:$AL$45,1,MATCH(H$5,'[1]Přepravní soustava'!$C$1:$AL$1,0))/1000,"")</f>
        <v>-406.77318200000002</v>
      </c>
      <c r="I16" s="545">
        <f>IF(T!$A$4&gt;=I$42,-INDEX('[1]Přepravní soustava'!$C$45:$AL$45,1,MATCH(I$5,'[1]Přepravní soustava'!$C$1:$AL$1,0))/1000,"")</f>
        <v>-560.69673699999998</v>
      </c>
      <c r="J16" s="530" t="str">
        <f>IF(T!$A$4&gt;=J$42,-INDEX('[1]Přepravní soustava'!$C$45:$AL$45,1,MATCH(J$5,'[1]Přepravní soustava'!$C$1:$AL$1,0))/1000,"")</f>
        <v/>
      </c>
      <c r="K16" s="530" t="str">
        <f>IF(T!$A$4&gt;=K$42,-INDEX('[1]Přepravní soustava'!$C$45:$AL$45,1,MATCH(K$5,'[1]Přepravní soustava'!$C$1:$AL$1,0))/1000,"")</f>
        <v/>
      </c>
      <c r="L16" s="545" t="str">
        <f>IF(T!$A$4&gt;=L$42,-INDEX('[1]Přepravní soustava'!$C$45:$AL$45,1,MATCH(L$5,'[1]Přepravní soustava'!$C$1:$AL$1,0))/1000,"")</f>
        <v/>
      </c>
      <c r="M16" s="530" t="str">
        <f>IF(T!$A$4&gt;=M$42,-INDEX('[1]Přepravní soustava'!$C$45:$AL$45,1,MATCH(M$5,'[1]Přepravní soustava'!$C$1:$AL$1,0))/1000,"")</f>
        <v/>
      </c>
      <c r="N16" s="530" t="str">
        <f>IF(T!$A$4&gt;=N$42,-INDEX('[1]Přepravní soustava'!$C$45:$AL$45,1,MATCH(N$5,'[1]Přepravní soustava'!$C$1:$AL$1,0))/1000,"")</f>
        <v/>
      </c>
      <c r="O16" s="530" t="str">
        <f>IF(T!$A$4&gt;=O$42,-INDEX('[1]Přepravní soustava'!$C$45:$AL$45,1,MATCH(O$5,'[1]Přepravní soustava'!$C$1:$AL$1,0))/1000,"")</f>
        <v/>
      </c>
      <c r="P16" s="590">
        <f t="shared" si="0"/>
        <v>-1054.6028430000001</v>
      </c>
    </row>
    <row r="17" spans="1:19" ht="18" customHeight="1" x14ac:dyDescent="0.2">
      <c r="A17" s="875"/>
      <c r="B17" s="611" t="s">
        <v>160</v>
      </c>
      <c r="C17" s="568" t="s">
        <v>250</v>
      </c>
      <c r="D17" s="543">
        <f>IF(T!$A$4&gt;=D$42,D15+D16,"")</f>
        <v>646.582176</v>
      </c>
      <c r="E17" s="543">
        <f>IF(T!$A$4&gt;=E$42,E15+E16,"")</f>
        <v>721.289176</v>
      </c>
      <c r="F17" s="570">
        <f>IF(T!$A$4&gt;=F$42,F15+F16,"")</f>
        <v>522.22519299999999</v>
      </c>
      <c r="G17" s="543">
        <f>IF(T!$A$4&gt;=G$42,G15+G16,"")</f>
        <v>-11.511752999999999</v>
      </c>
      <c r="H17" s="530">
        <f>IF(T!$A$4&gt;=H$42,H15+H16,"")</f>
        <v>-406.41188900000003</v>
      </c>
      <c r="I17" s="545">
        <f>IF(T!$A$4&gt;=I$42,I15+I16,"")</f>
        <v>-560.56061799999998</v>
      </c>
      <c r="J17" s="530" t="str">
        <f>IF(T!$A$4&gt;=J$42,J15+J16,"")</f>
        <v/>
      </c>
      <c r="K17" s="530" t="str">
        <f>IF(T!$A$4&gt;=K$42,K15+K16,"")</f>
        <v/>
      </c>
      <c r="L17" s="545" t="str">
        <f>IF(T!$A$4&gt;=L$42,L15+L16,"")</f>
        <v/>
      </c>
      <c r="M17" s="530" t="str">
        <f>IF(T!$A$4&gt;=M$42,M15+M16,"")</f>
        <v/>
      </c>
      <c r="N17" s="530" t="str">
        <f>IF(T!$A$4&gt;=N$42,N15+N16,"")</f>
        <v/>
      </c>
      <c r="O17" s="530" t="str">
        <f>IF(T!$A$4&gt;=O$42,O15+O16,"")</f>
        <v/>
      </c>
      <c r="P17" s="590">
        <f>SUM(D17:O17)</f>
        <v>911.61228500000016</v>
      </c>
      <c r="R17" s="66"/>
      <c r="S17" s="66"/>
    </row>
    <row r="18" spans="1:19" ht="18" customHeight="1" x14ac:dyDescent="0.2">
      <c r="A18" s="875"/>
      <c r="B18" s="757" t="s">
        <v>298</v>
      </c>
      <c r="C18" s="758" t="s">
        <v>250</v>
      </c>
      <c r="D18" s="759">
        <f>IF(T!$A$4&gt;=D$42,'[10]Stav zásob ČR'!C3,"")</f>
        <v>1506.0067398421697</v>
      </c>
      <c r="E18" s="759">
        <f>IF(T!$A$4&gt;=E$42,'[10]Stav zásob ČR'!D3,"")</f>
        <v>784.71756384216962</v>
      </c>
      <c r="F18" s="760">
        <f>IF(T!$A$4&gt;=F$42,'[10]Stav zásob ČR'!E3,"")</f>
        <v>262.49237084216952</v>
      </c>
      <c r="G18" s="759">
        <f>IF(T!$A$4&gt;=G$42,'[10]Stav zásob ČR'!F3,"")</f>
        <v>274.00412384216952</v>
      </c>
      <c r="H18" s="761">
        <f>IF(T!$A$4&gt;=H$42,'[10]Stav zásob ČR'!G3,"")</f>
        <v>680.41601284216961</v>
      </c>
      <c r="I18" s="762">
        <f>IF(T!$A$4&gt;=I$42,'[10]Stav zásob ČR'!H3,"")</f>
        <v>1240.9766308421695</v>
      </c>
      <c r="J18" s="761" t="str">
        <f>IF(T!$A$4&gt;=J$42,'[10]Stav zásob ČR'!I3,"")</f>
        <v/>
      </c>
      <c r="K18" s="761" t="str">
        <f>IF(T!$A$4&gt;=K$42,'[10]Stav zásob ČR'!J3,"")</f>
        <v/>
      </c>
      <c r="L18" s="762" t="str">
        <f>IF(T!$A$4&gt;=L$42,'[10]Stav zásob ČR'!K3,"")</f>
        <v/>
      </c>
      <c r="M18" s="761" t="str">
        <f>IF(T!$A$4&gt;=M$42,'[10]Stav zásob ČR'!L3,"")</f>
        <v/>
      </c>
      <c r="N18" s="761" t="str">
        <f>IF(T!$A$4&gt;=N$42,'[10]Stav zásob ČR'!M3,"")</f>
        <v/>
      </c>
      <c r="O18" s="761" t="str">
        <f>IF(T!$A$4&gt;=O$42,'[10]Stav zásob ČR'!N3,"")</f>
        <v/>
      </c>
      <c r="P18" s="763">
        <f>INDEX(D18:O18,,T!$A$4)</f>
        <v>1240.9766308421695</v>
      </c>
    </row>
    <row r="19" spans="1:19" ht="18" customHeight="1" x14ac:dyDescent="0.2">
      <c r="A19" s="875"/>
      <c r="B19" s="98" t="s">
        <v>158</v>
      </c>
      <c r="C19" s="568" t="s">
        <v>303</v>
      </c>
      <c r="D19" s="543">
        <f>IF(T!$A$4&gt;=D$42,INDEX('[1]Přepravní soustava'!$C$41:$AL$41,1,MATCH(D$5,'[1]Přepravní soustava'!$C$1:$AL$1,0)+1)/1000,"")</f>
        <v>7059.919245</v>
      </c>
      <c r="E19" s="543">
        <f>IF(T!$A$4&gt;=E$42,INDEX('[1]Přepravní soustava'!$C$41:$AL$41,1,MATCH(E$5,'[1]Přepravní soustava'!$C$1:$AL$1,0)+1)/1000,"")</f>
        <v>7781.4639450000004</v>
      </c>
      <c r="F19" s="570">
        <f>IF(T!$A$4&gt;=F$42,INDEX('[1]Přepravní soustava'!$C$41:$AL$41,1,MATCH(F$5,'[1]Přepravní soustava'!$C$1:$AL$1,0)+1)/1000,"")</f>
        <v>5653.0803719999994</v>
      </c>
      <c r="G19" s="543">
        <f>IF(T!$A$4&gt;=G$42,INDEX('[1]Přepravní soustava'!$C$41:$AL$41,1,MATCH(G$5,'[1]Přepravní soustava'!$C$1:$AL$1,0)+1)/1000,"")</f>
        <v>432.63230599999997</v>
      </c>
      <c r="H19" s="530">
        <f>IF(T!$A$4&gt;=H$42,INDEX('[1]Přepravní soustava'!$C$41:$AL$41,1,MATCH(H$5,'[1]Přepravní soustava'!$C$1:$AL$1,0)+1)/1000,"")</f>
        <v>3.8729299999999998</v>
      </c>
      <c r="I19" s="545">
        <f>IF(T!$A$4&gt;=I$42,INDEX('[1]Přepravní soustava'!$C$41:$AL$41,1,MATCH(I$5,'[1]Přepravní soustava'!$C$1:$AL$1,0)+1)/1000,"")</f>
        <v>1.4613450000000001</v>
      </c>
      <c r="J19" s="530" t="str">
        <f>IF(T!$A$4&gt;=J$42,INDEX('[1]Přepravní soustava'!$C$41:$AL$41,1,MATCH(J$5,'[1]Přepravní soustava'!$C$1:$AL$1,0)+1)/1000,"")</f>
        <v/>
      </c>
      <c r="K19" s="530" t="str">
        <f>IF(T!$A$4&gt;=K$42,INDEX('[1]Přepravní soustava'!$C$41:$AL$41,1,MATCH(K$5,'[1]Přepravní soustava'!$C$1:$AL$1,0)+1)/1000,"")</f>
        <v/>
      </c>
      <c r="L19" s="545" t="str">
        <f>IF(T!$A$4&gt;=L$42,INDEX('[1]Přepravní soustava'!$C$41:$AL$41,1,MATCH(L$5,'[1]Přepravní soustava'!$C$1:$AL$1,0)+1)/1000,"")</f>
        <v/>
      </c>
      <c r="M19" s="530" t="str">
        <f>IF(T!$A$4&gt;=M$42,INDEX('[1]Přepravní soustava'!$C$41:$AL$41,1,MATCH(M$5,'[1]Přepravní soustava'!$C$1:$AL$1,0)+1)/1000,"")</f>
        <v/>
      </c>
      <c r="N19" s="530" t="str">
        <f>IF(T!$A$4&gt;=N$42,INDEX('[1]Přepravní soustava'!$C$41:$AL$41,1,MATCH(N$5,'[1]Přepravní soustava'!$C$1:$AL$1,0)+1)/1000,"")</f>
        <v/>
      </c>
      <c r="O19" s="530" t="str">
        <f>IF(T!$A$4&gt;=O$42,INDEX('[1]Přepravní soustava'!$C$41:$AL$41,1,MATCH(O$5,'[1]Přepravní soustava'!$C$1:$AL$1,0)+1)/1000,"")</f>
        <v/>
      </c>
      <c r="P19" s="590">
        <f t="shared" si="0"/>
        <v>20932.430143000001</v>
      </c>
    </row>
    <row r="20" spans="1:19" ht="18" customHeight="1" x14ac:dyDescent="0.2">
      <c r="A20" s="875"/>
      <c r="B20" s="98" t="s">
        <v>159</v>
      </c>
      <c r="C20" s="568" t="s">
        <v>303</v>
      </c>
      <c r="D20" s="543">
        <f>IF(T!$A$4&gt;=D$42,-INDEX('[1]Přepravní soustava'!$C$45:$AL$45,1,MATCH(D$5,'[1]Přepravní soustava'!$C$1:$AL$1,0)+1)/1000,"")</f>
        <v>-175.246745</v>
      </c>
      <c r="E20" s="543">
        <f>IF(T!$A$4&gt;=E$42,-INDEX('[1]Přepravní soustava'!$C$45:$AL$45,1,MATCH(E$5,'[1]Přepravní soustava'!$C$1:$AL$1,0)+1)/1000,"")</f>
        <v>-101.32244299999999</v>
      </c>
      <c r="F20" s="570">
        <f>IF(T!$A$4&gt;=F$42,-INDEX('[1]Přepravní soustava'!$C$45:$AL$45,1,MATCH(F$5,'[1]Přepravní soustava'!$C$1:$AL$1,0)+1)/1000,"")</f>
        <v>-95.956741000000008</v>
      </c>
      <c r="G20" s="543">
        <f>IF(T!$A$4&gt;=G$42,-INDEX('[1]Přepravní soustava'!$C$45:$AL$45,1,MATCH(G$5,'[1]Přepravní soustava'!$C$1:$AL$1,0)+1)/1000,"")</f>
        <v>-553.96945600000004</v>
      </c>
      <c r="H20" s="530">
        <f>IF(T!$A$4&gt;=H$42,-INDEX('[1]Přepravní soustava'!$C$45:$AL$45,1,MATCH(H$5,'[1]Přepravní soustava'!$C$1:$AL$1,0)+1)/1000,"")</f>
        <v>-4350.3506279999992</v>
      </c>
      <c r="I20" s="545">
        <f>IF(T!$A$4&gt;=I$42,-INDEX('[1]Přepravní soustava'!$C$45:$AL$45,1,MATCH(I$5,'[1]Přepravní soustava'!$C$1:$AL$1,0)+1)/1000,"")</f>
        <v>-6007.5311279999996</v>
      </c>
      <c r="J20" s="530" t="str">
        <f>IF(T!$A$4&gt;=J$42,-INDEX('[1]Přepravní soustava'!$C$45:$AL$45,1,MATCH(J$5,'[1]Přepravní soustava'!$C$1:$AL$1,0)+1)/1000,"")</f>
        <v/>
      </c>
      <c r="K20" s="530" t="str">
        <f>IF(T!$A$4&gt;=K$42,-INDEX('[1]Přepravní soustava'!$C$45:$AL$45,1,MATCH(K$5,'[1]Přepravní soustava'!$C$1:$AL$1,0)+1)/1000,"")</f>
        <v/>
      </c>
      <c r="L20" s="545" t="str">
        <f>IF(T!$A$4&gt;=L$42,-INDEX('[1]Přepravní soustava'!$C$45:$AL$45,1,MATCH(L$5,'[1]Přepravní soustava'!$C$1:$AL$1,0)+1)/1000,"")</f>
        <v/>
      </c>
      <c r="M20" s="530" t="str">
        <f>IF(T!$A$4&gt;=M$42,-INDEX('[1]Přepravní soustava'!$C$45:$AL$45,1,MATCH(M$5,'[1]Přepravní soustava'!$C$1:$AL$1,0)+1)/1000,"")</f>
        <v/>
      </c>
      <c r="N20" s="530" t="str">
        <f>IF(T!$A$4&gt;=N$42,-INDEX('[1]Přepravní soustava'!$C$45:$AL$45,1,MATCH(N$5,'[1]Přepravní soustava'!$C$1:$AL$1,0)+1)/1000,"")</f>
        <v/>
      </c>
      <c r="O20" s="530" t="str">
        <f>IF(T!$A$4&gt;=O$42,-INDEX('[1]Přepravní soustava'!$C$45:$AL$45,1,MATCH(O$5,'[1]Přepravní soustava'!$C$1:$AL$1,0)+1)/1000,"")</f>
        <v/>
      </c>
      <c r="P20" s="590">
        <f t="shared" si="0"/>
        <v>-11284.377140999999</v>
      </c>
    </row>
    <row r="21" spans="1:19" ht="18" customHeight="1" x14ac:dyDescent="0.2">
      <c r="A21" s="875"/>
      <c r="B21" s="611" t="s">
        <v>160</v>
      </c>
      <c r="C21" s="568" t="s">
        <v>303</v>
      </c>
      <c r="D21" s="543">
        <f>IF(T!$A$4&gt;=D$42,D19+D20,"")</f>
        <v>6884.6724999999997</v>
      </c>
      <c r="E21" s="543">
        <f>IF(T!$A$4&gt;=E$42,E19+E20,"")</f>
        <v>7680.1415020000004</v>
      </c>
      <c r="F21" s="570">
        <f>IF(T!$A$4&gt;=F$42,F19+F20,"")</f>
        <v>5557.1236309999995</v>
      </c>
      <c r="G21" s="543">
        <f>IF(T!$A$4&gt;=G$42,G19+G20,"")</f>
        <v>-121.33715000000007</v>
      </c>
      <c r="H21" s="530">
        <f>IF(T!$A$4&gt;=H$42,H19+H20,"")</f>
        <v>-4346.4776979999988</v>
      </c>
      <c r="I21" s="545">
        <f>IF(T!$A$4&gt;=I$42,I19+I20,"")</f>
        <v>-6006.0697829999999</v>
      </c>
      <c r="J21" s="530" t="str">
        <f>IF(T!$A$4&gt;=J$42,J19+J20,"")</f>
        <v/>
      </c>
      <c r="K21" s="530" t="str">
        <f>IF(T!$A$4&gt;=K$42,K19+K20,"")</f>
        <v/>
      </c>
      <c r="L21" s="545" t="str">
        <f>IF(T!$A$4&gt;=L$42,L19+L20,"")</f>
        <v/>
      </c>
      <c r="M21" s="530" t="str">
        <f>IF(T!$A$4&gt;=M$42,M19+M20,"")</f>
        <v/>
      </c>
      <c r="N21" s="530" t="str">
        <f>IF(T!$A$4&gt;=N$42,N19+N20,"")</f>
        <v/>
      </c>
      <c r="O21" s="530" t="str">
        <f>IF(T!$A$4&gt;=O$42,O19+O20,"")</f>
        <v/>
      </c>
      <c r="P21" s="590">
        <f t="shared" si="0"/>
        <v>9648.0530020000006</v>
      </c>
    </row>
    <row r="22" spans="1:19" ht="18" customHeight="1" x14ac:dyDescent="0.2">
      <c r="A22" s="875"/>
      <c r="B22" s="611" t="s">
        <v>298</v>
      </c>
      <c r="C22" s="568" t="s">
        <v>303</v>
      </c>
      <c r="D22" s="543">
        <f>IF(T!$A$4&gt;=D$42,'[10]Stav zásob ČR'!C4,"")</f>
        <v>16158.764895715989</v>
      </c>
      <c r="E22" s="543">
        <f>IF(T!$A$4&gt;=E$42,'[10]Stav zásob ČR'!D4,"")</f>
        <v>8478.6233937159905</v>
      </c>
      <c r="F22" s="570">
        <f>IF(T!$A$4&gt;=F$42,'[10]Stav zásob ČR'!E4,"")</f>
        <v>2921.4997627159905</v>
      </c>
      <c r="G22" s="543">
        <f>IF(T!$A$4&gt;=G$42,'[10]Stav zásob ČR'!F4,"")</f>
        <v>3042.8369127159904</v>
      </c>
      <c r="H22" s="530">
        <f>IF(T!$A$4&gt;=H$42,'[10]Stav zásob ČR'!G4,"")</f>
        <v>7389.314610715991</v>
      </c>
      <c r="I22" s="545">
        <f>IF(T!$A$4&gt;=I$42,'[10]Stav zásob ČR'!H4,"")</f>
        <v>13395.384393715993</v>
      </c>
      <c r="J22" s="530" t="str">
        <f>IF(T!$A$4&gt;=J$42,'[10]Stav zásob ČR'!I4,"")</f>
        <v/>
      </c>
      <c r="K22" s="530" t="str">
        <f>IF(T!$A$4&gt;=K$42,'[10]Stav zásob ČR'!J4,"")</f>
        <v/>
      </c>
      <c r="L22" s="545" t="str">
        <f>IF(T!$A$4&gt;=L$42,'[10]Stav zásob ČR'!K4,"")</f>
        <v/>
      </c>
      <c r="M22" s="530" t="str">
        <f>IF(T!$A$4&gt;=M$42,'[10]Stav zásob ČR'!L4,"")</f>
        <v/>
      </c>
      <c r="N22" s="530" t="str">
        <f>IF(T!$A$4&gt;=N$42,'[10]Stav zásob ČR'!M4,"")</f>
        <v/>
      </c>
      <c r="O22" s="530" t="str">
        <f>IF(T!$A$4&gt;=O$42,'[10]Stav zásob ČR'!N4,"")</f>
        <v/>
      </c>
      <c r="P22" s="590">
        <f>INDEX(D22:O22,,T!$A$4)</f>
        <v>13395.384393715993</v>
      </c>
    </row>
    <row r="23" spans="1:19" ht="9" customHeight="1" x14ac:dyDescent="0.2">
      <c r="A23" s="876"/>
      <c r="B23" s="514"/>
      <c r="C23" s="502"/>
      <c r="D23" s="547"/>
      <c r="E23" s="547"/>
      <c r="F23" s="578"/>
      <c r="G23" s="547"/>
      <c r="H23" s="549"/>
      <c r="I23" s="550"/>
      <c r="J23" s="549"/>
      <c r="K23" s="549"/>
      <c r="L23" s="550"/>
      <c r="M23" s="549"/>
      <c r="N23" s="549"/>
      <c r="O23" s="549"/>
      <c r="P23" s="591"/>
    </row>
    <row r="24" spans="1:19" ht="9" customHeight="1" x14ac:dyDescent="0.2">
      <c r="A24" s="507"/>
      <c r="B24" s="465"/>
      <c r="C24" s="520"/>
      <c r="D24" s="499"/>
      <c r="E24" s="499"/>
      <c r="F24" s="521"/>
      <c r="G24" s="499"/>
      <c r="H24" s="499"/>
      <c r="I24" s="521"/>
      <c r="J24" s="499"/>
      <c r="K24" s="499"/>
      <c r="L24" s="521"/>
      <c r="M24" s="499"/>
      <c r="N24" s="499"/>
      <c r="O24" s="499"/>
      <c r="P24" s="590"/>
    </row>
    <row r="25" spans="1:19" ht="18" customHeight="1" x14ac:dyDescent="0.2">
      <c r="A25" s="820" t="s">
        <v>261</v>
      </c>
      <c r="B25" s="820"/>
      <c r="C25" s="568" t="s">
        <v>250</v>
      </c>
      <c r="D25" s="530">
        <f>IF(T!$A$4&gt;=D$42,INDEX('[3]Poklady MZ'!$C$17:$Z$17,1,MATCH(D$5,'[3]Poklady MZ'!$C$1:$Z$1,0))/1000,"")</f>
        <v>14.180403000000002</v>
      </c>
      <c r="E25" s="543">
        <f>IF(T!$A$4&gt;=E$42,INDEX('[3]Poklady MZ'!$C$17:$Z$17,1,MATCH(E$5,'[3]Poklady MZ'!$C$1:$Z$1,0))/1000,"")</f>
        <v>13.270028</v>
      </c>
      <c r="F25" s="570">
        <f>IF(T!$A$4&gt;=F$42,INDEX('[3]Poklady MZ'!$C$17:$Z$17,1,MATCH(F$5,'[3]Poklady MZ'!$C$1:$Z$1,0))/1000,"")</f>
        <v>14.707849999999999</v>
      </c>
      <c r="G25" s="543">
        <f>IF(T!$A$4&gt;=G$42,INDEX('[3]Poklady MZ'!$C$17:$Z$17,1,MATCH(G$5,'[3]Poklady MZ'!$C$1:$Z$1,0))/1000,"")</f>
        <v>13.986095999999998</v>
      </c>
      <c r="H25" s="530">
        <f>IF(T!$A$4&gt;=H$42,INDEX('[3]Poklady MZ'!$C$17:$Z$17,1,MATCH(H$5,'[3]Poklady MZ'!$C$1:$Z$1,0))/1000,"")</f>
        <v>14.309644999999996</v>
      </c>
      <c r="I25" s="545">
        <f>IF(T!$A$4&gt;=I$42,INDEX('[3]Poklady MZ'!$C$17:$Z$17,1,MATCH(I$5,'[3]Poklady MZ'!$C$1:$Z$1,0))/1000,"")</f>
        <v>13.031152000000001</v>
      </c>
      <c r="J25" s="530" t="str">
        <f>IF(T!$A$4&gt;=J$42,INDEX('[3]Poklady MZ'!$C$17:$Z$17,1,MATCH(J$5,'[3]Poklady MZ'!$C$1:$Z$1,0))/1000,"")</f>
        <v/>
      </c>
      <c r="K25" s="530" t="str">
        <f>IF(T!$A$4&gt;=K$42,INDEX('[3]Poklady MZ'!$C$17:$Z$17,1,MATCH(K$5,'[3]Poklady MZ'!$C$1:$Z$1,0))/1000,"")</f>
        <v/>
      </c>
      <c r="L25" s="545" t="str">
        <f>IF(T!$A$4&gt;=L$42,INDEX('[3]Poklady MZ'!$C$17:$Z$17,1,MATCH(L$5,'[3]Poklady MZ'!$C$1:$Z$1,0))/1000,"")</f>
        <v/>
      </c>
      <c r="M25" s="530" t="str">
        <f>IF(T!$A$4&gt;=M$42,INDEX('[3]Poklady MZ'!$C$17:$Z$17,1,MATCH(M$5,'[3]Poklady MZ'!$C$1:$Z$1,0))/1000,"")</f>
        <v/>
      </c>
      <c r="N25" s="530" t="str">
        <f>IF(T!$A$4&gt;=N$42,INDEX('[3]Poklady MZ'!$C$17:$Z$17,1,MATCH(N$5,'[3]Poklady MZ'!$C$1:$Z$1,0))/1000,"")</f>
        <v/>
      </c>
      <c r="O25" s="530" t="str">
        <f>IF(T!$A$4&gt;=O$42,INDEX('[3]Poklady MZ'!$C$17:$Z$17,1,MATCH(O$5,'[3]Poklady MZ'!$C$1:$Z$1,0))/1000,"")</f>
        <v/>
      </c>
      <c r="P25" s="590">
        <f t="shared" si="0"/>
        <v>83.485174000000001</v>
      </c>
    </row>
    <row r="26" spans="1:19" ht="18" customHeight="1" x14ac:dyDescent="0.2">
      <c r="A26" s="820" t="s">
        <v>261</v>
      </c>
      <c r="B26" s="820"/>
      <c r="C26" s="568" t="s">
        <v>303</v>
      </c>
      <c r="D26" s="543">
        <f>IF(T!$A$4&gt;=D$42,INDEX('[3]Poklady MZ'!$C$17:$Z$17,1,MATCH(D$5,'[3]Poklady MZ'!$C$1:$Z$1,0)+1)/1000,"")</f>
        <v>154.08155320000003</v>
      </c>
      <c r="E26" s="543">
        <f>IF(T!$A$4&gt;=E$42,INDEX('[3]Poklady MZ'!$C$17:$Z$17,1,MATCH(E$5,'[3]Poklady MZ'!$C$1:$Z$1,0)+1)/1000,"")</f>
        <v>144.12608200000003</v>
      </c>
      <c r="F26" s="570">
        <f>IF(T!$A$4&gt;=F$42,INDEX('[3]Poklady MZ'!$C$17:$Z$17,1,MATCH(F$5,'[3]Poklady MZ'!$C$1:$Z$1,0)+1)/1000,"")</f>
        <v>159.14952839489999</v>
      </c>
      <c r="G26" s="543">
        <f>IF(T!$A$4&gt;=G$42,INDEX('[3]Poklady MZ'!$C$17:$Z$17,1,MATCH(G$5,'[3]Poklady MZ'!$C$1:$Z$1,0)+1)/1000,"")</f>
        <v>151.93253561999998</v>
      </c>
      <c r="H26" s="530">
        <f>IF(T!$A$4&gt;=H$42,INDEX('[3]Poklady MZ'!$C$17:$Z$17,1,MATCH(H$5,'[3]Poklady MZ'!$C$1:$Z$1,0)+1)/1000,"")</f>
        <v>156.03802252</v>
      </c>
      <c r="I26" s="545">
        <f>IF(T!$A$4&gt;=I$42,INDEX('[3]Poklady MZ'!$C$17:$Z$17,1,MATCH(I$5,'[3]Poklady MZ'!$C$1:$Z$1,0)+1)/1000,"")</f>
        <v>142.2199755</v>
      </c>
      <c r="J26" s="530" t="str">
        <f>IF(T!$A$4&gt;=J$42,INDEX('[3]Poklady MZ'!$C$17:$Z$17,1,MATCH(J$5,'[3]Poklady MZ'!$C$1:$Z$1,0)+1)/1000,"")</f>
        <v/>
      </c>
      <c r="K26" s="530" t="str">
        <f>IF(T!$A$4&gt;=K$42,INDEX('[3]Poklady MZ'!$C$17:$Z$17,1,MATCH(K$5,'[3]Poklady MZ'!$C$1:$Z$1,0)+1)/1000,"")</f>
        <v/>
      </c>
      <c r="L26" s="545" t="str">
        <f>IF(T!$A$4&gt;=L$42,INDEX('[3]Poklady MZ'!$C$17:$Z$17,1,MATCH(L$5,'[3]Poklady MZ'!$C$1:$Z$1,0)+1)/1000,"")</f>
        <v/>
      </c>
      <c r="M26" s="530" t="str">
        <f>IF(T!$A$4&gt;=M$42,INDEX('[3]Poklady MZ'!$C$17:$Z$17,1,MATCH(M$5,'[3]Poklady MZ'!$C$1:$Z$1,0)+1)/1000,"")</f>
        <v/>
      </c>
      <c r="N26" s="530" t="str">
        <f>IF(T!$A$4&gt;=N$42,INDEX('[3]Poklady MZ'!$C$17:$Z$17,1,MATCH(N$5,'[3]Poklady MZ'!$C$1:$Z$1,0)+1)/1000,"")</f>
        <v/>
      </c>
      <c r="O26" s="530" t="str">
        <f>IF(T!$A$4&gt;=O$42,INDEX('[3]Poklady MZ'!$C$17:$Z$17,1,MATCH(O$5,'[3]Poklady MZ'!$C$1:$Z$1,0)+1)/1000,"")</f>
        <v/>
      </c>
      <c r="P26" s="590">
        <f t="shared" si="0"/>
        <v>907.54769723490006</v>
      </c>
    </row>
    <row r="27" spans="1:19" ht="9" customHeight="1" x14ac:dyDescent="0.2">
      <c r="A27" s="506"/>
      <c r="B27" s="613"/>
      <c r="C27" s="573"/>
      <c r="D27" s="547"/>
      <c r="E27" s="547"/>
      <c r="F27" s="578"/>
      <c r="G27" s="547"/>
      <c r="H27" s="549"/>
      <c r="I27" s="550"/>
      <c r="J27" s="549"/>
      <c r="K27" s="549"/>
      <c r="L27" s="550"/>
      <c r="M27" s="549"/>
      <c r="N27" s="549"/>
      <c r="O27" s="549"/>
      <c r="P27" s="591"/>
    </row>
    <row r="28" spans="1:19" ht="9" customHeight="1" x14ac:dyDescent="0.2">
      <c r="A28" s="507"/>
      <c r="B28" s="465"/>
      <c r="C28" s="520"/>
      <c r="D28" s="499"/>
      <c r="E28" s="499"/>
      <c r="F28" s="521"/>
      <c r="G28" s="499"/>
      <c r="H28" s="499"/>
      <c r="I28" s="521"/>
      <c r="J28" s="499"/>
      <c r="K28" s="499"/>
      <c r="L28" s="521"/>
      <c r="M28" s="499"/>
      <c r="N28" s="499"/>
      <c r="O28" s="499"/>
      <c r="P28" s="590"/>
    </row>
    <row r="29" spans="1:19" ht="18" customHeight="1" x14ac:dyDescent="0.2">
      <c r="A29" s="820" t="s">
        <v>260</v>
      </c>
      <c r="B29" s="820"/>
      <c r="C29" s="568" t="s">
        <v>250</v>
      </c>
      <c r="D29" s="530">
        <f>IF(T!$A$4&gt;=D$42,-INDEX('[1]Přepravní soustava'!$C$49:$AL$49,1,MATCH(D$5,'[1]Přepravní soustava'!$C$1:$AL$1,0))/1000,"")</f>
        <v>-18.117960132158839</v>
      </c>
      <c r="E29" s="543">
        <f>IF(T!$A$4&gt;=E$42,-INDEX('[1]Přepravní soustava'!$C$49:$AL$49,1,MATCH(E$5,'[1]Přepravní soustava'!$C$1:$AL$1,0))/1000,"")</f>
        <v>-12.684402622247585</v>
      </c>
      <c r="F29" s="570">
        <f>IF(T!$A$4&gt;=F$42,-INDEX('[1]Přepravní soustava'!$C$49:$AL$49,1,MATCH(F$5,'[1]Přepravní soustava'!$C$1:$AL$1,0))/1000,"")</f>
        <v>-6.0139529915014425</v>
      </c>
      <c r="G29" s="543">
        <f>IF(T!$A$4&gt;=G$42,-INDEX('[1]Přepravní soustava'!$C$49:$AL$49,1,MATCH(G$5,'[1]Přepravní soustava'!$C$1:$AL$1,0))/1000,"")</f>
        <v>-22.13701290711484</v>
      </c>
      <c r="H29" s="530">
        <f>IF(T!$A$4&gt;=H$42,-INDEX('[1]Přepravní soustava'!$C$49:$AL$49,1,MATCH(H$5,'[1]Přepravní soustava'!$C$1:$AL$1,0))/1000,"")</f>
        <v>-16.169176930368703</v>
      </c>
      <c r="I29" s="545">
        <f>IF(T!$A$4&gt;=I$42,-INDEX('[1]Přepravní soustava'!$C$49:$AL$49,1,MATCH(I$5,'[1]Přepravní soustava'!$C$1:$AL$1,0))/1000,"")</f>
        <v>-15.995512653756887</v>
      </c>
      <c r="J29" s="530" t="str">
        <f>IF(T!$A$4&gt;=J$42,-INDEX('[1]Přepravní soustava'!$C$49:$AL$49,1,MATCH(J$5,'[1]Přepravní soustava'!$C$1:$AL$1,0))/1000,"")</f>
        <v/>
      </c>
      <c r="K29" s="530" t="str">
        <f>IF(T!$A$4&gt;=K$42,-INDEX('[1]Přepravní soustava'!$C$49:$AL$49,1,MATCH(K$5,'[1]Přepravní soustava'!$C$1:$AL$1,0))/1000,"")</f>
        <v/>
      </c>
      <c r="L29" s="545" t="str">
        <f>IF(T!$A$4&gt;=L$42,-INDEX('[1]Přepravní soustava'!$C$49:$AL$49,1,MATCH(L$5,'[1]Přepravní soustava'!$C$1:$AL$1,0))/1000,"")</f>
        <v/>
      </c>
      <c r="M29" s="530" t="str">
        <f>IF(T!$A$4&gt;=M$42,-INDEX('[1]Přepravní soustava'!$C$49:$AL$49,1,MATCH(M$5,'[1]Přepravní soustava'!$C$1:$AL$1,0))/1000,"")</f>
        <v/>
      </c>
      <c r="N29" s="530" t="str">
        <f>IF(T!$A$4&gt;=N$42,-INDEX('[1]Přepravní soustava'!$C$49:$AL$49,1,MATCH(N$5,'[1]Přepravní soustava'!$C$1:$AL$1,0))/1000,"")</f>
        <v/>
      </c>
      <c r="O29" s="530" t="str">
        <f>IF(T!$A$4&gt;=O$42,-INDEX('[1]Přepravní soustava'!$C$49:$AL$49,1,MATCH(O$5,'[1]Přepravní soustava'!$C$1:$AL$1,0))/1000,"")</f>
        <v/>
      </c>
      <c r="P29" s="590">
        <f t="shared" si="0"/>
        <v>-91.118018237148306</v>
      </c>
    </row>
    <row r="30" spans="1:19" ht="18" customHeight="1" x14ac:dyDescent="0.2">
      <c r="A30" s="820" t="s">
        <v>260</v>
      </c>
      <c r="B30" s="820"/>
      <c r="C30" s="568" t="s">
        <v>303</v>
      </c>
      <c r="D30" s="543">
        <f>IF(T!$A$4&gt;=D$42,-INDEX('[1]Přepravní soustava'!$C$49:$AL$49,1,MATCH(D$5,'[1]Přepravní soustava'!$C$1:$AL$1,0)+1)/1000,"")</f>
        <v>-179.50949799999512</v>
      </c>
      <c r="E30" s="543">
        <f>IF(T!$A$4&gt;=E$42,-INDEX('[1]Přepravní soustava'!$C$49:$AL$49,1,MATCH(E$5,'[1]Přepravní soustava'!$C$1:$AL$1,0)+1)/1000,"")</f>
        <v>-129.10178000000303</v>
      </c>
      <c r="F30" s="570">
        <f>IF(T!$A$4&gt;=F$42,-INDEX('[1]Přepravní soustava'!$C$49:$AL$49,1,MATCH(F$5,'[1]Přepravní soustava'!$C$1:$AL$1,0)+1)/1000,"")</f>
        <v>-61.052843999995297</v>
      </c>
      <c r="G30" s="543">
        <f>IF(T!$A$4&gt;=G$42,-INDEX('[1]Přepravní soustava'!$C$49:$AL$49,1,MATCH(G$5,'[1]Přepravní soustava'!$C$1:$AL$1,0)+1)/1000,"")</f>
        <v>-234.87534299999791</v>
      </c>
      <c r="H30" s="530">
        <f>IF(T!$A$4&gt;=H$42,-INDEX('[1]Přepravní soustava'!$C$49:$AL$49,1,MATCH(H$5,'[1]Přepravní soustava'!$C$1:$AL$1,0)+1)/1000,"")</f>
        <v>-173.85355899999476</v>
      </c>
      <c r="I30" s="545">
        <f>IF(T!$A$4&gt;=I$42,-INDEX('[1]Přepravní soustava'!$C$49:$AL$49,1,MATCH(I$5,'[1]Přepravní soustava'!$C$1:$AL$1,0)+1)/1000,"")</f>
        <v>-162.29760973799975</v>
      </c>
      <c r="J30" s="530" t="str">
        <f>IF(T!$A$4&gt;=J$42,-INDEX('[1]Přepravní soustava'!$C$49:$AL$49,1,MATCH(J$5,'[1]Přepravní soustava'!$C$1:$AL$1,0)+1)/1000,"")</f>
        <v/>
      </c>
      <c r="K30" s="530" t="str">
        <f>IF(T!$A$4&gt;=K$42,-INDEX('[1]Přepravní soustava'!$C$49:$AL$49,1,MATCH(K$5,'[1]Přepravní soustava'!$C$1:$AL$1,0)+1)/1000,"")</f>
        <v/>
      </c>
      <c r="L30" s="545" t="str">
        <f>IF(T!$A$4&gt;=L$42,-INDEX('[1]Přepravní soustava'!$C$49:$AL$49,1,MATCH(L$5,'[1]Přepravní soustava'!$C$1:$AL$1,0)+1)/1000,"")</f>
        <v/>
      </c>
      <c r="M30" s="530" t="str">
        <f>IF(T!$A$4&gt;=M$42,-INDEX('[1]Přepravní soustava'!$C$49:$AL$49,1,MATCH(M$5,'[1]Přepravní soustava'!$C$1:$AL$1,0)+1)/1000,"")</f>
        <v/>
      </c>
      <c r="N30" s="530" t="str">
        <f>IF(T!$A$4&gt;=N$42,-INDEX('[1]Přepravní soustava'!$C$49:$AL$49,1,MATCH(N$5,'[1]Přepravní soustava'!$C$1:$AL$1,0)+1)/1000,"")</f>
        <v/>
      </c>
      <c r="O30" s="530" t="str">
        <f>IF(T!$A$4&gt;=O$42,-INDEX('[1]Přepravní soustava'!$C$49:$AL$49,1,MATCH(O$5,'[1]Přepravní soustava'!$C$1:$AL$1,0)+1)/1000,"")</f>
        <v/>
      </c>
      <c r="P30" s="590">
        <f t="shared" si="0"/>
        <v>-940.69063373798588</v>
      </c>
    </row>
    <row r="31" spans="1:19" ht="9" customHeight="1" x14ac:dyDescent="0.2">
      <c r="A31" s="506"/>
      <c r="B31" s="613"/>
      <c r="C31" s="573"/>
      <c r="D31" s="547"/>
      <c r="E31" s="547"/>
      <c r="F31" s="578"/>
      <c r="G31" s="547"/>
      <c r="H31" s="549"/>
      <c r="I31" s="550"/>
      <c r="J31" s="549"/>
      <c r="K31" s="549"/>
      <c r="L31" s="550"/>
      <c r="M31" s="549"/>
      <c r="N31" s="549"/>
      <c r="O31" s="549"/>
      <c r="P31" s="591"/>
    </row>
    <row r="32" spans="1:19" ht="9" customHeight="1" x14ac:dyDescent="0.2">
      <c r="A32" s="889"/>
      <c r="B32" s="614"/>
      <c r="C32" s="599"/>
      <c r="D32" s="600"/>
      <c r="E32" s="600"/>
      <c r="F32" s="601"/>
      <c r="G32" s="600"/>
      <c r="H32" s="600"/>
      <c r="I32" s="601"/>
      <c r="J32" s="600"/>
      <c r="K32" s="600"/>
      <c r="L32" s="601"/>
      <c r="M32" s="600"/>
      <c r="N32" s="600"/>
      <c r="O32" s="600"/>
      <c r="P32" s="595"/>
    </row>
    <row r="33" spans="1:16" ht="18" customHeight="1" x14ac:dyDescent="0.2">
      <c r="A33" s="885"/>
      <c r="B33" s="615" t="s">
        <v>85</v>
      </c>
      <c r="C33" s="566" t="s">
        <v>250</v>
      </c>
      <c r="D33" s="522">
        <f>IF(T!$A$4&gt;=D$42,D9+D17+D25+D29,"")</f>
        <v>1081.281222384222</v>
      </c>
      <c r="E33" s="523">
        <f>IF(T!$A$4&gt;=E$42,E9+E17+E25+E29,"")</f>
        <v>989.8668869294786</v>
      </c>
      <c r="F33" s="524">
        <f>IF(T!$A$4&gt;=F$42,F9+F17+F25+F29,"")</f>
        <v>865.53172392396289</v>
      </c>
      <c r="G33" s="523">
        <f>IF(T!$A$4&gt;=G$42,G9+G17+G25+G29,"")</f>
        <v>622.80943485640046</v>
      </c>
      <c r="H33" s="522">
        <f>IF(T!$A$4&gt;=H$42,H9+H17+H25+H29,"")</f>
        <v>404.77313244464204</v>
      </c>
      <c r="I33" s="525">
        <f>IF(T!$A$4&gt;=I$42,I9+I17+I25+I29,"")</f>
        <v>314.40897259545517</v>
      </c>
      <c r="J33" s="522" t="str">
        <f>IF(T!$A$4&gt;=J$42,J9+J17+J25+J29,"")</f>
        <v/>
      </c>
      <c r="K33" s="522" t="str">
        <f>IF(T!$A$4&gt;=K$42,K9+K17+K25+K29,"")</f>
        <v/>
      </c>
      <c r="L33" s="525" t="str">
        <f>IF(T!$A$4&gt;=L$42,L9+L17+L25+L29,"")</f>
        <v/>
      </c>
      <c r="M33" s="522" t="str">
        <f>IF(T!$A$4&gt;=M$42,M9+M17+M25+M29,"")</f>
        <v/>
      </c>
      <c r="N33" s="522" t="str">
        <f>IF(T!$A$4&gt;=N$42,N9+N17+N25+N29,"")</f>
        <v/>
      </c>
      <c r="O33" s="522" t="str">
        <f>IF(T!$A$4&gt;=O$42,O9+O17+O25+O29,"")</f>
        <v/>
      </c>
      <c r="P33" s="595">
        <f t="shared" si="0"/>
        <v>4278.6713731341615</v>
      </c>
    </row>
    <row r="34" spans="1:16" ht="18" customHeight="1" x14ac:dyDescent="0.2">
      <c r="A34" s="885"/>
      <c r="B34" s="615" t="s">
        <v>85</v>
      </c>
      <c r="C34" s="566" t="s">
        <v>303</v>
      </c>
      <c r="D34" s="523">
        <f>IF(T!$A$4&gt;=D$42,D12+D21+D26+D30,"")</f>
        <v>11492.758327553393</v>
      </c>
      <c r="E34" s="523">
        <f>IF(T!$A$4&gt;=E$42,E12+E21+E26+E30,"")</f>
        <v>10525.401381702706</v>
      </c>
      <c r="F34" s="524">
        <f>IF(T!$A$4&gt;=F$42,F12+F21+F26+F30,"")</f>
        <v>9201.9028546028949</v>
      </c>
      <c r="G34" s="523">
        <f>IF(T!$A$4&gt;=G$42,G12+G21+G26+G30,"")</f>
        <v>6626.1087584350007</v>
      </c>
      <c r="H34" s="522">
        <f>IF(T!$A$4&gt;=H$42,H12+H21+H26+H30,"")</f>
        <v>4332.1299216519965</v>
      </c>
      <c r="I34" s="525">
        <f>IF(T!$A$4&gt;=I$42,I12+I21+I26+I30,"")</f>
        <v>3367.3131419259998</v>
      </c>
      <c r="J34" s="522" t="str">
        <f>IF(T!$A$4&gt;=J$42,J12+J21+J26+J30,"")</f>
        <v/>
      </c>
      <c r="K34" s="522" t="str">
        <f>IF(T!$A$4&gt;=K$42,K12+K21+K26+K30,"")</f>
        <v/>
      </c>
      <c r="L34" s="525" t="str">
        <f>IF(T!$A$4&gt;=L$42,L12+L21+L26+L30,"")</f>
        <v/>
      </c>
      <c r="M34" s="522" t="str">
        <f>IF(T!$A$4&gt;=M$42,M12+M21+M26+M30,"")</f>
        <v/>
      </c>
      <c r="N34" s="522" t="str">
        <f>IF(T!$A$4&gt;=N$42,N12+N21+N26+N30,"")</f>
        <v/>
      </c>
      <c r="O34" s="522" t="str">
        <f>IF(T!$A$4&gt;=O$42,O12+O21+O26+O30,"")</f>
        <v/>
      </c>
      <c r="P34" s="595">
        <f t="shared" si="0"/>
        <v>45545.614385871995</v>
      </c>
    </row>
    <row r="35" spans="1:16" ht="9" customHeight="1" x14ac:dyDescent="0.2">
      <c r="A35" s="886"/>
      <c r="B35" s="616"/>
      <c r="C35" s="603"/>
      <c r="D35" s="604"/>
      <c r="E35" s="604"/>
      <c r="F35" s="605"/>
      <c r="G35" s="604"/>
      <c r="H35" s="606"/>
      <c r="I35" s="607"/>
      <c r="J35" s="606"/>
      <c r="K35" s="606"/>
      <c r="L35" s="607"/>
      <c r="M35" s="606"/>
      <c r="N35" s="606"/>
      <c r="O35" s="606"/>
      <c r="P35" s="608"/>
    </row>
    <row r="36" spans="1:16" x14ac:dyDescent="0.2">
      <c r="A36" s="39"/>
      <c r="B36" s="505"/>
      <c r="C36" s="580"/>
      <c r="G36" s="510"/>
      <c r="H36" s="505"/>
      <c r="I36" s="504"/>
      <c r="M36" s="510"/>
      <c r="N36" s="505"/>
      <c r="O36" s="505"/>
      <c r="P36" s="612"/>
    </row>
    <row r="37" spans="1:16" x14ac:dyDescent="0.2">
      <c r="P37" s="594"/>
    </row>
    <row r="42" spans="1:16" x14ac:dyDescent="0.2">
      <c r="E42" s="690">
        <v>2</v>
      </c>
      <c r="F42" s="690">
        <v>3</v>
      </c>
      <c r="G42" s="690">
        <v>4</v>
      </c>
      <c r="H42" s="690">
        <v>5</v>
      </c>
      <c r="I42" s="690">
        <v>6</v>
      </c>
      <c r="J42" s="690">
        <v>7</v>
      </c>
      <c r="K42" s="690">
        <v>8</v>
      </c>
      <c r="L42" s="690">
        <v>9</v>
      </c>
      <c r="M42" s="690">
        <v>10</v>
      </c>
      <c r="N42" s="690">
        <v>11</v>
      </c>
      <c r="O42" s="690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1" t="s">
        <v>56</v>
      </c>
      <c r="Q1" s="821"/>
    </row>
    <row r="2" spans="1:18" ht="15" customHeight="1" x14ac:dyDescent="0.25">
      <c r="A2" s="890" t="s">
        <v>48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</row>
    <row r="3" spans="1:18" ht="15" customHeight="1" x14ac:dyDescent="0.25">
      <c r="A3" s="893">
        <f>T!$I$21</f>
        <v>2015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4"/>
      <c r="P5" s="891" t="s">
        <v>78</v>
      </c>
      <c r="Q5" s="54"/>
    </row>
    <row r="6" spans="1:18" ht="15" customHeight="1" thickBot="1" x14ac:dyDescent="0.25">
      <c r="A6" s="118" t="s">
        <v>128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2"/>
      <c r="Q6" s="111" t="s">
        <v>79</v>
      </c>
      <c r="R6" s="16"/>
    </row>
    <row r="7" spans="1:18" ht="15" customHeight="1" x14ac:dyDescent="0.2">
      <c r="A7" s="637" t="s">
        <v>6</v>
      </c>
      <c r="B7" s="638">
        <f>IF(T!$A$4&gt;=MONTH(B$6&amp;$A$3),'[11]Podklady MZ'!B3,"")</f>
        <v>281</v>
      </c>
      <c r="C7" s="639">
        <f>IF(T!$A$4&gt;=MONTH(C$6&amp;$A$3),'[11]Podklady MZ'!C3,"")</f>
        <v>10</v>
      </c>
      <c r="D7" s="639">
        <f>IF(T!$A$4&gt;=MONTH(D$6&amp;$A$3),'[11]Podklady MZ'!D3,"")</f>
        <v>3</v>
      </c>
      <c r="E7" s="639">
        <f>IF(T!$A$4&gt;=MONTH(E$6&amp;$A$3),'[11]Podklady MZ'!E3,"")</f>
        <v>2</v>
      </c>
      <c r="F7" s="639">
        <f>IF(T!$A$4&gt;=MONTH(F$6&amp;$A$3),'[11]Podklady MZ'!F3,"")</f>
        <v>1</v>
      </c>
      <c r="G7" s="639">
        <f>IF(T!$A$4&gt;=MONTH(G$6&amp;$A$3),'[11]Podklady MZ'!G3,"")</f>
        <v>3</v>
      </c>
      <c r="H7" s="639" t="str">
        <f>IF(T!$A$4&gt;=MONTH(H$6&amp;$A$3),'[11]Podklady MZ'!H3,"")</f>
        <v/>
      </c>
      <c r="I7" s="639" t="str">
        <f>IF(T!$A$4&gt;=MONTH(I$6&amp;$A$3),'[11]Podklady MZ'!I3,"")</f>
        <v/>
      </c>
      <c r="J7" s="639" t="str">
        <f>IF(T!$A$4&gt;=MONTH(J$6&amp;$A$3),'[11]Podklady MZ'!J3,"")</f>
        <v/>
      </c>
      <c r="K7" s="639" t="str">
        <f>IF(T!$A$4&gt;=MONTH(K$6&amp;$A$3),'[11]Podklady MZ'!K3,"")</f>
        <v/>
      </c>
      <c r="L7" s="639" t="str">
        <f>IF(T!$A$4&gt;=MONTH(L$6&amp;$A$3),'[11]Podklady MZ'!L3,"")</f>
        <v/>
      </c>
      <c r="M7" s="640" t="str">
        <f>IF(T!$A$4&gt;=MONTH(M$6&amp;$A$3),'[11]Podklady MZ'!M3,"")</f>
        <v/>
      </c>
      <c r="N7" s="641">
        <f>SUM(B7:M7)</f>
        <v>300</v>
      </c>
      <c r="O7" s="53"/>
      <c r="P7" s="642">
        <f>'5'!D11</f>
        <v>1593</v>
      </c>
      <c r="Q7" s="643">
        <f>N7/P7</f>
        <v>0.18832391713747645</v>
      </c>
    </row>
    <row r="8" spans="1:18" ht="15" customHeight="1" x14ac:dyDescent="0.2">
      <c r="A8" s="637" t="s">
        <v>7</v>
      </c>
      <c r="B8" s="638">
        <f>IF(T!$A$4&gt;=MONTH(B$6&amp;$A$3),'[11]Podklady MZ'!B4,"")</f>
        <v>1043</v>
      </c>
      <c r="C8" s="639">
        <f>IF(T!$A$4&gt;=MONTH(C$6&amp;$A$3),'[11]Podklady MZ'!C4,"")</f>
        <v>27</v>
      </c>
      <c r="D8" s="639">
        <f>IF(T!$A$4&gt;=MONTH(D$6&amp;$A$3),'[11]Podklady MZ'!D4,"")</f>
        <v>19</v>
      </c>
      <c r="E8" s="639">
        <f>IF(T!$A$4&gt;=MONTH(E$6&amp;$A$3),'[11]Podklady MZ'!E4,"")</f>
        <v>33</v>
      </c>
      <c r="F8" s="639">
        <f>IF(T!$A$4&gt;=MONTH(F$6&amp;$A$3),'[11]Podklady MZ'!F4,"")</f>
        <v>20</v>
      </c>
      <c r="G8" s="639">
        <f>IF(T!$A$4&gt;=MONTH(G$6&amp;$A$3),'[11]Podklady MZ'!G4,"")</f>
        <v>18</v>
      </c>
      <c r="H8" s="639" t="str">
        <f>IF(T!$A$4&gt;=MONTH(H$6&amp;$A$3),'[11]Podklady MZ'!H4,"")</f>
        <v/>
      </c>
      <c r="I8" s="639" t="str">
        <f>IF(T!$A$4&gt;=MONTH(I$6&amp;$A$3),'[11]Podklady MZ'!I4,"")</f>
        <v/>
      </c>
      <c r="J8" s="639" t="str">
        <f>IF(T!$A$4&gt;=MONTH(J$6&amp;$A$3),'[11]Podklady MZ'!J4,"")</f>
        <v/>
      </c>
      <c r="K8" s="639" t="str">
        <f>IF(T!$A$4&gt;=MONTH(K$6&amp;$A$3),'[11]Podklady MZ'!K4,"")</f>
        <v/>
      </c>
      <c r="L8" s="639" t="str">
        <f>IF(T!$A$4&gt;=MONTH(L$6&amp;$A$3),'[11]Podklady MZ'!L4,"")</f>
        <v/>
      </c>
      <c r="M8" s="640" t="str">
        <f>IF(T!$A$4&gt;=MONTH(M$6&amp;$A$3),'[11]Podklady MZ'!M4,"")</f>
        <v/>
      </c>
      <c r="N8" s="641">
        <f t="shared" ref="N8:N10" si="0">SUM(B8:M8)</f>
        <v>1160</v>
      </c>
      <c r="O8" s="53"/>
      <c r="P8" s="642">
        <f>'5'!D12</f>
        <v>6758</v>
      </c>
      <c r="Q8" s="643">
        <f>N8/P8</f>
        <v>0.1716484166913288</v>
      </c>
    </row>
    <row r="9" spans="1:18" ht="15" customHeight="1" x14ac:dyDescent="0.2">
      <c r="A9" s="637" t="s">
        <v>8</v>
      </c>
      <c r="B9" s="638">
        <f>IF(T!$A$4&gt;=MONTH(B$6&amp;$A$3),'[11]Podklady MZ'!B5,"")</f>
        <v>10986</v>
      </c>
      <c r="C9" s="639">
        <f>IF(T!$A$4&gt;=MONTH(C$6&amp;$A$3),'[11]Podklady MZ'!C5,"")</f>
        <v>829</v>
      </c>
      <c r="D9" s="639">
        <f>IF(T!$A$4&gt;=MONTH(D$6&amp;$A$3),'[11]Podklady MZ'!D5,"")</f>
        <v>873</v>
      </c>
      <c r="E9" s="639">
        <f>IF(T!$A$4&gt;=MONTH(E$6&amp;$A$3),'[11]Podklady MZ'!E5,"")</f>
        <v>840</v>
      </c>
      <c r="F9" s="639">
        <f>IF(T!$A$4&gt;=MONTH(F$6&amp;$A$3),'[11]Podklady MZ'!F5,"")</f>
        <v>1284</v>
      </c>
      <c r="G9" s="639">
        <f>IF(T!$A$4&gt;=MONTH(G$6&amp;$A$3),'[11]Podklady MZ'!G5,"")</f>
        <v>725</v>
      </c>
      <c r="H9" s="639" t="str">
        <f>IF(T!$A$4&gt;=MONTH(H$6&amp;$A$3),'[11]Podklady MZ'!H5,"")</f>
        <v/>
      </c>
      <c r="I9" s="639" t="str">
        <f>IF(T!$A$4&gt;=MONTH(I$6&amp;$A$3),'[11]Podklady MZ'!I5,"")</f>
        <v/>
      </c>
      <c r="J9" s="639" t="str">
        <f>IF(T!$A$4&gt;=MONTH(J$6&amp;$A$3),'[11]Podklady MZ'!J5,"")</f>
        <v/>
      </c>
      <c r="K9" s="639" t="str">
        <f>IF(T!$A$4&gt;=MONTH(K$6&amp;$A$3),'[11]Podklady MZ'!K5,"")</f>
        <v/>
      </c>
      <c r="L9" s="639" t="str">
        <f>IF(T!$A$4&gt;=MONTH(L$6&amp;$A$3),'[11]Podklady MZ'!L5,"")</f>
        <v/>
      </c>
      <c r="M9" s="640" t="str">
        <f>IF(T!$A$4&gt;=MONTH(M$6&amp;$A$3),'[11]Podklady MZ'!M5,"")</f>
        <v/>
      </c>
      <c r="N9" s="641">
        <f t="shared" si="0"/>
        <v>15537</v>
      </c>
      <c r="O9" s="53"/>
      <c r="P9" s="642">
        <f>'5'!D13</f>
        <v>197387</v>
      </c>
      <c r="Q9" s="643">
        <f t="shared" ref="Q9:Q10" si="1">N9/P9</f>
        <v>7.8713390446179338E-2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>
        <f>IF(T!$A$4&gt;=MONTH(G$6&amp;$A$3),'[11]Podklady MZ'!G6,"")</f>
        <v>11609</v>
      </c>
      <c r="H10" s="113" t="str">
        <f>IF(T!$A$4&gt;=MONTH(H$6&amp;$A$3),'[11]Podklady MZ'!H6,"")</f>
        <v/>
      </c>
      <c r="I10" s="113" t="str">
        <f>IF(T!$A$4&gt;=MONTH(I$6&amp;$A$3),'[11]Podklady MZ'!I6,"")</f>
        <v/>
      </c>
      <c r="J10" s="113" t="str">
        <f>IF(T!$A$4&gt;=MONTH(J$6&amp;$A$3),'[11]Podklady MZ'!J6,"")</f>
        <v/>
      </c>
      <c r="K10" s="113" t="str">
        <f>IF(T!$A$4&gt;=MONTH(K$6&amp;$A$3),'[11]Podklady MZ'!K6,"")</f>
        <v/>
      </c>
      <c r="L10" s="113" t="str">
        <f>IF(T!$A$4&gt;=MONTH(L$6&amp;$A$3),'[11]Podklady MZ'!L6,"")</f>
        <v/>
      </c>
      <c r="M10" s="114" t="str">
        <f>IF(T!$A$4&gt;=MONTH(M$6&amp;$A$3),'[11]Podklady MZ'!M6,"")</f>
        <v/>
      </c>
      <c r="N10" s="115">
        <f t="shared" si="0"/>
        <v>81562</v>
      </c>
      <c r="O10" s="53"/>
      <c r="P10" s="116">
        <f>'5'!D14</f>
        <v>2637627</v>
      </c>
      <c r="Q10" s="117">
        <f t="shared" si="1"/>
        <v>3.0922492073367464E-2</v>
      </c>
    </row>
    <row r="11" spans="1:18" ht="15" customHeight="1" x14ac:dyDescent="0.2">
      <c r="A11" s="491" t="s">
        <v>2</v>
      </c>
      <c r="B11" s="492">
        <f>IF(T!$A$4&gt;=MONTH(B$6&amp;$A$3),SUM(B7:B10),"")</f>
        <v>29874</v>
      </c>
      <c r="C11" s="493">
        <f>IF(T!$A$4&gt;=MONTH(C$6&amp;$A$3),SUM(C7:C10),"")</f>
        <v>11404</v>
      </c>
      <c r="D11" s="493">
        <f>IF(T!$A$4&gt;=MONTH(D$6&amp;$A$3),SUM(D7:D10),"")</f>
        <v>11848</v>
      </c>
      <c r="E11" s="493">
        <f>IF(T!$A$4&gt;=MONTH(E$6&amp;$A$3),SUM(E7:E10),"")</f>
        <v>12085</v>
      </c>
      <c r="F11" s="493">
        <f>IF(T!$A$4&gt;=MONTH(F$6&amp;$A$3),SUM(F7:F10),"")</f>
        <v>20993</v>
      </c>
      <c r="G11" s="493">
        <f>IF(T!$A$4&gt;=MONTH(G$6&amp;$A$3),SUM(G7:G10),"")</f>
        <v>12355</v>
      </c>
      <c r="H11" s="493" t="str">
        <f>IF(T!$A$4&gt;=MONTH(H$6&amp;$A$3),SUM(H7:H10),"")</f>
        <v/>
      </c>
      <c r="I11" s="493" t="str">
        <f>IF(T!$A$4&gt;=MONTH(I$6&amp;$A$3),SUM(I7:I10),"")</f>
        <v/>
      </c>
      <c r="J11" s="493" t="str">
        <f>IF(T!$A$4&gt;=MONTH(J$6&amp;$A$3),SUM(J7:J10),"")</f>
        <v/>
      </c>
      <c r="K11" s="493" t="str">
        <f>IF(T!$A$4&gt;=MONTH(K$6&amp;$A$3),SUM(K7:K10),"")</f>
        <v/>
      </c>
      <c r="L11" s="493" t="str">
        <f>IF(T!$A$4&gt;=MONTH(L$6&amp;$A$3),SUM(L7:L10),"")</f>
        <v/>
      </c>
      <c r="M11" s="494" t="str">
        <f>IF(T!$A$4&gt;=MONTH(M$6&amp;$A$3),SUM(M7:M10),"")</f>
        <v/>
      </c>
      <c r="N11" s="495">
        <f>SUM(B11:M11)</f>
        <v>98559</v>
      </c>
      <c r="P11" s="490">
        <f>'5'!D15</f>
        <v>2843365</v>
      </c>
      <c r="Q11" s="496">
        <f>N11/P11</f>
        <v>3.4662802700321627E-2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6" t="s">
        <v>57</v>
      </c>
      <c r="O1" s="856"/>
      <c r="T1" s="75">
        <f>A31</f>
        <v>2014</v>
      </c>
      <c r="U1" s="689">
        <f>A27</f>
        <v>2015</v>
      </c>
      <c r="V1" s="689">
        <f>A27</f>
        <v>2015</v>
      </c>
      <c r="W1" s="689" t="s">
        <v>315</v>
      </c>
    </row>
    <row r="2" spans="1:23" ht="15.75" x14ac:dyDescent="0.25">
      <c r="A2" s="890" t="str">
        <f>"Porovnání denní spotřeby zemního plynu v ČR mezi roky "&amp;A31&amp;" a "&amp;A27</f>
        <v>Porovnání denní spotřeby zemního plynu v ČR mezi roky 2014 a 2015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895" t="s">
        <v>196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898">
        <f>T!$I$21</f>
        <v>2015</v>
      </c>
      <c r="B27" s="896" t="s">
        <v>197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10.480260882570418</v>
      </c>
      <c r="J27" s="185">
        <f>'[8]Podklady MZ'!J4</f>
        <v>9.2915719791032654</v>
      </c>
      <c r="K27" s="185">
        <f>'[8]Podklady MZ'!K4</f>
        <v>9.3548387096774182</v>
      </c>
      <c r="L27" s="185">
        <f>'[8]Podklady MZ'!L4</f>
        <v>12.66666666666667</v>
      </c>
      <c r="M27" s="185">
        <f>'[8]Podklady MZ'!M4</f>
        <v>20.96774193548389</v>
      </c>
      <c r="N27" s="185">
        <f>'[8]Podklady MZ'!N4</f>
        <v>30.666666666666654</v>
      </c>
      <c r="O27" s="186">
        <f>'[8]Podklady MZ'!O4</f>
        <v>34.838709677419359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899"/>
      <c r="B28" s="897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112.2437871833333</v>
      </c>
      <c r="J28" s="188">
        <f>'[8]Podklady MZ'!J5</f>
        <v>98.490662978494612</v>
      </c>
      <c r="K28" s="188">
        <f>'[8]Podklady MZ'!K5</f>
        <v>99.354838709677452</v>
      </c>
      <c r="L28" s="188">
        <f>'[8]Podklady MZ'!L5</f>
        <v>134.6666666666666</v>
      </c>
      <c r="M28" s="188">
        <f>'[8]Podklady MZ'!M5</f>
        <v>222.58064516129045</v>
      </c>
      <c r="N28" s="188">
        <f>'[8]Podklady MZ'!N5</f>
        <v>325.66666666666663</v>
      </c>
      <c r="O28" s="189">
        <f>'[8]Podklady MZ'!O5</f>
        <v>370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899"/>
      <c r="B29" s="901" t="s">
        <v>129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0.16364182324992455</v>
      </c>
      <c r="J29" s="185">
        <f>'[8]Podklady MZ'!J6</f>
        <v>2.1319994498834021E-2</v>
      </c>
      <c r="K29" s="185">
        <f>'[8]Podklady MZ'!K6</f>
        <v>0.15</v>
      </c>
      <c r="L29" s="185">
        <f>'[8]Podklady MZ'!L6</f>
        <v>0.81</v>
      </c>
      <c r="M29" s="185">
        <f>'[8]Podklady MZ'!M6</f>
        <v>1.05</v>
      </c>
      <c r="N29" s="185">
        <f>'[8]Podklady MZ'!N6</f>
        <v>1.41</v>
      </c>
      <c r="O29" s="186">
        <f>'[8]Podklady MZ'!O6</f>
        <v>1.48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0"/>
      <c r="B30" s="902"/>
      <c r="C30" s="160" t="s">
        <v>202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1.7526069426100241</v>
      </c>
      <c r="J30" s="188">
        <f>'[8]Podklady MZ'!J7</f>
        <v>0.22599194168764061</v>
      </c>
      <c r="K30" s="188">
        <f>'[8]Podklady MZ'!K7</f>
        <v>1.5931034482758626</v>
      </c>
      <c r="L30" s="188">
        <f>'[8]Podklady MZ'!L7</f>
        <v>8.6115789473684146</v>
      </c>
      <c r="M30" s="188">
        <f>'[8]Podklady MZ'!M7</f>
        <v>11.146153846153842</v>
      </c>
      <c r="N30" s="188">
        <f>'[8]Podklady MZ'!N7</f>
        <v>14.973586956521745</v>
      </c>
      <c r="O30" s="189">
        <f>'[8]Podklady MZ'!O7</f>
        <v>15.718148148148146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904">
        <f>A27-1</f>
        <v>2014</v>
      </c>
      <c r="B31" s="906" t="s">
        <v>197</v>
      </c>
      <c r="C31" s="172" t="s">
        <v>198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904"/>
      <c r="B32" s="907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904"/>
      <c r="B33" s="908" t="s">
        <v>129</v>
      </c>
      <c r="C33" s="164" t="s">
        <v>199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905"/>
      <c r="B34" s="909"/>
      <c r="C34" s="168" t="s">
        <v>202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903" t="s">
        <v>308</v>
      </c>
      <c r="B38" s="903"/>
      <c r="C38" s="903"/>
      <c r="D38" s="903"/>
      <c r="E38" s="903"/>
      <c r="F38" s="903"/>
      <c r="G38" s="903"/>
      <c r="H38" s="903"/>
      <c r="I38" s="903"/>
      <c r="J38" s="903"/>
      <c r="K38" s="903"/>
      <c r="L38" s="903"/>
      <c r="M38" s="903"/>
      <c r="N38" s="903"/>
      <c r="O38" s="903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903"/>
      <c r="B39" s="903"/>
      <c r="C39" s="903"/>
      <c r="D39" s="903"/>
      <c r="E39" s="903"/>
      <c r="F39" s="903"/>
      <c r="G39" s="644"/>
      <c r="H39" s="644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>
        <f>IF(T!$A$4&gt;=MONTH(S153),VLOOKUP(S153,'[8]Podklady MZ'!$R$2:$S$367,2,FALSE),NA())</f>
        <v>11.138553848757228</v>
      </c>
      <c r="V153" s="176">
        <f>INDEX([5]PT!$AF$16:$AF$381,DATE(2016,MONTH(S153),DAY(S153))-DATE(2016,1,1)+1,1)</f>
        <v>18.2</v>
      </c>
      <c r="W153" s="176" t="e">
        <f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>
        <f>IF(T!$A$4&gt;=MONTH(S154),VLOOKUP(S154,'[8]Podklady MZ'!$R$2:$S$367,2,FALSE),NA())</f>
        <v>11.003023012763272</v>
      </c>
      <c r="V154" s="176">
        <f>INDEX([5]PT!$AF$16:$AF$381,DATE(2016,MONTH(S154),DAY(S154))-DATE(2016,1,1)+1,1)</f>
        <v>19.600000000000001</v>
      </c>
      <c r="W154" s="176" t="e">
        <f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>
        <f>IF(T!$A$4&gt;=MONTH(S155),VLOOKUP(S155,'[8]Podklady MZ'!$R$2:$S$367,2,FALSE),NA())</f>
        <v>10.573388433417819</v>
      </c>
      <c r="V155" s="176">
        <f>INDEX([5]PT!$AF$16:$AF$381,DATE(2016,MONTH(S155),DAY(S155))-DATE(2016,1,1)+1,1)</f>
        <v>22.1</v>
      </c>
      <c r="W155" s="176" t="e">
        <f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>
        <f>IF(T!$A$4&gt;=MONTH(S156),VLOOKUP(S156,'[8]Podklady MZ'!$R$2:$S$367,2,FALSE),NA())</f>
        <v>10.746849399797272</v>
      </c>
      <c r="V156" s="176">
        <f>INDEX([5]PT!$AF$16:$AF$381,DATE(2016,MONTH(S156),DAY(S156))-DATE(2016,1,1)+1,1)</f>
        <v>18.100000000000001</v>
      </c>
      <c r="W156" s="176" t="e">
        <f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>
        <f>IF(T!$A$4&gt;=MONTH(S157),VLOOKUP(S157,'[8]Podklady MZ'!$R$2:$S$367,2,FALSE),NA())</f>
        <v>10.160940166784341</v>
      </c>
      <c r="V157" s="176">
        <f>INDEX([5]PT!$AF$16:$AF$381,DATE(2016,MONTH(S157),DAY(S157))-DATE(2016,1,1)+1,1)</f>
        <v>19</v>
      </c>
      <c r="W157" s="176" t="e">
        <f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>
        <f>IF(T!$A$4&gt;=MONTH(S158),VLOOKUP(S158,'[8]Podklady MZ'!$R$2:$S$367,2,FALSE),NA())</f>
        <v>8.219274334229274</v>
      </c>
      <c r="V158" s="176">
        <f>INDEX([5]PT!$AF$16:$AF$381,DATE(2016,MONTH(S158),DAY(S158))-DATE(2016,1,1)+1,1)</f>
        <v>22</v>
      </c>
      <c r="W158" s="176" t="e">
        <f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>
        <f>IF(T!$A$4&gt;=MONTH(S159),VLOOKUP(S159,'[8]Podklady MZ'!$R$2:$S$367,2,FALSE),NA())</f>
        <v>8.7818334472753126</v>
      </c>
      <c r="V159" s="176">
        <f>INDEX([5]PT!$AF$16:$AF$381,DATE(2016,MONTH(S159),DAY(S159))-DATE(2016,1,1)+1,1)</f>
        <v>21.1</v>
      </c>
      <c r="W159" s="176" t="e">
        <f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>
        <f>IF(T!$A$4&gt;=MONTH(S160),VLOOKUP(S160,'[8]Podklady MZ'!$R$2:$S$367,2,FALSE),NA())</f>
        <v>10.694449652365083</v>
      </c>
      <c r="V160" s="176">
        <f>INDEX([5]PT!$AF$16:$AF$381,DATE(2016,MONTH(S160),DAY(S160))-DATE(2016,1,1)+1,1)</f>
        <v>17.3</v>
      </c>
      <c r="W160" s="176" t="e">
        <f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>
        <f>IF(T!$A$4&gt;=MONTH(S161),VLOOKUP(S161,'[8]Podklady MZ'!$R$2:$S$367,2,FALSE),NA())</f>
        <v>11.318170860413256</v>
      </c>
      <c r="V161" s="176">
        <f>INDEX([5]PT!$AF$16:$AF$381,DATE(2016,MONTH(S161),DAY(S161))-DATE(2016,1,1)+1,1)</f>
        <v>13.5</v>
      </c>
      <c r="W161" s="176" t="e">
        <f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>
        <f>IF(T!$A$4&gt;=MONTH(S162),VLOOKUP(S162,'[8]Podklady MZ'!$R$2:$S$367,2,FALSE),NA())</f>
        <v>10.856343232966216</v>
      </c>
      <c r="V162" s="176">
        <f>INDEX([5]PT!$AF$16:$AF$381,DATE(2016,MONTH(S162),DAY(S162))-DATE(2016,1,1)+1,1)</f>
        <v>15.6</v>
      </c>
      <c r="W162" s="176" t="e">
        <f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>
        <f>IF(T!$A$4&gt;=MONTH(S163),VLOOKUP(S163,'[8]Podklady MZ'!$R$2:$S$367,2,FALSE),NA())</f>
        <v>10.592796184617917</v>
      </c>
      <c r="V163" s="176">
        <f>INDEX([5]PT!$AF$16:$AF$381,DATE(2016,MONTH(S163),DAY(S163))-DATE(2016,1,1)+1,1)</f>
        <v>18.399999999999999</v>
      </c>
      <c r="W163" s="176" t="e">
        <f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>
        <f>IF(T!$A$4&gt;=MONTH(S164),VLOOKUP(S164,'[8]Podklady MZ'!$R$2:$S$367,2,FALSE),NA())</f>
        <v>9.7578283784183615</v>
      </c>
      <c r="V164" s="176">
        <f>INDEX([5]PT!$AF$16:$AF$381,DATE(2016,MONTH(S164),DAY(S164))-DATE(2016,1,1)+1,1)</f>
        <v>22.2</v>
      </c>
      <c r="W164" s="176" t="e">
        <f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>
        <f>IF(T!$A$4&gt;=MONTH(S165),VLOOKUP(S165,'[8]Podklady MZ'!$R$2:$S$367,2,FALSE),NA())</f>
        <v>8.0874519176162973</v>
      </c>
      <c r="V165" s="176">
        <f>INDEX([5]PT!$AF$16:$AF$381,DATE(2016,MONTH(S165),DAY(S165))-DATE(2016,1,1)+1,1)</f>
        <v>21</v>
      </c>
      <c r="W165" s="176" t="e">
        <f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>
        <f>IF(T!$A$4&gt;=MONTH(S166),VLOOKUP(S166,'[8]Podklady MZ'!$R$2:$S$367,2,FALSE),NA())</f>
        <v>8.3527232431608116</v>
      </c>
      <c r="V166" s="176">
        <f>INDEX([5]PT!$AF$16:$AF$381,DATE(2016,MONTH(S166),DAY(S166))-DATE(2016,1,1)+1,1)</f>
        <v>19.5</v>
      </c>
      <c r="W166" s="176" t="e">
        <f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>
        <f>IF(T!$A$4&gt;=MONTH(S167),VLOOKUP(S167,'[8]Podklady MZ'!$R$2:$S$367,2,FALSE),NA())</f>
        <v>10.533784697160701</v>
      </c>
      <c r="V167" s="176">
        <f>INDEX([5]PT!$AF$16:$AF$381,DATE(2016,MONTH(S167),DAY(S167))-DATE(2016,1,1)+1,1)</f>
        <v>16</v>
      </c>
      <c r="W167" s="176" t="e">
        <f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>
        <f>IF(T!$A$4&gt;=MONTH(S168),VLOOKUP(S168,'[8]Podklady MZ'!$R$2:$S$367,2,FALSE),NA())</f>
        <v>11.051272942360116</v>
      </c>
      <c r="V168" s="176">
        <f>INDEX([5]PT!$AF$16:$AF$381,DATE(2016,MONTH(S168),DAY(S168))-DATE(2016,1,1)+1,1)</f>
        <v>14.5</v>
      </c>
      <c r="W168" s="176" t="e">
        <f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>
        <f>IF(T!$A$4&gt;=MONTH(S169),VLOOKUP(S169,'[8]Podklady MZ'!$R$2:$S$367,2,FALSE),NA())</f>
        <v>11.171552968152533</v>
      </c>
      <c r="V169" s="176">
        <f>INDEX([5]PT!$AF$16:$AF$381,DATE(2016,MONTH(S169),DAY(S169))-DATE(2016,1,1)+1,1)</f>
        <v>12.3</v>
      </c>
      <c r="W169" s="176" t="e">
        <f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>
        <f>IF(T!$A$4&gt;=MONTH(S170),VLOOKUP(S170,'[8]Podklady MZ'!$R$2:$S$367,2,FALSE),NA())</f>
        <v>11.287807611347086</v>
      </c>
      <c r="V170" s="176">
        <f>INDEX([5]PT!$AF$16:$AF$381,DATE(2016,MONTH(S170),DAY(S170))-DATE(2016,1,1)+1,1)</f>
        <v>15</v>
      </c>
      <c r="W170" s="176" t="e">
        <f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>
        <f>IF(T!$A$4&gt;=MONTH(S171),VLOOKUP(S171,'[8]Podklady MZ'!$R$2:$S$367,2,FALSE),NA())</f>
        <v>11.221964926447567</v>
      </c>
      <c r="V171" s="176">
        <f>INDEX([5]PT!$AF$16:$AF$381,DATE(2016,MONTH(S171),DAY(S171))-DATE(2016,1,1)+1,1)</f>
        <v>11.9</v>
      </c>
      <c r="W171" s="176" t="e">
        <f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>
        <f>IF(T!$A$4&gt;=MONTH(S172),VLOOKUP(S172,'[8]Podklady MZ'!$R$2:$S$367,2,FALSE),NA())</f>
        <v>9.6320657383782624</v>
      </c>
      <c r="V172" s="176">
        <f>INDEX([5]PT!$AF$16:$AF$381,DATE(2016,MONTH(S172),DAY(S172))-DATE(2016,1,1)+1,1)</f>
        <v>11</v>
      </c>
      <c r="W172" s="176" t="e">
        <f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>
        <f>IF(T!$A$4&gt;=MONTH(S173),VLOOKUP(S173,'[8]Podklady MZ'!$R$2:$S$367,2,FALSE),NA())</f>
        <v>10.068684557840834</v>
      </c>
      <c r="V173" s="176">
        <f>INDEX([5]PT!$AF$16:$AF$381,DATE(2016,MONTH(S173),DAY(S173))-DATE(2016,1,1)+1,1)</f>
        <v>12.5</v>
      </c>
      <c r="W173" s="176" t="e">
        <f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>
        <f>IF(T!$A$4&gt;=MONTH(S174),VLOOKUP(S174,'[8]Podklady MZ'!$R$2:$S$367,2,FALSE),NA())</f>
        <v>11.900793448201846</v>
      </c>
      <c r="V174" s="176">
        <f>INDEX([5]PT!$AF$16:$AF$381,DATE(2016,MONTH(S174),DAY(S174))-DATE(2016,1,1)+1,1)</f>
        <v>13.7</v>
      </c>
      <c r="W174" s="176" t="e">
        <f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>
        <f>IF(T!$A$4&gt;=MONTH(S175),VLOOKUP(S175,'[8]Podklady MZ'!$R$2:$S$367,2,FALSE),NA())</f>
        <v>12.514668333493278</v>
      </c>
      <c r="V175" s="176">
        <f>INDEX([5]PT!$AF$16:$AF$381,DATE(2016,MONTH(S175),DAY(S175))-DATE(2016,1,1)+1,1)</f>
        <v>12</v>
      </c>
      <c r="W175" s="176" t="e">
        <f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>
        <f>IF(T!$A$4&gt;=MONTH(S176),VLOOKUP(S176,'[8]Podklady MZ'!$R$2:$S$367,2,FALSE),NA())</f>
        <v>12.524604969460771</v>
      </c>
      <c r="V176" s="176">
        <f>INDEX([5]PT!$AF$16:$AF$381,DATE(2016,MONTH(S176),DAY(S176))-DATE(2016,1,1)+1,1)</f>
        <v>12.8</v>
      </c>
      <c r="W176" s="176" t="e">
        <f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>
        <f>IF(T!$A$4&gt;=MONTH(S177),VLOOKUP(S177,'[8]Podklady MZ'!$R$2:$S$367,2,FALSE),NA())</f>
        <v>11.591579537906711</v>
      </c>
      <c r="V177" s="176">
        <f>INDEX([5]PT!$AF$16:$AF$381,DATE(2016,MONTH(S177),DAY(S177))-DATE(2016,1,1)+1,1)</f>
        <v>15.3</v>
      </c>
      <c r="W177" s="176" t="e">
        <f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>
        <f>IF(T!$A$4&gt;=MONTH(S178),VLOOKUP(S178,'[8]Podklady MZ'!$R$2:$S$367,2,FALSE),NA())</f>
        <v>10.491096429598116</v>
      </c>
      <c r="V178" s="176">
        <f>INDEX([5]PT!$AF$16:$AF$381,DATE(2016,MONTH(S178),DAY(S178))-DATE(2016,1,1)+1,1)</f>
        <v>18.2</v>
      </c>
      <c r="W178" s="176" t="e">
        <f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>
        <f>IF(T!$A$4&gt;=MONTH(S179),VLOOKUP(S179,'[8]Podklady MZ'!$R$2:$S$367,2,FALSE),NA())</f>
        <v>8.9860592689411707</v>
      </c>
      <c r="V179" s="176">
        <f>INDEX([5]PT!$AF$16:$AF$381,DATE(2016,MONTH(S179),DAY(S179))-DATE(2016,1,1)+1,1)</f>
        <v>17.2</v>
      </c>
      <c r="W179" s="176" t="e">
        <f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>
        <f>IF(T!$A$4&gt;=MONTH(S180),VLOOKUP(S180,'[8]Podklady MZ'!$R$2:$S$367,2,FALSE),NA())</f>
        <v>9.2388504465816332</v>
      </c>
      <c r="V180" s="176">
        <f>INDEX([5]PT!$AF$16:$AF$381,DATE(2016,MONTH(S180),DAY(S180))-DATE(2016,1,1)+1,1)</f>
        <v>16.2</v>
      </c>
      <c r="W180" s="176" t="e">
        <f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>
        <f>IF(T!$A$4&gt;=MONTH(S181),VLOOKUP(S181,'[8]Podklady MZ'!$R$2:$S$367,2,FALSE),NA())</f>
        <v>11.076462548321208</v>
      </c>
      <c r="V181" s="176">
        <f>INDEX([5]PT!$AF$16:$AF$381,DATE(2016,MONTH(S181),DAY(S181))-DATE(2016,1,1)+1,1)</f>
        <v>16.8</v>
      </c>
      <c r="W181" s="176" t="e">
        <f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>
        <f>IF(T!$A$4&gt;=MONTH(S182),VLOOKUP(S182,'[8]Podklady MZ'!$R$2:$S$367,2,FALSE),NA())</f>
        <v>10.832951940338289</v>
      </c>
      <c r="V182" s="176">
        <f>INDEX([5]PT!$AF$16:$AF$381,DATE(2016,MONTH(S182),DAY(S182))-DATE(2016,1,1)+1,1)</f>
        <v>19.399999999999999</v>
      </c>
      <c r="W182" s="176" t="e">
        <f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 t="e">
        <f>IF(T!$A$4&gt;=MONTH(S183),VLOOKUP(S183,'[8]Podklady MZ'!$R$2:$S$367,2,FALSE),NA())</f>
        <v>#N/A</v>
      </c>
      <c r="V183" s="176">
        <f>INDEX([5]PT!$AF$16:$AF$381,DATE(2016,MONTH(S183),DAY(S183))-DATE(2016,1,1)+1,1)</f>
        <v>0</v>
      </c>
      <c r="W183" s="176">
        <f>IF(T!$A$4&lt;MONTH(S183),VLOOKUP(S183,'[8]Podklady MZ'!$R$2:$S$367,2,FALSE),NA())</f>
        <v>10.473309182389936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 t="e">
        <f>IF(T!$A$4&gt;=MONTH(S184),VLOOKUP(S184,'[8]Podklady MZ'!$R$2:$S$367,2,FALSE),NA())</f>
        <v>#N/A</v>
      </c>
      <c r="V184" s="176">
        <f>INDEX([5]PT!$AF$16:$AF$381,DATE(2016,MONTH(S184),DAY(S184))-DATE(2016,1,1)+1,1)</f>
        <v>0</v>
      </c>
      <c r="W184" s="176">
        <f>IF(T!$A$4&lt;MONTH(S184),VLOOKUP(S184,'[8]Podklady MZ'!$R$2:$S$367,2,FALSE),NA())</f>
        <v>10.231068805031446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 t="e">
        <f>IF(T!$A$4&gt;=MONTH(S185),VLOOKUP(S185,'[8]Podklady MZ'!$R$2:$S$367,2,FALSE),NA())</f>
        <v>#N/A</v>
      </c>
      <c r="V185" s="176">
        <f>INDEX([5]PT!$AF$16:$AF$381,DATE(2016,MONTH(S185),DAY(S185))-DATE(2016,1,1)+1,1)</f>
        <v>0</v>
      </c>
      <c r="W185" s="176">
        <f>IF(T!$A$4&lt;MONTH(S185),VLOOKUP(S185,'[8]Podklady MZ'!$R$2:$S$367,2,FALSE),NA())</f>
        <v>9.4097015408805031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 t="e">
        <f>IF(T!$A$4&gt;=MONTH(S186),VLOOKUP(S186,'[8]Podklady MZ'!$R$2:$S$367,2,FALSE),NA())</f>
        <v>#N/A</v>
      </c>
      <c r="V186" s="176">
        <f>INDEX([5]PT!$AF$16:$AF$381,DATE(2016,MONTH(S186),DAY(S186))-DATE(2016,1,1)+1,1)</f>
        <v>0</v>
      </c>
      <c r="W186" s="176">
        <f>IF(T!$A$4&lt;MONTH(S186),VLOOKUP(S186,'[8]Podklady MZ'!$R$2:$S$367,2,FALSE),NA())</f>
        <v>7.7609388050314472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 t="e">
        <f>IF(T!$A$4&gt;=MONTH(S187),VLOOKUP(S187,'[8]Podklady MZ'!$R$2:$S$367,2,FALSE),NA())</f>
        <v>#N/A</v>
      </c>
      <c r="V187" s="176">
        <f>INDEX([5]PT!$AF$16:$AF$381,DATE(2016,MONTH(S187),DAY(S187))-DATE(2016,1,1)+1,1)</f>
        <v>0</v>
      </c>
      <c r="W187" s="176">
        <f>IF(T!$A$4&lt;MONTH(S187),VLOOKUP(S187,'[8]Podklady MZ'!$R$2:$S$367,2,FALSE),NA())</f>
        <v>7.4637163522012582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 t="e">
        <f>IF(T!$A$4&gt;=MONTH(S188),VLOOKUP(S188,'[8]Podklady MZ'!$R$2:$S$367,2,FALSE),NA())</f>
        <v>#N/A</v>
      </c>
      <c r="V188" s="176">
        <f>INDEX([5]PT!$AF$16:$AF$381,DATE(2016,MONTH(S188),DAY(S188))-DATE(2016,1,1)+1,1)</f>
        <v>0</v>
      </c>
      <c r="W188" s="176">
        <f>IF(T!$A$4&lt;MONTH(S188),VLOOKUP(S188,'[8]Podklady MZ'!$R$2:$S$367,2,FALSE),NA())</f>
        <v>8.3704407861635222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 t="e">
        <f>IF(T!$A$4&gt;=MONTH(S189),VLOOKUP(S189,'[8]Podklady MZ'!$R$2:$S$367,2,FALSE),NA())</f>
        <v>#N/A</v>
      </c>
      <c r="V189" s="176">
        <f>INDEX([5]PT!$AF$16:$AF$381,DATE(2016,MONTH(S189),DAY(S189))-DATE(2016,1,1)+1,1)</f>
        <v>0</v>
      </c>
      <c r="W189" s="176">
        <f>IF(T!$A$4&lt;MONTH(S189),VLOOKUP(S189,'[8]Podklady MZ'!$R$2:$S$367,2,FALSE),NA())</f>
        <v>9.7289828616352203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 t="e">
        <f>IF(T!$A$4&gt;=MONTH(S190),VLOOKUP(S190,'[8]Podklady MZ'!$R$2:$S$367,2,FALSE),NA())</f>
        <v>#N/A</v>
      </c>
      <c r="V190" s="176">
        <f>INDEX([5]PT!$AF$16:$AF$381,DATE(2016,MONTH(S190),DAY(S190))-DATE(2016,1,1)+1,1)</f>
        <v>0</v>
      </c>
      <c r="W190" s="176">
        <f>IF(T!$A$4&lt;MONTH(S190),VLOOKUP(S190,'[8]Podklady MZ'!$R$2:$S$367,2,FALSE),NA())</f>
        <v>10.085161823899371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 t="e">
        <f>IF(T!$A$4&gt;=MONTH(S191),VLOOKUP(S191,'[8]Podklady MZ'!$R$2:$S$367,2,FALSE),NA())</f>
        <v>#N/A</v>
      </c>
      <c r="V191" s="176">
        <f>INDEX([5]PT!$AF$16:$AF$381,DATE(2016,MONTH(S191),DAY(S191))-DATE(2016,1,1)+1,1)</f>
        <v>0</v>
      </c>
      <c r="W191" s="176">
        <f>IF(T!$A$4&lt;MONTH(S191),VLOOKUP(S191,'[8]Podklady MZ'!$R$2:$S$367,2,FALSE),NA())</f>
        <v>10.271071163522013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 t="e">
        <f>IF(T!$A$4&gt;=MONTH(S192),VLOOKUP(S192,'[8]Podklady MZ'!$R$2:$S$367,2,FALSE),NA())</f>
        <v>#N/A</v>
      </c>
      <c r="V192" s="176">
        <f>INDEX([5]PT!$AF$16:$AF$381,DATE(2016,MONTH(S192),DAY(S192))-DATE(2016,1,1)+1,1)</f>
        <v>0</v>
      </c>
      <c r="W192" s="176">
        <f>IF(T!$A$4&lt;MONTH(S192),VLOOKUP(S192,'[8]Podklady MZ'!$R$2:$S$367,2,FALSE),NA())</f>
        <v>10.16759965408805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 t="e">
        <f>IF(T!$A$4&gt;=MONTH(S193),VLOOKUP(S193,'[8]Podklady MZ'!$R$2:$S$367,2,FALSE),NA())</f>
        <v>#N/A</v>
      </c>
      <c r="V193" s="176">
        <f>INDEX([5]PT!$AF$16:$AF$381,DATE(2016,MONTH(S193),DAY(S193))-DATE(2016,1,1)+1,1)</f>
        <v>0</v>
      </c>
      <c r="W193" s="176">
        <f>IF(T!$A$4&lt;MONTH(S193),VLOOKUP(S193,'[8]Podklady MZ'!$R$2:$S$367,2,FALSE),NA())</f>
        <v>8.3459539937106921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 t="e">
        <f>IF(T!$A$4&gt;=MONTH(S194),VLOOKUP(S194,'[8]Podklady MZ'!$R$2:$S$367,2,FALSE),NA())</f>
        <v>#N/A</v>
      </c>
      <c r="V194" s="176">
        <f>INDEX([5]PT!$AF$16:$AF$381,DATE(2016,MONTH(S194),DAY(S194))-DATE(2016,1,1)+1,1)</f>
        <v>0</v>
      </c>
      <c r="W194" s="176">
        <f>IF(T!$A$4&lt;MONTH(S194),VLOOKUP(S194,'[8]Podklady MZ'!$R$2:$S$367,2,FALSE),NA())</f>
        <v>8.3414185220125798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 t="e">
        <f>IF(T!$A$4&gt;=MONTH(S195),VLOOKUP(S195,'[8]Podklady MZ'!$R$2:$S$367,2,FALSE),NA())</f>
        <v>#N/A</v>
      </c>
      <c r="V195" s="176">
        <f>INDEX([5]PT!$AF$16:$AF$381,DATE(2016,MONTH(S195),DAY(S195))-DATE(2016,1,1)+1,1)</f>
        <v>0</v>
      </c>
      <c r="W195" s="176">
        <f>IF(T!$A$4&lt;MONTH(S195),VLOOKUP(S195,'[8]Podklady MZ'!$R$2:$S$367,2,FALSE),NA())</f>
        <v>10.033385408805032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 t="e">
        <f>IF(T!$A$4&gt;=MONTH(S196),VLOOKUP(S196,'[8]Podklady MZ'!$R$2:$S$367,2,FALSE),NA())</f>
        <v>#N/A</v>
      </c>
      <c r="V196" s="176">
        <f>INDEX([5]PT!$AF$16:$AF$381,DATE(2016,MONTH(S196),DAY(S196))-DATE(2016,1,1)+1,1)</f>
        <v>0</v>
      </c>
      <c r="W196" s="176">
        <f>IF(T!$A$4&lt;MONTH(S196),VLOOKUP(S196,'[8]Podklady MZ'!$R$2:$S$367,2,FALSE),NA())</f>
        <v>10.206578993710693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 t="e">
        <f>IF(T!$A$4&gt;=MONTH(S197),VLOOKUP(S197,'[8]Podklady MZ'!$R$2:$S$367,2,FALSE),NA())</f>
        <v>#N/A</v>
      </c>
      <c r="V197" s="176">
        <f>INDEX([5]PT!$AF$16:$AF$381,DATE(2016,MONTH(S197),DAY(S197))-DATE(2016,1,1)+1,1)</f>
        <v>0</v>
      </c>
      <c r="W197" s="176">
        <f>IF(T!$A$4&lt;MONTH(S197),VLOOKUP(S197,'[8]Podklady MZ'!$R$2:$S$367,2,FALSE),NA())</f>
        <v>10.316589088050316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 t="e">
        <f>IF(T!$A$4&gt;=MONTH(S198),VLOOKUP(S198,'[8]Podklady MZ'!$R$2:$S$367,2,FALSE),NA())</f>
        <v>#N/A</v>
      </c>
      <c r="V198" s="176">
        <f>INDEX([5]PT!$AF$16:$AF$381,DATE(2016,MONTH(S198),DAY(S198))-DATE(2016,1,1)+1,1)</f>
        <v>0</v>
      </c>
      <c r="W198" s="176">
        <f>IF(T!$A$4&lt;MONTH(S198),VLOOKUP(S198,'[8]Podklady MZ'!$R$2:$S$367,2,FALSE),NA())</f>
        <v>10.132570974842768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 t="e">
        <f>IF(T!$A$4&gt;=MONTH(S199),VLOOKUP(S199,'[8]Podklady MZ'!$R$2:$S$367,2,FALSE),NA())</f>
        <v>#N/A</v>
      </c>
      <c r="V199" s="176">
        <f>INDEX([5]PT!$AF$16:$AF$381,DATE(2016,MONTH(S199),DAY(S199))-DATE(2016,1,1)+1,1)</f>
        <v>0</v>
      </c>
      <c r="W199" s="176">
        <f>IF(T!$A$4&lt;MONTH(S199),VLOOKUP(S199,'[8]Podklady MZ'!$R$2:$S$367,2,FALSE),NA())</f>
        <v>9.264428993710693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 t="e">
        <f>IF(T!$A$4&gt;=MONTH(S200),VLOOKUP(S200,'[8]Podklady MZ'!$R$2:$S$367,2,FALSE),NA())</f>
        <v>#N/A</v>
      </c>
      <c r="V200" s="176">
        <f>INDEX([5]PT!$AF$16:$AF$381,DATE(2016,MONTH(S200),DAY(S200))-DATE(2016,1,1)+1,1)</f>
        <v>0</v>
      </c>
      <c r="W200" s="176">
        <f>IF(T!$A$4&lt;MONTH(S200),VLOOKUP(S200,'[8]Podklady MZ'!$R$2:$S$367,2,FALSE),NA())</f>
        <v>7.6277541823899373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 t="e">
        <f>IF(T!$A$4&gt;=MONTH(S201),VLOOKUP(S201,'[8]Podklady MZ'!$R$2:$S$367,2,FALSE),NA())</f>
        <v>#N/A</v>
      </c>
      <c r="V201" s="176">
        <f>INDEX([5]PT!$AF$16:$AF$381,DATE(2016,MONTH(S201),DAY(S201))-DATE(2016,1,1)+1,1)</f>
        <v>0</v>
      </c>
      <c r="W201" s="176">
        <f>IF(T!$A$4&lt;MONTH(S201),VLOOKUP(S201,'[8]Podklady MZ'!$R$2:$S$367,2,FALSE),NA())</f>
        <v>8.1321187106918238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 t="e">
        <f>IF(T!$A$4&gt;=MONTH(S202),VLOOKUP(S202,'[8]Podklady MZ'!$R$2:$S$367,2,FALSE),NA())</f>
        <v>#N/A</v>
      </c>
      <c r="V202" s="176">
        <f>INDEX([5]PT!$AF$16:$AF$381,DATE(2016,MONTH(S202),DAY(S202))-DATE(2016,1,1)+1,1)</f>
        <v>0</v>
      </c>
      <c r="W202" s="176">
        <f>IF(T!$A$4&lt;MONTH(S202),VLOOKUP(S202,'[8]Podklady MZ'!$R$2:$S$367,2,FALSE),NA())</f>
        <v>9.6582097484276748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 t="e">
        <f>IF(T!$A$4&gt;=MONTH(S203),VLOOKUP(S203,'[8]Podklady MZ'!$R$2:$S$367,2,FALSE),NA())</f>
        <v>#N/A</v>
      </c>
      <c r="V203" s="176">
        <f>INDEX([5]PT!$AF$16:$AF$381,DATE(2016,MONTH(S203),DAY(S203))-DATE(2016,1,1)+1,1)</f>
        <v>0</v>
      </c>
      <c r="W203" s="176">
        <f>IF(T!$A$4&lt;MONTH(S203),VLOOKUP(S203,'[8]Podklady MZ'!$R$2:$S$367,2,FALSE),NA())</f>
        <v>9.6537068238993715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 t="e">
        <f>IF(T!$A$4&gt;=MONTH(S204),VLOOKUP(S204,'[8]Podklady MZ'!$R$2:$S$367,2,FALSE),NA())</f>
        <v>#N/A</v>
      </c>
      <c r="V204" s="176">
        <f>INDEX([5]PT!$AF$16:$AF$381,DATE(2016,MONTH(S204),DAY(S204))-DATE(2016,1,1)+1,1)</f>
        <v>0</v>
      </c>
      <c r="W204" s="176">
        <f>IF(T!$A$4&lt;MONTH(S204),VLOOKUP(S204,'[8]Podklady MZ'!$R$2:$S$367,2,FALSE),NA())</f>
        <v>9.9155521069182395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 t="e">
        <f>IF(T!$A$4&gt;=MONTH(S205),VLOOKUP(S205,'[8]Podklady MZ'!$R$2:$S$367,2,FALSE),NA())</f>
        <v>#N/A</v>
      </c>
      <c r="V205" s="176">
        <f>INDEX([5]PT!$AF$16:$AF$381,DATE(2016,MONTH(S205),DAY(S205))-DATE(2016,1,1)+1,1)</f>
        <v>0</v>
      </c>
      <c r="W205" s="176">
        <f>IF(T!$A$4&lt;MONTH(S205),VLOOKUP(S205,'[8]Podklady MZ'!$R$2:$S$367,2,FALSE),NA())</f>
        <v>9.8530133333333332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 t="e">
        <f>IF(T!$A$4&gt;=MONTH(S206),VLOOKUP(S206,'[8]Podklady MZ'!$R$2:$S$367,2,FALSE),NA())</f>
        <v>#N/A</v>
      </c>
      <c r="V206" s="176">
        <f>INDEX([5]PT!$AF$16:$AF$381,DATE(2016,MONTH(S206),DAY(S206))-DATE(2016,1,1)+1,1)</f>
        <v>0</v>
      </c>
      <c r="W206" s="176">
        <f>IF(T!$A$4&lt;MONTH(S206),VLOOKUP(S206,'[8]Podklady MZ'!$R$2:$S$367,2,FALSE),NA())</f>
        <v>9.5929036163522028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 t="e">
        <f>IF(T!$A$4&gt;=MONTH(S207),VLOOKUP(S207,'[8]Podklady MZ'!$R$2:$S$367,2,FALSE),NA())</f>
        <v>#N/A</v>
      </c>
      <c r="V207" s="176">
        <f>INDEX([5]PT!$AF$16:$AF$381,DATE(2016,MONTH(S207),DAY(S207))-DATE(2016,1,1)+1,1)</f>
        <v>0</v>
      </c>
      <c r="W207" s="176">
        <f>IF(T!$A$4&lt;MONTH(S207),VLOOKUP(S207,'[8]Podklady MZ'!$R$2:$S$367,2,FALSE),NA())</f>
        <v>7.9916644654088058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 t="e">
        <f>IF(T!$A$4&gt;=MONTH(S208),VLOOKUP(S208,'[8]Podklady MZ'!$R$2:$S$367,2,FALSE),NA())</f>
        <v>#N/A</v>
      </c>
      <c r="V208" s="176">
        <f>INDEX([5]PT!$AF$16:$AF$381,DATE(2016,MONTH(S208),DAY(S208))-DATE(2016,1,1)+1,1)</f>
        <v>0</v>
      </c>
      <c r="W208" s="176">
        <f>IF(T!$A$4&lt;MONTH(S208),VLOOKUP(S208,'[8]Podklady MZ'!$R$2:$S$367,2,FALSE),NA())</f>
        <v>7.9953914465408813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 t="e">
        <f>IF(T!$A$4&gt;=MONTH(S209),VLOOKUP(S209,'[8]Podklady MZ'!$R$2:$S$367,2,FALSE),NA())</f>
        <v>#N/A</v>
      </c>
      <c r="V209" s="176">
        <f>INDEX([5]PT!$AF$16:$AF$381,DATE(2016,MONTH(S209),DAY(S209))-DATE(2016,1,1)+1,1)</f>
        <v>0</v>
      </c>
      <c r="W209" s="176">
        <f>IF(T!$A$4&lt;MONTH(S209),VLOOKUP(S209,'[8]Podklady MZ'!$R$2:$S$367,2,FALSE),NA())</f>
        <v>9.2302025786163533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 t="e">
        <f>IF(T!$A$4&gt;=MONTH(S210),VLOOKUP(S210,'[8]Podklady MZ'!$R$2:$S$367,2,FALSE),NA())</f>
        <v>#N/A</v>
      </c>
      <c r="V210" s="176">
        <f>INDEX([5]PT!$AF$16:$AF$381,DATE(2016,MONTH(S210),DAY(S210))-DATE(2016,1,1)+1,1)</f>
        <v>0</v>
      </c>
      <c r="W210" s="176">
        <f>IF(T!$A$4&lt;MONTH(S210),VLOOKUP(S210,'[8]Podklady MZ'!$R$2:$S$367,2,FALSE),NA())</f>
        <v>9.2931007861635226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 t="e">
        <f>IF(T!$A$4&gt;=MONTH(S211),VLOOKUP(S211,'[8]Podklady MZ'!$R$2:$S$367,2,FALSE),NA())</f>
        <v>#N/A</v>
      </c>
      <c r="V211" s="176">
        <f>INDEX([5]PT!$AF$16:$AF$381,DATE(2016,MONTH(S211),DAY(S211))-DATE(2016,1,1)+1,1)</f>
        <v>0</v>
      </c>
      <c r="W211" s="176">
        <f>IF(T!$A$4&lt;MONTH(S211),VLOOKUP(S211,'[8]Podklady MZ'!$R$2:$S$367,2,FALSE),NA())</f>
        <v>9.468700786163522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 t="e">
        <f>IF(T!$A$4&gt;=MONTH(S212),VLOOKUP(S212,'[8]Podklady MZ'!$R$2:$S$367,2,FALSE),NA())</f>
        <v>#N/A</v>
      </c>
      <c r="V212" s="176">
        <f>INDEX([5]PT!$AF$16:$AF$381,DATE(2016,MONTH(S212),DAY(S212))-DATE(2016,1,1)+1,1)</f>
        <v>0</v>
      </c>
      <c r="W212" s="176">
        <f>IF(T!$A$4&lt;MONTH(S212),VLOOKUP(S212,'[8]Podklady MZ'!$R$2:$S$367,2,FALSE),NA())</f>
        <v>9.970038993710693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 t="e">
        <f>IF(T!$A$4&gt;=MONTH(S213),VLOOKUP(S213,'[8]Podklady MZ'!$R$2:$S$367,2,FALSE),NA())</f>
        <v>#N/A</v>
      </c>
      <c r="V213" s="176">
        <f>INDEX([5]PT!$AF$16:$AF$381,DATE(2016,MONTH(S213),DAY(S213))-DATE(2016,1,1)+1,1)</f>
        <v>0</v>
      </c>
      <c r="W213" s="176">
        <f>IF(T!$A$4&lt;MONTH(S213),VLOOKUP(S213,'[8]Podklady MZ'!$R$2:$S$367,2,FALSE),NA())</f>
        <v>9.0534568238993707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 t="e">
        <f>IF(T!$A$4&gt;=MONTH(S214),VLOOKUP(S214,'[8]Podklady MZ'!$R$2:$S$367,2,FALSE),NA())</f>
        <v>#N/A</v>
      </c>
      <c r="V214" s="176">
        <f>INDEX([5]PT!$AF$16:$AF$381,DATE(2016,MONTH(S214),DAY(S214))-DATE(2016,1,1)+1,1)</f>
        <v>0</v>
      </c>
      <c r="W214" s="176">
        <f>IF(T!$A$4&lt;MONTH(S214),VLOOKUP(S214,'[8]Podklady MZ'!$R$2:$S$367,2,FALSE),NA())</f>
        <v>9.3548387096774199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 t="e">
        <f>IF(T!$A$4&gt;=MONTH(S215),VLOOKUP(S215,'[8]Podklady MZ'!$R$2:$S$367,2,FALSE),NA())</f>
        <v>#N/A</v>
      </c>
      <c r="V215" s="176">
        <f>INDEX([5]PT!$AF$16:$AF$381,DATE(2016,MONTH(S215),DAY(S215))-DATE(2016,1,1)+1,1)</f>
        <v>0</v>
      </c>
      <c r="W215" s="176">
        <f>IF(T!$A$4&lt;MONTH(S215),VLOOKUP(S215,'[8]Podklady MZ'!$R$2:$S$367,2,FALSE),NA())</f>
        <v>9.3548387096774199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 t="e">
        <f>IF(T!$A$4&gt;=MONTH(S216),VLOOKUP(S216,'[8]Podklady MZ'!$R$2:$S$367,2,FALSE),NA())</f>
        <v>#N/A</v>
      </c>
      <c r="V216" s="176">
        <f>INDEX([5]PT!$AF$16:$AF$381,DATE(2016,MONTH(S216),DAY(S216))-DATE(2016,1,1)+1,1)</f>
        <v>0</v>
      </c>
      <c r="W216" s="176">
        <f>IF(T!$A$4&lt;MONTH(S216),VLOOKUP(S216,'[8]Podklady MZ'!$R$2:$S$367,2,FALSE),NA())</f>
        <v>9.3548387096774199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 t="e">
        <f>IF(T!$A$4&gt;=MONTH(S217),VLOOKUP(S217,'[8]Podklady MZ'!$R$2:$S$367,2,FALSE),NA())</f>
        <v>#N/A</v>
      </c>
      <c r="V217" s="176">
        <f>INDEX([5]PT!$AF$16:$AF$381,DATE(2016,MONTH(S217),DAY(S217))-DATE(2016,1,1)+1,1)</f>
        <v>0</v>
      </c>
      <c r="W217" s="176">
        <f>IF(T!$A$4&lt;MONTH(S217),VLOOKUP(S217,'[8]Podklady MZ'!$R$2:$S$367,2,FALSE),NA())</f>
        <v>9.3548387096774199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 t="e">
        <f>IF(T!$A$4&gt;=MONTH(S218),VLOOKUP(S218,'[8]Podklady MZ'!$R$2:$S$367,2,FALSE),NA())</f>
        <v>#N/A</v>
      </c>
      <c r="V218" s="176">
        <f>INDEX([5]PT!$AF$16:$AF$381,DATE(2016,MONTH(S218),DAY(S218))-DATE(2016,1,1)+1,1)</f>
        <v>0</v>
      </c>
      <c r="W218" s="176">
        <f>IF(T!$A$4&lt;MONTH(S218),VLOOKUP(S218,'[8]Podklady MZ'!$R$2:$S$367,2,FALSE),NA())</f>
        <v>9.3548387096774199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 t="e">
        <f>IF(T!$A$4&gt;=MONTH(S219),VLOOKUP(S219,'[8]Podklady MZ'!$R$2:$S$367,2,FALSE),NA())</f>
        <v>#N/A</v>
      </c>
      <c r="V219" s="176">
        <f>INDEX([5]PT!$AF$16:$AF$381,DATE(2016,MONTH(S219),DAY(S219))-DATE(2016,1,1)+1,1)</f>
        <v>0</v>
      </c>
      <c r="W219" s="176">
        <f>IF(T!$A$4&lt;MONTH(S219),VLOOKUP(S219,'[8]Podklady MZ'!$R$2:$S$367,2,FALSE),NA())</f>
        <v>9.3548387096774199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 t="e">
        <f>IF(T!$A$4&gt;=MONTH(S220),VLOOKUP(S220,'[8]Podklady MZ'!$R$2:$S$367,2,FALSE),NA())</f>
        <v>#N/A</v>
      </c>
      <c r="V220" s="176">
        <f>INDEX([5]PT!$AF$16:$AF$381,DATE(2016,MONTH(S220),DAY(S220))-DATE(2016,1,1)+1,1)</f>
        <v>0</v>
      </c>
      <c r="W220" s="176">
        <f>IF(T!$A$4&lt;MONTH(S220),VLOOKUP(S220,'[8]Podklady MZ'!$R$2:$S$367,2,FALSE),NA())</f>
        <v>9.3548387096774199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 t="e">
        <f>IF(T!$A$4&gt;=MONTH(S221),VLOOKUP(S221,'[8]Podklady MZ'!$R$2:$S$367,2,FALSE),NA())</f>
        <v>#N/A</v>
      </c>
      <c r="V221" s="176">
        <f>INDEX([5]PT!$AF$16:$AF$381,DATE(2016,MONTH(S221),DAY(S221))-DATE(2016,1,1)+1,1)</f>
        <v>0</v>
      </c>
      <c r="W221" s="176">
        <f>IF(T!$A$4&lt;MONTH(S221),VLOOKUP(S221,'[8]Podklady MZ'!$R$2:$S$367,2,FALSE),NA())</f>
        <v>9.3548387096774199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 t="e">
        <f>IF(T!$A$4&gt;=MONTH(S222),VLOOKUP(S222,'[8]Podklady MZ'!$R$2:$S$367,2,FALSE),NA())</f>
        <v>#N/A</v>
      </c>
      <c r="V222" s="176">
        <f>INDEX([5]PT!$AF$16:$AF$381,DATE(2016,MONTH(S222),DAY(S222))-DATE(2016,1,1)+1,1)</f>
        <v>0</v>
      </c>
      <c r="W222" s="176">
        <f>IF(T!$A$4&lt;MONTH(S222),VLOOKUP(S222,'[8]Podklady MZ'!$R$2:$S$367,2,FALSE),NA())</f>
        <v>9.3548387096774199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 t="e">
        <f>IF(T!$A$4&gt;=MONTH(S223),VLOOKUP(S223,'[8]Podklady MZ'!$R$2:$S$367,2,FALSE),NA())</f>
        <v>#N/A</v>
      </c>
      <c r="V223" s="176">
        <f>INDEX([5]PT!$AF$16:$AF$381,DATE(2016,MONTH(S223),DAY(S223))-DATE(2016,1,1)+1,1)</f>
        <v>0</v>
      </c>
      <c r="W223" s="176">
        <f>IF(T!$A$4&lt;MONTH(S223),VLOOKUP(S223,'[8]Podklady MZ'!$R$2:$S$367,2,FALSE),NA())</f>
        <v>9.3548387096774199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 t="e">
        <f>IF(T!$A$4&gt;=MONTH(S224),VLOOKUP(S224,'[8]Podklady MZ'!$R$2:$S$367,2,FALSE),NA())</f>
        <v>#N/A</v>
      </c>
      <c r="V224" s="176">
        <f>INDEX([5]PT!$AF$16:$AF$381,DATE(2016,MONTH(S224),DAY(S224))-DATE(2016,1,1)+1,1)</f>
        <v>0</v>
      </c>
      <c r="W224" s="176">
        <f>IF(T!$A$4&lt;MONTH(S224),VLOOKUP(S224,'[8]Podklady MZ'!$R$2:$S$367,2,FALSE),NA())</f>
        <v>9.3548387096774199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 t="e">
        <f>IF(T!$A$4&gt;=MONTH(S225),VLOOKUP(S225,'[8]Podklady MZ'!$R$2:$S$367,2,FALSE),NA())</f>
        <v>#N/A</v>
      </c>
      <c r="V225" s="176">
        <f>INDEX([5]PT!$AF$16:$AF$381,DATE(2016,MONTH(S225),DAY(S225))-DATE(2016,1,1)+1,1)</f>
        <v>0</v>
      </c>
      <c r="W225" s="176">
        <f>IF(T!$A$4&lt;MONTH(S225),VLOOKUP(S225,'[8]Podklady MZ'!$R$2:$S$367,2,FALSE),NA())</f>
        <v>9.3548387096774199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 t="e">
        <f>IF(T!$A$4&gt;=MONTH(S226),VLOOKUP(S226,'[8]Podklady MZ'!$R$2:$S$367,2,FALSE),NA())</f>
        <v>#N/A</v>
      </c>
      <c r="V226" s="176">
        <f>INDEX([5]PT!$AF$16:$AF$381,DATE(2016,MONTH(S226),DAY(S226))-DATE(2016,1,1)+1,1)</f>
        <v>0</v>
      </c>
      <c r="W226" s="176">
        <f>IF(T!$A$4&lt;MONTH(S226),VLOOKUP(S226,'[8]Podklady MZ'!$R$2:$S$367,2,FALSE),NA())</f>
        <v>9.3548387096774199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 t="e">
        <f>IF(T!$A$4&gt;=MONTH(S227),VLOOKUP(S227,'[8]Podklady MZ'!$R$2:$S$367,2,FALSE),NA())</f>
        <v>#N/A</v>
      </c>
      <c r="V227" s="176">
        <f>INDEX([5]PT!$AF$16:$AF$381,DATE(2016,MONTH(S227),DAY(S227))-DATE(2016,1,1)+1,1)</f>
        <v>0</v>
      </c>
      <c r="W227" s="176">
        <f>IF(T!$A$4&lt;MONTH(S227),VLOOKUP(S227,'[8]Podklady MZ'!$R$2:$S$367,2,FALSE),NA())</f>
        <v>9.3548387096774199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 t="e">
        <f>IF(T!$A$4&gt;=MONTH(S228),VLOOKUP(S228,'[8]Podklady MZ'!$R$2:$S$367,2,FALSE),NA())</f>
        <v>#N/A</v>
      </c>
      <c r="V228" s="176">
        <f>INDEX([5]PT!$AF$16:$AF$381,DATE(2016,MONTH(S228),DAY(S228))-DATE(2016,1,1)+1,1)</f>
        <v>0</v>
      </c>
      <c r="W228" s="176">
        <f>IF(T!$A$4&lt;MONTH(S228),VLOOKUP(S228,'[8]Podklady MZ'!$R$2:$S$367,2,FALSE),NA())</f>
        <v>9.3548387096774199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 t="e">
        <f>IF(T!$A$4&gt;=MONTH(S229),VLOOKUP(S229,'[8]Podklady MZ'!$R$2:$S$367,2,FALSE),NA())</f>
        <v>#N/A</v>
      </c>
      <c r="V229" s="176">
        <f>INDEX([5]PT!$AF$16:$AF$381,DATE(2016,MONTH(S229),DAY(S229))-DATE(2016,1,1)+1,1)</f>
        <v>0</v>
      </c>
      <c r="W229" s="176">
        <f>IF(T!$A$4&lt;MONTH(S229),VLOOKUP(S229,'[8]Podklady MZ'!$R$2:$S$367,2,FALSE),NA())</f>
        <v>9.3548387096774199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 t="e">
        <f>IF(T!$A$4&gt;=MONTH(S230),VLOOKUP(S230,'[8]Podklady MZ'!$R$2:$S$367,2,FALSE),NA())</f>
        <v>#N/A</v>
      </c>
      <c r="V230" s="176">
        <f>INDEX([5]PT!$AF$16:$AF$381,DATE(2016,MONTH(S230),DAY(S230))-DATE(2016,1,1)+1,1)</f>
        <v>0</v>
      </c>
      <c r="W230" s="176">
        <f>IF(T!$A$4&lt;MONTH(S230),VLOOKUP(S230,'[8]Podklady MZ'!$R$2:$S$367,2,FALSE),NA())</f>
        <v>9.3548387096774199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 t="e">
        <f>IF(T!$A$4&gt;=MONTH(S231),VLOOKUP(S231,'[8]Podklady MZ'!$R$2:$S$367,2,FALSE),NA())</f>
        <v>#N/A</v>
      </c>
      <c r="V231" s="176">
        <f>INDEX([5]PT!$AF$16:$AF$381,DATE(2016,MONTH(S231),DAY(S231))-DATE(2016,1,1)+1,1)</f>
        <v>0</v>
      </c>
      <c r="W231" s="176">
        <f>IF(T!$A$4&lt;MONTH(S231),VLOOKUP(S231,'[8]Podklady MZ'!$R$2:$S$367,2,FALSE),NA())</f>
        <v>9.3548387096774199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 t="e">
        <f>IF(T!$A$4&gt;=MONTH(S232),VLOOKUP(S232,'[8]Podklady MZ'!$R$2:$S$367,2,FALSE),NA())</f>
        <v>#N/A</v>
      </c>
      <c r="V232" s="176">
        <f>INDEX([5]PT!$AF$16:$AF$381,DATE(2016,MONTH(S232),DAY(S232))-DATE(2016,1,1)+1,1)</f>
        <v>0</v>
      </c>
      <c r="W232" s="176">
        <f>IF(T!$A$4&lt;MONTH(S232),VLOOKUP(S232,'[8]Podklady MZ'!$R$2:$S$367,2,FALSE),NA())</f>
        <v>9.3548387096774199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 t="e">
        <f>IF(T!$A$4&gt;=MONTH(S233),VLOOKUP(S233,'[8]Podklady MZ'!$R$2:$S$367,2,FALSE),NA())</f>
        <v>#N/A</v>
      </c>
      <c r="V233" s="176">
        <f>INDEX([5]PT!$AF$16:$AF$381,DATE(2016,MONTH(S233),DAY(S233))-DATE(2016,1,1)+1,1)</f>
        <v>0</v>
      </c>
      <c r="W233" s="176">
        <f>IF(T!$A$4&lt;MONTH(S233),VLOOKUP(S233,'[8]Podklady MZ'!$R$2:$S$367,2,FALSE),NA())</f>
        <v>9.3548387096774199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 t="e">
        <f>IF(T!$A$4&gt;=MONTH(S234),VLOOKUP(S234,'[8]Podklady MZ'!$R$2:$S$367,2,FALSE),NA())</f>
        <v>#N/A</v>
      </c>
      <c r="V234" s="176">
        <f>INDEX([5]PT!$AF$16:$AF$381,DATE(2016,MONTH(S234),DAY(S234))-DATE(2016,1,1)+1,1)</f>
        <v>0</v>
      </c>
      <c r="W234" s="176">
        <f>IF(T!$A$4&lt;MONTH(S234),VLOOKUP(S234,'[8]Podklady MZ'!$R$2:$S$367,2,FALSE),NA())</f>
        <v>9.3548387096774199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 t="e">
        <f>IF(T!$A$4&gt;=MONTH(S235),VLOOKUP(S235,'[8]Podklady MZ'!$R$2:$S$367,2,FALSE),NA())</f>
        <v>#N/A</v>
      </c>
      <c r="V235" s="176">
        <f>INDEX([5]PT!$AF$16:$AF$381,DATE(2016,MONTH(S235),DAY(S235))-DATE(2016,1,1)+1,1)</f>
        <v>0</v>
      </c>
      <c r="W235" s="176">
        <f>IF(T!$A$4&lt;MONTH(S235),VLOOKUP(S235,'[8]Podklady MZ'!$R$2:$S$367,2,FALSE),NA())</f>
        <v>9.3548387096774199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 t="e">
        <f>IF(T!$A$4&gt;=MONTH(S236),VLOOKUP(S236,'[8]Podklady MZ'!$R$2:$S$367,2,FALSE),NA())</f>
        <v>#N/A</v>
      </c>
      <c r="V236" s="176">
        <f>INDEX([5]PT!$AF$16:$AF$381,DATE(2016,MONTH(S236),DAY(S236))-DATE(2016,1,1)+1,1)</f>
        <v>0</v>
      </c>
      <c r="W236" s="176">
        <f>IF(T!$A$4&lt;MONTH(S236),VLOOKUP(S236,'[8]Podklady MZ'!$R$2:$S$367,2,FALSE),NA())</f>
        <v>9.3548387096774199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 t="e">
        <f>IF(T!$A$4&gt;=MONTH(S237),VLOOKUP(S237,'[8]Podklady MZ'!$R$2:$S$367,2,FALSE),NA())</f>
        <v>#N/A</v>
      </c>
      <c r="V237" s="176">
        <f>INDEX([5]PT!$AF$16:$AF$381,DATE(2016,MONTH(S237),DAY(S237))-DATE(2016,1,1)+1,1)</f>
        <v>0</v>
      </c>
      <c r="W237" s="176">
        <f>IF(T!$A$4&lt;MONTH(S237),VLOOKUP(S237,'[8]Podklady MZ'!$R$2:$S$367,2,FALSE),NA())</f>
        <v>9.3548387096774199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 t="e">
        <f>IF(T!$A$4&gt;=MONTH(S238),VLOOKUP(S238,'[8]Podklady MZ'!$R$2:$S$367,2,FALSE),NA())</f>
        <v>#N/A</v>
      </c>
      <c r="V238" s="176">
        <f>INDEX([5]PT!$AF$16:$AF$381,DATE(2016,MONTH(S238),DAY(S238))-DATE(2016,1,1)+1,1)</f>
        <v>0</v>
      </c>
      <c r="W238" s="176">
        <f>IF(T!$A$4&lt;MONTH(S238),VLOOKUP(S238,'[8]Podklady MZ'!$R$2:$S$367,2,FALSE),NA())</f>
        <v>9.3548387096774199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 t="e">
        <f>IF(T!$A$4&gt;=MONTH(S239),VLOOKUP(S239,'[8]Podklady MZ'!$R$2:$S$367,2,FALSE),NA())</f>
        <v>#N/A</v>
      </c>
      <c r="V239" s="176">
        <f>INDEX([5]PT!$AF$16:$AF$381,DATE(2016,MONTH(S239),DAY(S239))-DATE(2016,1,1)+1,1)</f>
        <v>0</v>
      </c>
      <c r="W239" s="176">
        <f>IF(T!$A$4&lt;MONTH(S239),VLOOKUP(S239,'[8]Podklady MZ'!$R$2:$S$367,2,FALSE),NA())</f>
        <v>9.3548387096774199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 t="e">
        <f>IF(T!$A$4&gt;=MONTH(S240),VLOOKUP(S240,'[8]Podklady MZ'!$R$2:$S$367,2,FALSE),NA())</f>
        <v>#N/A</v>
      </c>
      <c r="V240" s="176">
        <f>INDEX([5]PT!$AF$16:$AF$381,DATE(2016,MONTH(S240),DAY(S240))-DATE(2016,1,1)+1,1)</f>
        <v>0</v>
      </c>
      <c r="W240" s="176">
        <f>IF(T!$A$4&lt;MONTH(S240),VLOOKUP(S240,'[8]Podklady MZ'!$R$2:$S$367,2,FALSE),NA())</f>
        <v>9.3548387096774199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 t="e">
        <f>IF(T!$A$4&gt;=MONTH(S241),VLOOKUP(S241,'[8]Podklady MZ'!$R$2:$S$367,2,FALSE),NA())</f>
        <v>#N/A</v>
      </c>
      <c r="V241" s="176">
        <f>INDEX([5]PT!$AF$16:$AF$381,DATE(2016,MONTH(S241),DAY(S241))-DATE(2016,1,1)+1,1)</f>
        <v>0</v>
      </c>
      <c r="W241" s="176">
        <f>IF(T!$A$4&lt;MONTH(S241),VLOOKUP(S241,'[8]Podklady MZ'!$R$2:$S$367,2,FALSE),NA())</f>
        <v>9.3548387096774199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 t="e">
        <f>IF(T!$A$4&gt;=MONTH(S242),VLOOKUP(S242,'[8]Podklady MZ'!$R$2:$S$367,2,FALSE),NA())</f>
        <v>#N/A</v>
      </c>
      <c r="V242" s="176">
        <f>INDEX([5]PT!$AF$16:$AF$381,DATE(2016,MONTH(S242),DAY(S242))-DATE(2016,1,1)+1,1)</f>
        <v>0</v>
      </c>
      <c r="W242" s="176">
        <f>IF(T!$A$4&lt;MONTH(S242),VLOOKUP(S242,'[8]Podklady MZ'!$R$2:$S$367,2,FALSE),NA())</f>
        <v>9.3548387096774199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 t="e">
        <f>IF(T!$A$4&gt;=MONTH(S243),VLOOKUP(S243,'[8]Podklady MZ'!$R$2:$S$367,2,FALSE),NA())</f>
        <v>#N/A</v>
      </c>
      <c r="V243" s="176">
        <f>INDEX([5]PT!$AF$16:$AF$381,DATE(2016,MONTH(S243),DAY(S243))-DATE(2016,1,1)+1,1)</f>
        <v>0</v>
      </c>
      <c r="W243" s="176">
        <f>IF(T!$A$4&lt;MONTH(S243),VLOOKUP(S243,'[8]Podklady MZ'!$R$2:$S$367,2,FALSE),NA())</f>
        <v>9.3548387096774199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 t="e">
        <f>IF(T!$A$4&gt;=MONTH(S244),VLOOKUP(S244,'[8]Podklady MZ'!$R$2:$S$367,2,FALSE),NA())</f>
        <v>#N/A</v>
      </c>
      <c r="V244" s="176">
        <f>INDEX([5]PT!$AF$16:$AF$381,DATE(2016,MONTH(S244),DAY(S244))-DATE(2016,1,1)+1,1)</f>
        <v>0</v>
      </c>
      <c r="W244" s="176">
        <f>IF(T!$A$4&lt;MONTH(S244),VLOOKUP(S244,'[8]Podklady MZ'!$R$2:$S$367,2,FALSE),NA())</f>
        <v>9.3548387096774199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 t="e">
        <f>IF(T!$A$4&gt;=MONTH(S245),VLOOKUP(S245,'[8]Podklady MZ'!$R$2:$S$367,2,FALSE),NA())</f>
        <v>#N/A</v>
      </c>
      <c r="V245" s="176">
        <f>INDEX([5]PT!$AF$16:$AF$381,DATE(2016,MONTH(S245),DAY(S245))-DATE(2016,1,1)+1,1)</f>
        <v>0</v>
      </c>
      <c r="W245" s="176">
        <f>IF(T!$A$4&lt;MONTH(S245),VLOOKUP(S245,'[8]Podklady MZ'!$R$2:$S$367,2,FALSE),NA())</f>
        <v>12.666666666666666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 t="e">
        <f>IF(T!$A$4&gt;=MONTH(S246),VLOOKUP(S246,'[8]Podklady MZ'!$R$2:$S$367,2,FALSE),NA())</f>
        <v>#N/A</v>
      </c>
      <c r="V246" s="176">
        <f>INDEX([5]PT!$AF$16:$AF$381,DATE(2016,MONTH(S246),DAY(S246))-DATE(2016,1,1)+1,1)</f>
        <v>0</v>
      </c>
      <c r="W246" s="176">
        <f>IF(T!$A$4&lt;MONTH(S246),VLOOKUP(S246,'[8]Podklady MZ'!$R$2:$S$367,2,FALSE),NA())</f>
        <v>12.666666666666666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 t="e">
        <f>IF(T!$A$4&gt;=MONTH(S247),VLOOKUP(S247,'[8]Podklady MZ'!$R$2:$S$367,2,FALSE),NA())</f>
        <v>#N/A</v>
      </c>
      <c r="V247" s="176">
        <f>INDEX([5]PT!$AF$16:$AF$381,DATE(2016,MONTH(S247),DAY(S247))-DATE(2016,1,1)+1,1)</f>
        <v>0</v>
      </c>
      <c r="W247" s="176">
        <f>IF(T!$A$4&lt;MONTH(S247),VLOOKUP(S247,'[8]Podklady MZ'!$R$2:$S$367,2,FALSE),NA())</f>
        <v>12.666666666666666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 t="e">
        <f>IF(T!$A$4&gt;=MONTH(S248),VLOOKUP(S248,'[8]Podklady MZ'!$R$2:$S$367,2,FALSE),NA())</f>
        <v>#N/A</v>
      </c>
      <c r="V248" s="176">
        <f>INDEX([5]PT!$AF$16:$AF$381,DATE(2016,MONTH(S248),DAY(S248))-DATE(2016,1,1)+1,1)</f>
        <v>0</v>
      </c>
      <c r="W248" s="176">
        <f>IF(T!$A$4&lt;MONTH(S248),VLOOKUP(S248,'[8]Podklady MZ'!$R$2:$S$367,2,FALSE),NA())</f>
        <v>12.666666666666666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 t="e">
        <f>IF(T!$A$4&gt;=MONTH(S249),VLOOKUP(S249,'[8]Podklady MZ'!$R$2:$S$367,2,FALSE),NA())</f>
        <v>#N/A</v>
      </c>
      <c r="V249" s="176">
        <f>INDEX([5]PT!$AF$16:$AF$381,DATE(2016,MONTH(S249),DAY(S249))-DATE(2016,1,1)+1,1)</f>
        <v>0</v>
      </c>
      <c r="W249" s="176">
        <f>IF(T!$A$4&lt;MONTH(S249),VLOOKUP(S249,'[8]Podklady MZ'!$R$2:$S$367,2,FALSE),NA())</f>
        <v>12.666666666666666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 t="e">
        <f>IF(T!$A$4&gt;=MONTH(S250),VLOOKUP(S250,'[8]Podklady MZ'!$R$2:$S$367,2,FALSE),NA())</f>
        <v>#N/A</v>
      </c>
      <c r="V250" s="176">
        <f>INDEX([5]PT!$AF$16:$AF$381,DATE(2016,MONTH(S250),DAY(S250))-DATE(2016,1,1)+1,1)</f>
        <v>0</v>
      </c>
      <c r="W250" s="176">
        <f>IF(T!$A$4&lt;MONTH(S250),VLOOKUP(S250,'[8]Podklady MZ'!$R$2:$S$367,2,FALSE),NA())</f>
        <v>12.666666666666666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 t="e">
        <f>IF(T!$A$4&gt;=MONTH(S251),VLOOKUP(S251,'[8]Podklady MZ'!$R$2:$S$367,2,FALSE),NA())</f>
        <v>#N/A</v>
      </c>
      <c r="V251" s="176">
        <f>INDEX([5]PT!$AF$16:$AF$381,DATE(2016,MONTH(S251),DAY(S251))-DATE(2016,1,1)+1,1)</f>
        <v>0</v>
      </c>
      <c r="W251" s="176">
        <f>IF(T!$A$4&lt;MONTH(S251),VLOOKUP(S251,'[8]Podklady MZ'!$R$2:$S$367,2,FALSE),NA())</f>
        <v>12.666666666666666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 t="e">
        <f>IF(T!$A$4&gt;=MONTH(S252),VLOOKUP(S252,'[8]Podklady MZ'!$R$2:$S$367,2,FALSE),NA())</f>
        <v>#N/A</v>
      </c>
      <c r="V252" s="176">
        <f>INDEX([5]PT!$AF$16:$AF$381,DATE(2016,MONTH(S252),DAY(S252))-DATE(2016,1,1)+1,1)</f>
        <v>0</v>
      </c>
      <c r="W252" s="176">
        <f>IF(T!$A$4&lt;MONTH(S252),VLOOKUP(S252,'[8]Podklady MZ'!$R$2:$S$367,2,FALSE),NA())</f>
        <v>12.666666666666666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 t="e">
        <f>IF(T!$A$4&gt;=MONTH(S253),VLOOKUP(S253,'[8]Podklady MZ'!$R$2:$S$367,2,FALSE),NA())</f>
        <v>#N/A</v>
      </c>
      <c r="V253" s="176">
        <f>INDEX([5]PT!$AF$16:$AF$381,DATE(2016,MONTH(S253),DAY(S253))-DATE(2016,1,1)+1,1)</f>
        <v>0</v>
      </c>
      <c r="W253" s="176">
        <f>IF(T!$A$4&lt;MONTH(S253),VLOOKUP(S253,'[8]Podklady MZ'!$R$2:$S$367,2,FALSE),NA())</f>
        <v>12.666666666666666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 t="e">
        <f>IF(T!$A$4&gt;=MONTH(S254),VLOOKUP(S254,'[8]Podklady MZ'!$R$2:$S$367,2,FALSE),NA())</f>
        <v>#N/A</v>
      </c>
      <c r="V254" s="176">
        <f>INDEX([5]PT!$AF$16:$AF$381,DATE(2016,MONTH(S254),DAY(S254))-DATE(2016,1,1)+1,1)</f>
        <v>0</v>
      </c>
      <c r="W254" s="176">
        <f>IF(T!$A$4&lt;MONTH(S254),VLOOKUP(S254,'[8]Podklady MZ'!$R$2:$S$367,2,FALSE),NA())</f>
        <v>12.666666666666666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 t="e">
        <f>IF(T!$A$4&gt;=MONTH(S255),VLOOKUP(S255,'[8]Podklady MZ'!$R$2:$S$367,2,FALSE),NA())</f>
        <v>#N/A</v>
      </c>
      <c r="V255" s="176">
        <f>INDEX([5]PT!$AF$16:$AF$381,DATE(2016,MONTH(S255),DAY(S255))-DATE(2016,1,1)+1,1)</f>
        <v>0</v>
      </c>
      <c r="W255" s="176">
        <f>IF(T!$A$4&lt;MONTH(S255),VLOOKUP(S255,'[8]Podklady MZ'!$R$2:$S$367,2,FALSE),NA())</f>
        <v>12.666666666666666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 t="e">
        <f>IF(T!$A$4&gt;=MONTH(S256),VLOOKUP(S256,'[8]Podklady MZ'!$R$2:$S$367,2,FALSE),NA())</f>
        <v>#N/A</v>
      </c>
      <c r="V256" s="176">
        <f>INDEX([5]PT!$AF$16:$AF$381,DATE(2016,MONTH(S256),DAY(S256))-DATE(2016,1,1)+1,1)</f>
        <v>0</v>
      </c>
      <c r="W256" s="176">
        <f>IF(T!$A$4&lt;MONTH(S256),VLOOKUP(S256,'[8]Podklady MZ'!$R$2:$S$367,2,FALSE),NA())</f>
        <v>12.666666666666666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 t="e">
        <f>IF(T!$A$4&gt;=MONTH(S257),VLOOKUP(S257,'[8]Podklady MZ'!$R$2:$S$367,2,FALSE),NA())</f>
        <v>#N/A</v>
      </c>
      <c r="V257" s="176">
        <f>INDEX([5]PT!$AF$16:$AF$381,DATE(2016,MONTH(S257),DAY(S257))-DATE(2016,1,1)+1,1)</f>
        <v>0</v>
      </c>
      <c r="W257" s="176">
        <f>IF(T!$A$4&lt;MONTH(S257),VLOOKUP(S257,'[8]Podklady MZ'!$R$2:$S$367,2,FALSE),NA())</f>
        <v>12.666666666666666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 t="e">
        <f>IF(T!$A$4&gt;=MONTH(S258),VLOOKUP(S258,'[8]Podklady MZ'!$R$2:$S$367,2,FALSE),NA())</f>
        <v>#N/A</v>
      </c>
      <c r="V258" s="176">
        <f>INDEX([5]PT!$AF$16:$AF$381,DATE(2016,MONTH(S258),DAY(S258))-DATE(2016,1,1)+1,1)</f>
        <v>0</v>
      </c>
      <c r="W258" s="176">
        <f>IF(T!$A$4&lt;MONTH(S258),VLOOKUP(S258,'[8]Podklady MZ'!$R$2:$S$367,2,FALSE),NA())</f>
        <v>12.666666666666666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 t="e">
        <f>IF(T!$A$4&gt;=MONTH(S259),VLOOKUP(S259,'[8]Podklady MZ'!$R$2:$S$367,2,FALSE),NA())</f>
        <v>#N/A</v>
      </c>
      <c r="V259" s="176">
        <f>INDEX([5]PT!$AF$16:$AF$381,DATE(2016,MONTH(S259),DAY(S259))-DATE(2016,1,1)+1,1)</f>
        <v>0</v>
      </c>
      <c r="W259" s="176">
        <f>IF(T!$A$4&lt;MONTH(S259),VLOOKUP(S259,'[8]Podklady MZ'!$R$2:$S$367,2,FALSE),NA())</f>
        <v>12.666666666666666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 t="e">
        <f>IF(T!$A$4&gt;=MONTH(S260),VLOOKUP(S260,'[8]Podklady MZ'!$R$2:$S$367,2,FALSE),NA())</f>
        <v>#N/A</v>
      </c>
      <c r="V260" s="176">
        <f>INDEX([5]PT!$AF$16:$AF$381,DATE(2016,MONTH(S260),DAY(S260))-DATE(2016,1,1)+1,1)</f>
        <v>0</v>
      </c>
      <c r="W260" s="176">
        <f>IF(T!$A$4&lt;MONTH(S260),VLOOKUP(S260,'[8]Podklady MZ'!$R$2:$S$367,2,FALSE),NA())</f>
        <v>12.666666666666666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 t="e">
        <f>IF(T!$A$4&gt;=MONTH(S261),VLOOKUP(S261,'[8]Podklady MZ'!$R$2:$S$367,2,FALSE),NA())</f>
        <v>#N/A</v>
      </c>
      <c r="V261" s="176">
        <f>INDEX([5]PT!$AF$16:$AF$381,DATE(2016,MONTH(S261),DAY(S261))-DATE(2016,1,1)+1,1)</f>
        <v>0</v>
      </c>
      <c r="W261" s="176">
        <f>IF(T!$A$4&lt;MONTH(S261),VLOOKUP(S261,'[8]Podklady MZ'!$R$2:$S$367,2,FALSE),NA())</f>
        <v>12.666666666666666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 t="e">
        <f>IF(T!$A$4&gt;=MONTH(S262),VLOOKUP(S262,'[8]Podklady MZ'!$R$2:$S$367,2,FALSE),NA())</f>
        <v>#N/A</v>
      </c>
      <c r="V262" s="176">
        <f>INDEX([5]PT!$AF$16:$AF$381,DATE(2016,MONTH(S262),DAY(S262))-DATE(2016,1,1)+1,1)</f>
        <v>0</v>
      </c>
      <c r="W262" s="176">
        <f>IF(T!$A$4&lt;MONTH(S262),VLOOKUP(S262,'[8]Podklady MZ'!$R$2:$S$367,2,FALSE),NA())</f>
        <v>12.666666666666666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 t="e">
        <f>IF(T!$A$4&gt;=MONTH(S263),VLOOKUP(S263,'[8]Podklady MZ'!$R$2:$S$367,2,FALSE),NA())</f>
        <v>#N/A</v>
      </c>
      <c r="V263" s="176">
        <f>INDEX([5]PT!$AF$16:$AF$381,DATE(2016,MONTH(S263),DAY(S263))-DATE(2016,1,1)+1,1)</f>
        <v>0</v>
      </c>
      <c r="W263" s="176">
        <f>IF(T!$A$4&lt;MONTH(S263),VLOOKUP(S263,'[8]Podklady MZ'!$R$2:$S$367,2,FALSE),NA())</f>
        <v>12.666666666666666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 t="e">
        <f>IF(T!$A$4&gt;=MONTH(S264),VLOOKUP(S264,'[8]Podklady MZ'!$R$2:$S$367,2,FALSE),NA())</f>
        <v>#N/A</v>
      </c>
      <c r="V264" s="176">
        <f>INDEX([5]PT!$AF$16:$AF$381,DATE(2016,MONTH(S264),DAY(S264))-DATE(2016,1,1)+1,1)</f>
        <v>0</v>
      </c>
      <c r="W264" s="176">
        <f>IF(T!$A$4&lt;MONTH(S264),VLOOKUP(S264,'[8]Podklady MZ'!$R$2:$S$367,2,FALSE),NA())</f>
        <v>12.666666666666666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 t="e">
        <f>IF(T!$A$4&gt;=MONTH(S265),VLOOKUP(S265,'[8]Podklady MZ'!$R$2:$S$367,2,FALSE),NA())</f>
        <v>#N/A</v>
      </c>
      <c r="V265" s="176">
        <f>INDEX([5]PT!$AF$16:$AF$381,DATE(2016,MONTH(S265),DAY(S265))-DATE(2016,1,1)+1,1)</f>
        <v>0</v>
      </c>
      <c r="W265" s="176">
        <f>IF(T!$A$4&lt;MONTH(S265),VLOOKUP(S265,'[8]Podklady MZ'!$R$2:$S$367,2,FALSE),NA())</f>
        <v>12.666666666666666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 t="e">
        <f>IF(T!$A$4&gt;=MONTH(S266),VLOOKUP(S266,'[8]Podklady MZ'!$R$2:$S$367,2,FALSE),NA())</f>
        <v>#N/A</v>
      </c>
      <c r="V266" s="176">
        <f>INDEX([5]PT!$AF$16:$AF$381,DATE(2016,MONTH(S266),DAY(S266))-DATE(2016,1,1)+1,1)</f>
        <v>0</v>
      </c>
      <c r="W266" s="176">
        <f>IF(T!$A$4&lt;MONTH(S266),VLOOKUP(S266,'[8]Podklady MZ'!$R$2:$S$367,2,FALSE),NA())</f>
        <v>12.666666666666666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 t="e">
        <f>IF(T!$A$4&gt;=MONTH(S267),VLOOKUP(S267,'[8]Podklady MZ'!$R$2:$S$367,2,FALSE),NA())</f>
        <v>#N/A</v>
      </c>
      <c r="V267" s="176">
        <f>INDEX([5]PT!$AF$16:$AF$381,DATE(2016,MONTH(S267),DAY(S267))-DATE(2016,1,1)+1,1)</f>
        <v>0</v>
      </c>
      <c r="W267" s="176">
        <f>IF(T!$A$4&lt;MONTH(S267),VLOOKUP(S267,'[8]Podklady MZ'!$R$2:$S$367,2,FALSE),NA())</f>
        <v>12.666666666666666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 t="e">
        <f>IF(T!$A$4&gt;=MONTH(S268),VLOOKUP(S268,'[8]Podklady MZ'!$R$2:$S$367,2,FALSE),NA())</f>
        <v>#N/A</v>
      </c>
      <c r="V268" s="176">
        <f>INDEX([5]PT!$AF$16:$AF$381,DATE(2016,MONTH(S268),DAY(S268))-DATE(2016,1,1)+1,1)</f>
        <v>0</v>
      </c>
      <c r="W268" s="176">
        <f>IF(T!$A$4&lt;MONTH(S268),VLOOKUP(S268,'[8]Podklady MZ'!$R$2:$S$367,2,FALSE),NA())</f>
        <v>12.666666666666666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 t="e">
        <f>IF(T!$A$4&gt;=MONTH(S269),VLOOKUP(S269,'[8]Podklady MZ'!$R$2:$S$367,2,FALSE),NA())</f>
        <v>#N/A</v>
      </c>
      <c r="V269" s="176">
        <f>INDEX([5]PT!$AF$16:$AF$381,DATE(2016,MONTH(S269),DAY(S269))-DATE(2016,1,1)+1,1)</f>
        <v>0</v>
      </c>
      <c r="W269" s="176">
        <f>IF(T!$A$4&lt;MONTH(S269),VLOOKUP(S269,'[8]Podklady MZ'!$R$2:$S$367,2,FALSE),NA())</f>
        <v>12.666666666666666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 t="e">
        <f>IF(T!$A$4&gt;=MONTH(S270),VLOOKUP(S270,'[8]Podklady MZ'!$R$2:$S$367,2,FALSE),NA())</f>
        <v>#N/A</v>
      </c>
      <c r="V270" s="176">
        <f>INDEX([5]PT!$AF$16:$AF$381,DATE(2016,MONTH(S270),DAY(S270))-DATE(2016,1,1)+1,1)</f>
        <v>0</v>
      </c>
      <c r="W270" s="176">
        <f>IF(T!$A$4&lt;MONTH(S270),VLOOKUP(S270,'[8]Podklady MZ'!$R$2:$S$367,2,FALSE),NA())</f>
        <v>12.666666666666666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 t="e">
        <f>IF(T!$A$4&gt;=MONTH(S271),VLOOKUP(S271,'[8]Podklady MZ'!$R$2:$S$367,2,FALSE),NA())</f>
        <v>#N/A</v>
      </c>
      <c r="V271" s="176">
        <f>INDEX([5]PT!$AF$16:$AF$381,DATE(2016,MONTH(S271),DAY(S271))-DATE(2016,1,1)+1,1)</f>
        <v>0</v>
      </c>
      <c r="W271" s="176">
        <f>IF(T!$A$4&lt;MONTH(S271),VLOOKUP(S271,'[8]Podklady MZ'!$R$2:$S$367,2,FALSE),NA())</f>
        <v>12.666666666666666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 t="e">
        <f>IF(T!$A$4&gt;=MONTH(S272),VLOOKUP(S272,'[8]Podklady MZ'!$R$2:$S$367,2,FALSE),NA())</f>
        <v>#N/A</v>
      </c>
      <c r="V272" s="176">
        <f>INDEX([5]PT!$AF$16:$AF$381,DATE(2016,MONTH(S272),DAY(S272))-DATE(2016,1,1)+1,1)</f>
        <v>0</v>
      </c>
      <c r="W272" s="176">
        <f>IF(T!$A$4&lt;MONTH(S272),VLOOKUP(S272,'[8]Podklady MZ'!$R$2:$S$367,2,FALSE),NA())</f>
        <v>12.666666666666666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 t="e">
        <f>IF(T!$A$4&gt;=MONTH(S273),VLOOKUP(S273,'[8]Podklady MZ'!$R$2:$S$367,2,FALSE),NA())</f>
        <v>#N/A</v>
      </c>
      <c r="V273" s="176">
        <f>INDEX([5]PT!$AF$16:$AF$381,DATE(2016,MONTH(S273),DAY(S273))-DATE(2016,1,1)+1,1)</f>
        <v>0</v>
      </c>
      <c r="W273" s="176">
        <f>IF(T!$A$4&lt;MONTH(S273),VLOOKUP(S273,'[8]Podklady MZ'!$R$2:$S$367,2,FALSE),NA())</f>
        <v>12.666666666666666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 t="e">
        <f>IF(T!$A$4&gt;=MONTH(S274),VLOOKUP(S274,'[8]Podklady MZ'!$R$2:$S$367,2,FALSE),NA())</f>
        <v>#N/A</v>
      </c>
      <c r="V274" s="176">
        <f>INDEX([5]PT!$AF$16:$AF$381,DATE(2016,MONTH(S274),DAY(S274))-DATE(2016,1,1)+1,1)</f>
        <v>0</v>
      </c>
      <c r="W274" s="176">
        <f>IF(T!$A$4&lt;MONTH(S274),VLOOKUP(S274,'[8]Podklady MZ'!$R$2:$S$367,2,FALSE),NA())</f>
        <v>12.666666666666666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 t="e">
        <f>IF(T!$A$4&gt;=MONTH(S275),VLOOKUP(S275,'[8]Podklady MZ'!$R$2:$S$367,2,FALSE),NA())</f>
        <v>#N/A</v>
      </c>
      <c r="V275" s="176">
        <f>INDEX([5]PT!$AF$16:$AF$381,DATE(2016,MONTH(S275),DAY(S275))-DATE(2016,1,1)+1,1)</f>
        <v>0</v>
      </c>
      <c r="W275" s="176">
        <f>IF(T!$A$4&lt;MONTH(S275),VLOOKUP(S275,'[8]Podklady MZ'!$R$2:$S$367,2,FALSE),NA())</f>
        <v>20.967741935483872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 t="e">
        <f>IF(T!$A$4&gt;=MONTH(S276),VLOOKUP(S276,'[8]Podklady MZ'!$R$2:$S$367,2,FALSE),NA())</f>
        <v>#N/A</v>
      </c>
      <c r="V276" s="176">
        <f>INDEX([5]PT!$AF$16:$AF$381,DATE(2016,MONTH(S276),DAY(S276))-DATE(2016,1,1)+1,1)</f>
        <v>0</v>
      </c>
      <c r="W276" s="176">
        <f>IF(T!$A$4&lt;MONTH(S276),VLOOKUP(S276,'[8]Podklady MZ'!$R$2:$S$367,2,FALSE),NA())</f>
        <v>20.967741935483872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 t="e">
        <f>IF(T!$A$4&gt;=MONTH(S277),VLOOKUP(S277,'[8]Podklady MZ'!$R$2:$S$367,2,FALSE),NA())</f>
        <v>#N/A</v>
      </c>
      <c r="V277" s="176">
        <f>INDEX([5]PT!$AF$16:$AF$381,DATE(2016,MONTH(S277),DAY(S277))-DATE(2016,1,1)+1,1)</f>
        <v>0</v>
      </c>
      <c r="W277" s="176">
        <f>IF(T!$A$4&lt;MONTH(S277),VLOOKUP(S277,'[8]Podklady MZ'!$R$2:$S$367,2,FALSE),NA())</f>
        <v>20.967741935483872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 t="e">
        <f>IF(T!$A$4&gt;=MONTH(S278),VLOOKUP(S278,'[8]Podklady MZ'!$R$2:$S$367,2,FALSE),NA())</f>
        <v>#N/A</v>
      </c>
      <c r="V278" s="176">
        <f>INDEX([5]PT!$AF$16:$AF$381,DATE(2016,MONTH(S278),DAY(S278))-DATE(2016,1,1)+1,1)</f>
        <v>0</v>
      </c>
      <c r="W278" s="176">
        <f>IF(T!$A$4&lt;MONTH(S278),VLOOKUP(S278,'[8]Podklady MZ'!$R$2:$S$367,2,FALSE),NA())</f>
        <v>20.967741935483872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 t="e">
        <f>IF(T!$A$4&gt;=MONTH(S279),VLOOKUP(S279,'[8]Podklady MZ'!$R$2:$S$367,2,FALSE),NA())</f>
        <v>#N/A</v>
      </c>
      <c r="V279" s="176">
        <f>INDEX([5]PT!$AF$16:$AF$381,DATE(2016,MONTH(S279),DAY(S279))-DATE(2016,1,1)+1,1)</f>
        <v>0</v>
      </c>
      <c r="W279" s="176">
        <f>IF(T!$A$4&lt;MONTH(S279),VLOOKUP(S279,'[8]Podklady MZ'!$R$2:$S$367,2,FALSE),NA())</f>
        <v>20.967741935483872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 t="e">
        <f>IF(T!$A$4&gt;=MONTH(S280),VLOOKUP(S280,'[8]Podklady MZ'!$R$2:$S$367,2,FALSE),NA())</f>
        <v>#N/A</v>
      </c>
      <c r="V280" s="176">
        <f>INDEX([5]PT!$AF$16:$AF$381,DATE(2016,MONTH(S280),DAY(S280))-DATE(2016,1,1)+1,1)</f>
        <v>0</v>
      </c>
      <c r="W280" s="176">
        <f>IF(T!$A$4&lt;MONTH(S280),VLOOKUP(S280,'[8]Podklady MZ'!$R$2:$S$367,2,FALSE),NA())</f>
        <v>20.967741935483872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 t="e">
        <f>IF(T!$A$4&gt;=MONTH(S281),VLOOKUP(S281,'[8]Podklady MZ'!$R$2:$S$367,2,FALSE),NA())</f>
        <v>#N/A</v>
      </c>
      <c r="V281" s="176">
        <f>INDEX([5]PT!$AF$16:$AF$381,DATE(2016,MONTH(S281),DAY(S281))-DATE(2016,1,1)+1,1)</f>
        <v>0</v>
      </c>
      <c r="W281" s="176">
        <f>IF(T!$A$4&lt;MONTH(S281),VLOOKUP(S281,'[8]Podklady MZ'!$R$2:$S$367,2,FALSE),NA())</f>
        <v>20.967741935483872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 t="e">
        <f>IF(T!$A$4&gt;=MONTH(S282),VLOOKUP(S282,'[8]Podklady MZ'!$R$2:$S$367,2,FALSE),NA())</f>
        <v>#N/A</v>
      </c>
      <c r="V282" s="176">
        <f>INDEX([5]PT!$AF$16:$AF$381,DATE(2016,MONTH(S282),DAY(S282))-DATE(2016,1,1)+1,1)</f>
        <v>0</v>
      </c>
      <c r="W282" s="176">
        <f>IF(T!$A$4&lt;MONTH(S282),VLOOKUP(S282,'[8]Podklady MZ'!$R$2:$S$367,2,FALSE),NA())</f>
        <v>20.967741935483872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 t="e">
        <f>IF(T!$A$4&gt;=MONTH(S283),VLOOKUP(S283,'[8]Podklady MZ'!$R$2:$S$367,2,FALSE),NA())</f>
        <v>#N/A</v>
      </c>
      <c r="V283" s="176">
        <f>INDEX([5]PT!$AF$16:$AF$381,DATE(2016,MONTH(S283),DAY(S283))-DATE(2016,1,1)+1,1)</f>
        <v>0</v>
      </c>
      <c r="W283" s="176">
        <f>IF(T!$A$4&lt;MONTH(S283),VLOOKUP(S283,'[8]Podklady MZ'!$R$2:$S$367,2,FALSE),NA())</f>
        <v>20.967741935483872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 t="e">
        <f>IF(T!$A$4&gt;=MONTH(S284),VLOOKUP(S284,'[8]Podklady MZ'!$R$2:$S$367,2,FALSE),NA())</f>
        <v>#N/A</v>
      </c>
      <c r="V284" s="176">
        <f>INDEX([5]PT!$AF$16:$AF$381,DATE(2016,MONTH(S284),DAY(S284))-DATE(2016,1,1)+1,1)</f>
        <v>0</v>
      </c>
      <c r="W284" s="176">
        <f>IF(T!$A$4&lt;MONTH(S284),VLOOKUP(S284,'[8]Podklady MZ'!$R$2:$S$367,2,FALSE),NA())</f>
        <v>20.967741935483872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 t="e">
        <f>IF(T!$A$4&gt;=MONTH(S285),VLOOKUP(S285,'[8]Podklady MZ'!$R$2:$S$367,2,FALSE),NA())</f>
        <v>#N/A</v>
      </c>
      <c r="V285" s="176">
        <f>INDEX([5]PT!$AF$16:$AF$381,DATE(2016,MONTH(S285),DAY(S285))-DATE(2016,1,1)+1,1)</f>
        <v>0</v>
      </c>
      <c r="W285" s="176">
        <f>IF(T!$A$4&lt;MONTH(S285),VLOOKUP(S285,'[8]Podklady MZ'!$R$2:$S$367,2,FALSE),NA())</f>
        <v>20.967741935483872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 t="e">
        <f>IF(T!$A$4&gt;=MONTH(S286),VLOOKUP(S286,'[8]Podklady MZ'!$R$2:$S$367,2,FALSE),NA())</f>
        <v>#N/A</v>
      </c>
      <c r="V286" s="176">
        <f>INDEX([5]PT!$AF$16:$AF$381,DATE(2016,MONTH(S286),DAY(S286))-DATE(2016,1,1)+1,1)</f>
        <v>0</v>
      </c>
      <c r="W286" s="176">
        <f>IF(T!$A$4&lt;MONTH(S286),VLOOKUP(S286,'[8]Podklady MZ'!$R$2:$S$367,2,FALSE),NA())</f>
        <v>20.967741935483872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 t="e">
        <f>IF(T!$A$4&gt;=MONTH(S287),VLOOKUP(S287,'[8]Podklady MZ'!$R$2:$S$367,2,FALSE),NA())</f>
        <v>#N/A</v>
      </c>
      <c r="V287" s="176">
        <f>INDEX([5]PT!$AF$16:$AF$381,DATE(2016,MONTH(S287),DAY(S287))-DATE(2016,1,1)+1,1)</f>
        <v>0</v>
      </c>
      <c r="W287" s="176">
        <f>IF(T!$A$4&lt;MONTH(S287),VLOOKUP(S287,'[8]Podklady MZ'!$R$2:$S$367,2,FALSE),NA())</f>
        <v>20.967741935483872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 t="e">
        <f>IF(T!$A$4&gt;=MONTH(S288),VLOOKUP(S288,'[8]Podklady MZ'!$R$2:$S$367,2,FALSE),NA())</f>
        <v>#N/A</v>
      </c>
      <c r="V288" s="176">
        <f>INDEX([5]PT!$AF$16:$AF$381,DATE(2016,MONTH(S288),DAY(S288))-DATE(2016,1,1)+1,1)</f>
        <v>0</v>
      </c>
      <c r="W288" s="176">
        <f>IF(T!$A$4&lt;MONTH(S288),VLOOKUP(S288,'[8]Podklady MZ'!$R$2:$S$367,2,FALSE),NA())</f>
        <v>20.967741935483872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 t="e">
        <f>IF(T!$A$4&gt;=MONTH(S289),VLOOKUP(S289,'[8]Podklady MZ'!$R$2:$S$367,2,FALSE),NA())</f>
        <v>#N/A</v>
      </c>
      <c r="V289" s="176">
        <f>INDEX([5]PT!$AF$16:$AF$381,DATE(2016,MONTH(S289),DAY(S289))-DATE(2016,1,1)+1,1)</f>
        <v>0</v>
      </c>
      <c r="W289" s="176">
        <f>IF(T!$A$4&lt;MONTH(S289),VLOOKUP(S289,'[8]Podklady MZ'!$R$2:$S$367,2,FALSE),NA())</f>
        <v>20.967741935483872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 t="e">
        <f>IF(T!$A$4&gt;=MONTH(S290),VLOOKUP(S290,'[8]Podklady MZ'!$R$2:$S$367,2,FALSE),NA())</f>
        <v>#N/A</v>
      </c>
      <c r="V290" s="176">
        <f>INDEX([5]PT!$AF$16:$AF$381,DATE(2016,MONTH(S290),DAY(S290))-DATE(2016,1,1)+1,1)</f>
        <v>0</v>
      </c>
      <c r="W290" s="176">
        <f>IF(T!$A$4&lt;MONTH(S290),VLOOKUP(S290,'[8]Podklady MZ'!$R$2:$S$367,2,FALSE),NA())</f>
        <v>20.967741935483872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 t="e">
        <f>IF(T!$A$4&gt;=MONTH(S291),VLOOKUP(S291,'[8]Podklady MZ'!$R$2:$S$367,2,FALSE),NA())</f>
        <v>#N/A</v>
      </c>
      <c r="V291" s="176">
        <f>INDEX([5]PT!$AF$16:$AF$381,DATE(2016,MONTH(S291),DAY(S291))-DATE(2016,1,1)+1,1)</f>
        <v>0</v>
      </c>
      <c r="W291" s="176">
        <f>IF(T!$A$4&lt;MONTH(S291),VLOOKUP(S291,'[8]Podklady MZ'!$R$2:$S$367,2,FALSE),NA())</f>
        <v>20.967741935483872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 t="e">
        <f>IF(T!$A$4&gt;=MONTH(S292),VLOOKUP(S292,'[8]Podklady MZ'!$R$2:$S$367,2,FALSE),NA())</f>
        <v>#N/A</v>
      </c>
      <c r="V292" s="176">
        <f>INDEX([5]PT!$AF$16:$AF$381,DATE(2016,MONTH(S292),DAY(S292))-DATE(2016,1,1)+1,1)</f>
        <v>0</v>
      </c>
      <c r="W292" s="176">
        <f>IF(T!$A$4&lt;MONTH(S292),VLOOKUP(S292,'[8]Podklady MZ'!$R$2:$S$367,2,FALSE),NA())</f>
        <v>20.967741935483872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 t="e">
        <f>IF(T!$A$4&gt;=MONTH(S293),VLOOKUP(S293,'[8]Podklady MZ'!$R$2:$S$367,2,FALSE),NA())</f>
        <v>#N/A</v>
      </c>
      <c r="V293" s="176">
        <f>INDEX([5]PT!$AF$16:$AF$381,DATE(2016,MONTH(S293),DAY(S293))-DATE(2016,1,1)+1,1)</f>
        <v>0</v>
      </c>
      <c r="W293" s="176">
        <f>IF(T!$A$4&lt;MONTH(S293),VLOOKUP(S293,'[8]Podklady MZ'!$R$2:$S$367,2,FALSE),NA())</f>
        <v>20.967741935483872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 t="e">
        <f>IF(T!$A$4&gt;=MONTH(S294),VLOOKUP(S294,'[8]Podklady MZ'!$R$2:$S$367,2,FALSE),NA())</f>
        <v>#N/A</v>
      </c>
      <c r="V294" s="176">
        <f>INDEX([5]PT!$AF$16:$AF$381,DATE(2016,MONTH(S294),DAY(S294))-DATE(2016,1,1)+1,1)</f>
        <v>0</v>
      </c>
      <c r="W294" s="176">
        <f>IF(T!$A$4&lt;MONTH(S294),VLOOKUP(S294,'[8]Podklady MZ'!$R$2:$S$367,2,FALSE),NA())</f>
        <v>20.967741935483872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 t="e">
        <f>IF(T!$A$4&gt;=MONTH(S295),VLOOKUP(S295,'[8]Podklady MZ'!$R$2:$S$367,2,FALSE),NA())</f>
        <v>#N/A</v>
      </c>
      <c r="V295" s="176">
        <f>INDEX([5]PT!$AF$16:$AF$381,DATE(2016,MONTH(S295),DAY(S295))-DATE(2016,1,1)+1,1)</f>
        <v>0</v>
      </c>
      <c r="W295" s="176">
        <f>IF(T!$A$4&lt;MONTH(S295),VLOOKUP(S295,'[8]Podklady MZ'!$R$2:$S$367,2,FALSE),NA())</f>
        <v>20.967741935483872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 t="e">
        <f>IF(T!$A$4&gt;=MONTH(S296),VLOOKUP(S296,'[8]Podklady MZ'!$R$2:$S$367,2,FALSE),NA())</f>
        <v>#N/A</v>
      </c>
      <c r="V296" s="176">
        <f>INDEX([5]PT!$AF$16:$AF$381,DATE(2016,MONTH(S296),DAY(S296))-DATE(2016,1,1)+1,1)</f>
        <v>0</v>
      </c>
      <c r="W296" s="176">
        <f>IF(T!$A$4&lt;MONTH(S296),VLOOKUP(S296,'[8]Podklady MZ'!$R$2:$S$367,2,FALSE),NA())</f>
        <v>20.967741935483872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 t="e">
        <f>IF(T!$A$4&gt;=MONTH(S297),VLOOKUP(S297,'[8]Podklady MZ'!$R$2:$S$367,2,FALSE),NA())</f>
        <v>#N/A</v>
      </c>
      <c r="V297" s="176">
        <f>INDEX([5]PT!$AF$16:$AF$381,DATE(2016,MONTH(S297),DAY(S297))-DATE(2016,1,1)+1,1)</f>
        <v>0</v>
      </c>
      <c r="W297" s="176">
        <f>IF(T!$A$4&lt;MONTH(S297),VLOOKUP(S297,'[8]Podklady MZ'!$R$2:$S$367,2,FALSE),NA())</f>
        <v>20.967741935483872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 t="e">
        <f>IF(T!$A$4&gt;=MONTH(S298),VLOOKUP(S298,'[8]Podklady MZ'!$R$2:$S$367,2,FALSE),NA())</f>
        <v>#N/A</v>
      </c>
      <c r="V298" s="176">
        <f>INDEX([5]PT!$AF$16:$AF$381,DATE(2016,MONTH(S298),DAY(S298))-DATE(2016,1,1)+1,1)</f>
        <v>0</v>
      </c>
      <c r="W298" s="176">
        <f>IF(T!$A$4&lt;MONTH(S298),VLOOKUP(S298,'[8]Podklady MZ'!$R$2:$S$367,2,FALSE),NA())</f>
        <v>20.967741935483872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 t="e">
        <f>IF(T!$A$4&gt;=MONTH(S299),VLOOKUP(S299,'[8]Podklady MZ'!$R$2:$S$367,2,FALSE),NA())</f>
        <v>#N/A</v>
      </c>
      <c r="V299" s="176">
        <f>INDEX([5]PT!$AF$16:$AF$381,DATE(2016,MONTH(S299),DAY(S299))-DATE(2016,1,1)+1,1)</f>
        <v>0</v>
      </c>
      <c r="W299" s="176">
        <f>IF(T!$A$4&lt;MONTH(S299),VLOOKUP(S299,'[8]Podklady MZ'!$R$2:$S$367,2,FALSE),NA())</f>
        <v>20.967741935483872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 t="e">
        <f>IF(T!$A$4&gt;=MONTH(S300),VLOOKUP(S300,'[8]Podklady MZ'!$R$2:$S$367,2,FALSE),NA())</f>
        <v>#N/A</v>
      </c>
      <c r="V300" s="176">
        <f>INDEX([5]PT!$AF$16:$AF$381,DATE(2016,MONTH(S300),DAY(S300))-DATE(2016,1,1)+1,1)</f>
        <v>0</v>
      </c>
      <c r="W300" s="176">
        <f>IF(T!$A$4&lt;MONTH(S300),VLOOKUP(S300,'[8]Podklady MZ'!$R$2:$S$367,2,FALSE),NA())</f>
        <v>20.967741935483872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 t="e">
        <f>IF(T!$A$4&gt;=MONTH(S301),VLOOKUP(S301,'[8]Podklady MZ'!$R$2:$S$367,2,FALSE),NA())</f>
        <v>#N/A</v>
      </c>
      <c r="V301" s="176">
        <f>INDEX([5]PT!$AF$16:$AF$381,DATE(2016,MONTH(S301),DAY(S301))-DATE(2016,1,1)+1,1)</f>
        <v>0</v>
      </c>
      <c r="W301" s="176">
        <f>IF(T!$A$4&lt;MONTH(S301),VLOOKUP(S301,'[8]Podklady MZ'!$R$2:$S$367,2,FALSE),NA())</f>
        <v>20.967741935483872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 t="e">
        <f>IF(T!$A$4&gt;=MONTH(S302),VLOOKUP(S302,'[8]Podklady MZ'!$R$2:$S$367,2,FALSE),NA())</f>
        <v>#N/A</v>
      </c>
      <c r="V302" s="176">
        <f>INDEX([5]PT!$AF$16:$AF$381,DATE(2016,MONTH(S302),DAY(S302))-DATE(2016,1,1)+1,1)</f>
        <v>0</v>
      </c>
      <c r="W302" s="176">
        <f>IF(T!$A$4&lt;MONTH(S302),VLOOKUP(S302,'[8]Podklady MZ'!$R$2:$S$367,2,FALSE),NA())</f>
        <v>20.967741935483872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 t="e">
        <f>IF(T!$A$4&gt;=MONTH(S303),VLOOKUP(S303,'[8]Podklady MZ'!$R$2:$S$367,2,FALSE),NA())</f>
        <v>#N/A</v>
      </c>
      <c r="V303" s="176">
        <f>INDEX([5]PT!$AF$16:$AF$381,DATE(2016,MONTH(S303),DAY(S303))-DATE(2016,1,1)+1,1)</f>
        <v>0</v>
      </c>
      <c r="W303" s="176">
        <f>IF(T!$A$4&lt;MONTH(S303),VLOOKUP(S303,'[8]Podklady MZ'!$R$2:$S$367,2,FALSE),NA())</f>
        <v>20.967741935483872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 t="e">
        <f>IF(T!$A$4&gt;=MONTH(S304),VLOOKUP(S304,'[8]Podklady MZ'!$R$2:$S$367,2,FALSE),NA())</f>
        <v>#N/A</v>
      </c>
      <c r="V304" s="176">
        <f>INDEX([5]PT!$AF$16:$AF$381,DATE(2016,MONTH(S304),DAY(S304))-DATE(2016,1,1)+1,1)</f>
        <v>0</v>
      </c>
      <c r="W304" s="176">
        <f>IF(T!$A$4&lt;MONTH(S304),VLOOKUP(S304,'[8]Podklady MZ'!$R$2:$S$367,2,FALSE),NA())</f>
        <v>20.967741935483872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 t="e">
        <f>IF(T!$A$4&gt;=MONTH(S305),VLOOKUP(S305,'[8]Podklady MZ'!$R$2:$S$367,2,FALSE),NA())</f>
        <v>#N/A</v>
      </c>
      <c r="V305" s="176">
        <f>INDEX([5]PT!$AF$16:$AF$381,DATE(2016,MONTH(S305),DAY(S305))-DATE(2016,1,1)+1,1)</f>
        <v>0</v>
      </c>
      <c r="W305" s="176">
        <f>IF(T!$A$4&lt;MONTH(S305),VLOOKUP(S305,'[8]Podklady MZ'!$R$2:$S$367,2,FALSE),NA())</f>
        <v>20.967741935483872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 t="e">
        <f>IF(T!$A$4&gt;=MONTH(S306),VLOOKUP(S306,'[8]Podklady MZ'!$R$2:$S$367,2,FALSE),NA())</f>
        <v>#N/A</v>
      </c>
      <c r="V306" s="176">
        <f>INDEX([5]PT!$AF$16:$AF$381,DATE(2016,MONTH(S306),DAY(S306))-DATE(2016,1,1)+1,1)</f>
        <v>0</v>
      </c>
      <c r="W306" s="176">
        <f>IF(T!$A$4&lt;MONTH(S306),VLOOKUP(S306,'[8]Podklady MZ'!$R$2:$S$367,2,FALSE),NA())</f>
        <v>30.666666666666668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 t="e">
        <f>IF(T!$A$4&gt;=MONTH(S307),VLOOKUP(S307,'[8]Podklady MZ'!$R$2:$S$367,2,FALSE),NA())</f>
        <v>#N/A</v>
      </c>
      <c r="V307" s="176">
        <f>INDEX([5]PT!$AF$16:$AF$381,DATE(2016,MONTH(S307),DAY(S307))-DATE(2016,1,1)+1,1)</f>
        <v>0</v>
      </c>
      <c r="W307" s="176">
        <f>IF(T!$A$4&lt;MONTH(S307),VLOOKUP(S307,'[8]Podklady MZ'!$R$2:$S$367,2,FALSE),NA())</f>
        <v>30.666666666666668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 t="e">
        <f>IF(T!$A$4&gt;=MONTH(S308),VLOOKUP(S308,'[8]Podklady MZ'!$R$2:$S$367,2,FALSE),NA())</f>
        <v>#N/A</v>
      </c>
      <c r="V308" s="176">
        <f>INDEX([5]PT!$AF$16:$AF$381,DATE(2016,MONTH(S308),DAY(S308))-DATE(2016,1,1)+1,1)</f>
        <v>0</v>
      </c>
      <c r="W308" s="176">
        <f>IF(T!$A$4&lt;MONTH(S308),VLOOKUP(S308,'[8]Podklady MZ'!$R$2:$S$367,2,FALSE),NA())</f>
        <v>30.666666666666668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 t="e">
        <f>IF(T!$A$4&gt;=MONTH(S309),VLOOKUP(S309,'[8]Podklady MZ'!$R$2:$S$367,2,FALSE),NA())</f>
        <v>#N/A</v>
      </c>
      <c r="V309" s="176">
        <f>INDEX([5]PT!$AF$16:$AF$381,DATE(2016,MONTH(S309),DAY(S309))-DATE(2016,1,1)+1,1)</f>
        <v>0</v>
      </c>
      <c r="W309" s="176">
        <f>IF(T!$A$4&lt;MONTH(S309),VLOOKUP(S309,'[8]Podklady MZ'!$R$2:$S$367,2,FALSE),NA())</f>
        <v>30.666666666666668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 t="e">
        <f>IF(T!$A$4&gt;=MONTH(S310),VLOOKUP(S310,'[8]Podklady MZ'!$R$2:$S$367,2,FALSE),NA())</f>
        <v>#N/A</v>
      </c>
      <c r="V310" s="176">
        <f>INDEX([5]PT!$AF$16:$AF$381,DATE(2016,MONTH(S310),DAY(S310))-DATE(2016,1,1)+1,1)</f>
        <v>0</v>
      </c>
      <c r="W310" s="176">
        <f>IF(T!$A$4&lt;MONTH(S310),VLOOKUP(S310,'[8]Podklady MZ'!$R$2:$S$367,2,FALSE),NA())</f>
        <v>30.666666666666668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 t="e">
        <f>IF(T!$A$4&gt;=MONTH(S311),VLOOKUP(S311,'[8]Podklady MZ'!$R$2:$S$367,2,FALSE),NA())</f>
        <v>#N/A</v>
      </c>
      <c r="V311" s="176">
        <f>INDEX([5]PT!$AF$16:$AF$381,DATE(2016,MONTH(S311),DAY(S311))-DATE(2016,1,1)+1,1)</f>
        <v>0</v>
      </c>
      <c r="W311" s="176">
        <f>IF(T!$A$4&lt;MONTH(S311),VLOOKUP(S311,'[8]Podklady MZ'!$R$2:$S$367,2,FALSE),NA())</f>
        <v>30.666666666666668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 t="e">
        <f>IF(T!$A$4&gt;=MONTH(S312),VLOOKUP(S312,'[8]Podklady MZ'!$R$2:$S$367,2,FALSE),NA())</f>
        <v>#N/A</v>
      </c>
      <c r="V312" s="176">
        <f>INDEX([5]PT!$AF$16:$AF$381,DATE(2016,MONTH(S312),DAY(S312))-DATE(2016,1,1)+1,1)</f>
        <v>0</v>
      </c>
      <c r="W312" s="176">
        <f>IF(T!$A$4&lt;MONTH(S312),VLOOKUP(S312,'[8]Podklady MZ'!$R$2:$S$367,2,FALSE),NA())</f>
        <v>30.666666666666668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 t="e">
        <f>IF(T!$A$4&gt;=MONTH(S313),VLOOKUP(S313,'[8]Podklady MZ'!$R$2:$S$367,2,FALSE),NA())</f>
        <v>#N/A</v>
      </c>
      <c r="V313" s="176">
        <f>INDEX([5]PT!$AF$16:$AF$381,DATE(2016,MONTH(S313),DAY(S313))-DATE(2016,1,1)+1,1)</f>
        <v>0</v>
      </c>
      <c r="W313" s="176">
        <f>IF(T!$A$4&lt;MONTH(S313),VLOOKUP(S313,'[8]Podklady MZ'!$R$2:$S$367,2,FALSE),NA())</f>
        <v>30.666666666666668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 t="e">
        <f>IF(T!$A$4&gt;=MONTH(S314),VLOOKUP(S314,'[8]Podklady MZ'!$R$2:$S$367,2,FALSE),NA())</f>
        <v>#N/A</v>
      </c>
      <c r="V314" s="176">
        <f>INDEX([5]PT!$AF$16:$AF$381,DATE(2016,MONTH(S314),DAY(S314))-DATE(2016,1,1)+1,1)</f>
        <v>0</v>
      </c>
      <c r="W314" s="176">
        <f>IF(T!$A$4&lt;MONTH(S314),VLOOKUP(S314,'[8]Podklady MZ'!$R$2:$S$367,2,FALSE),NA())</f>
        <v>30.666666666666668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 t="e">
        <f>IF(T!$A$4&gt;=MONTH(S315),VLOOKUP(S315,'[8]Podklady MZ'!$R$2:$S$367,2,FALSE),NA())</f>
        <v>#N/A</v>
      </c>
      <c r="V315" s="176">
        <f>INDEX([5]PT!$AF$16:$AF$381,DATE(2016,MONTH(S315),DAY(S315))-DATE(2016,1,1)+1,1)</f>
        <v>0</v>
      </c>
      <c r="W315" s="176">
        <f>IF(T!$A$4&lt;MONTH(S315),VLOOKUP(S315,'[8]Podklady MZ'!$R$2:$S$367,2,FALSE),NA())</f>
        <v>30.666666666666668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 t="e">
        <f>IF(T!$A$4&gt;=MONTH(S316),VLOOKUP(S316,'[8]Podklady MZ'!$R$2:$S$367,2,FALSE),NA())</f>
        <v>#N/A</v>
      </c>
      <c r="V316" s="176">
        <f>INDEX([5]PT!$AF$16:$AF$381,DATE(2016,MONTH(S316),DAY(S316))-DATE(2016,1,1)+1,1)</f>
        <v>0</v>
      </c>
      <c r="W316" s="176">
        <f>IF(T!$A$4&lt;MONTH(S316),VLOOKUP(S316,'[8]Podklady MZ'!$R$2:$S$367,2,FALSE),NA())</f>
        <v>30.666666666666668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 t="e">
        <f>IF(T!$A$4&gt;=MONTH(S317),VLOOKUP(S317,'[8]Podklady MZ'!$R$2:$S$367,2,FALSE),NA())</f>
        <v>#N/A</v>
      </c>
      <c r="V317" s="176">
        <f>INDEX([5]PT!$AF$16:$AF$381,DATE(2016,MONTH(S317),DAY(S317))-DATE(2016,1,1)+1,1)</f>
        <v>0</v>
      </c>
      <c r="W317" s="176">
        <f>IF(T!$A$4&lt;MONTH(S317),VLOOKUP(S317,'[8]Podklady MZ'!$R$2:$S$367,2,FALSE),NA())</f>
        <v>30.666666666666668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 t="e">
        <f>IF(T!$A$4&gt;=MONTH(S318),VLOOKUP(S318,'[8]Podklady MZ'!$R$2:$S$367,2,FALSE),NA())</f>
        <v>#N/A</v>
      </c>
      <c r="V318" s="176">
        <f>INDEX([5]PT!$AF$16:$AF$381,DATE(2016,MONTH(S318),DAY(S318))-DATE(2016,1,1)+1,1)</f>
        <v>0</v>
      </c>
      <c r="W318" s="176">
        <f>IF(T!$A$4&lt;MONTH(S318),VLOOKUP(S318,'[8]Podklady MZ'!$R$2:$S$367,2,FALSE),NA())</f>
        <v>30.666666666666668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 t="e">
        <f>IF(T!$A$4&gt;=MONTH(S319),VLOOKUP(S319,'[8]Podklady MZ'!$R$2:$S$367,2,FALSE),NA())</f>
        <v>#N/A</v>
      </c>
      <c r="V319" s="176">
        <f>INDEX([5]PT!$AF$16:$AF$381,DATE(2016,MONTH(S319),DAY(S319))-DATE(2016,1,1)+1,1)</f>
        <v>0</v>
      </c>
      <c r="W319" s="176">
        <f>IF(T!$A$4&lt;MONTH(S319),VLOOKUP(S319,'[8]Podklady MZ'!$R$2:$S$367,2,FALSE),NA())</f>
        <v>30.666666666666668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 t="e">
        <f>IF(T!$A$4&gt;=MONTH(S320),VLOOKUP(S320,'[8]Podklady MZ'!$R$2:$S$367,2,FALSE),NA())</f>
        <v>#N/A</v>
      </c>
      <c r="V320" s="176">
        <f>INDEX([5]PT!$AF$16:$AF$381,DATE(2016,MONTH(S320),DAY(S320))-DATE(2016,1,1)+1,1)</f>
        <v>0</v>
      </c>
      <c r="W320" s="176">
        <f>IF(T!$A$4&lt;MONTH(S320),VLOOKUP(S320,'[8]Podklady MZ'!$R$2:$S$367,2,FALSE),NA())</f>
        <v>30.666666666666668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 t="e">
        <f>IF(T!$A$4&gt;=MONTH(S321),VLOOKUP(S321,'[8]Podklady MZ'!$R$2:$S$367,2,FALSE),NA())</f>
        <v>#N/A</v>
      </c>
      <c r="V321" s="176">
        <f>INDEX([5]PT!$AF$16:$AF$381,DATE(2016,MONTH(S321),DAY(S321))-DATE(2016,1,1)+1,1)</f>
        <v>0</v>
      </c>
      <c r="W321" s="176">
        <f>IF(T!$A$4&lt;MONTH(S321),VLOOKUP(S321,'[8]Podklady MZ'!$R$2:$S$367,2,FALSE),NA())</f>
        <v>30.666666666666668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 t="e">
        <f>IF(T!$A$4&gt;=MONTH(S322),VLOOKUP(S322,'[8]Podklady MZ'!$R$2:$S$367,2,FALSE),NA())</f>
        <v>#N/A</v>
      </c>
      <c r="V322" s="176">
        <f>INDEX([5]PT!$AF$16:$AF$381,DATE(2016,MONTH(S322),DAY(S322))-DATE(2016,1,1)+1,1)</f>
        <v>0</v>
      </c>
      <c r="W322" s="176">
        <f>IF(T!$A$4&lt;MONTH(S322),VLOOKUP(S322,'[8]Podklady MZ'!$R$2:$S$367,2,FALSE),NA())</f>
        <v>30.666666666666668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 t="e">
        <f>IF(T!$A$4&gt;=MONTH(S323),VLOOKUP(S323,'[8]Podklady MZ'!$R$2:$S$367,2,FALSE),NA())</f>
        <v>#N/A</v>
      </c>
      <c r="V323" s="176">
        <f>INDEX([5]PT!$AF$16:$AF$381,DATE(2016,MONTH(S323),DAY(S323))-DATE(2016,1,1)+1,1)</f>
        <v>0</v>
      </c>
      <c r="W323" s="176">
        <f>IF(T!$A$4&lt;MONTH(S323),VLOOKUP(S323,'[8]Podklady MZ'!$R$2:$S$367,2,FALSE),NA())</f>
        <v>30.666666666666668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 t="e">
        <f>IF(T!$A$4&gt;=MONTH(S324),VLOOKUP(S324,'[8]Podklady MZ'!$R$2:$S$367,2,FALSE),NA())</f>
        <v>#N/A</v>
      </c>
      <c r="V324" s="176">
        <f>INDEX([5]PT!$AF$16:$AF$381,DATE(2016,MONTH(S324),DAY(S324))-DATE(2016,1,1)+1,1)</f>
        <v>0</v>
      </c>
      <c r="W324" s="176">
        <f>IF(T!$A$4&lt;MONTH(S324),VLOOKUP(S324,'[8]Podklady MZ'!$R$2:$S$367,2,FALSE),NA())</f>
        <v>30.666666666666668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 t="e">
        <f>IF(T!$A$4&gt;=MONTH(S325),VLOOKUP(S325,'[8]Podklady MZ'!$R$2:$S$367,2,FALSE),NA())</f>
        <v>#N/A</v>
      </c>
      <c r="V325" s="176">
        <f>INDEX([5]PT!$AF$16:$AF$381,DATE(2016,MONTH(S325),DAY(S325))-DATE(2016,1,1)+1,1)</f>
        <v>0</v>
      </c>
      <c r="W325" s="176">
        <f>IF(T!$A$4&lt;MONTH(S325),VLOOKUP(S325,'[8]Podklady MZ'!$R$2:$S$367,2,FALSE),NA())</f>
        <v>30.666666666666668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 t="e">
        <f>IF(T!$A$4&gt;=MONTH(S326),VLOOKUP(S326,'[8]Podklady MZ'!$R$2:$S$367,2,FALSE),NA())</f>
        <v>#N/A</v>
      </c>
      <c r="V326" s="176">
        <f>INDEX([5]PT!$AF$16:$AF$381,DATE(2016,MONTH(S326),DAY(S326))-DATE(2016,1,1)+1,1)</f>
        <v>0</v>
      </c>
      <c r="W326" s="176">
        <f>IF(T!$A$4&lt;MONTH(S326),VLOOKUP(S326,'[8]Podklady MZ'!$R$2:$S$367,2,FALSE),NA())</f>
        <v>30.666666666666668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 t="e">
        <f>IF(T!$A$4&gt;=MONTH(S327),VLOOKUP(S327,'[8]Podklady MZ'!$R$2:$S$367,2,FALSE),NA())</f>
        <v>#N/A</v>
      </c>
      <c r="V327" s="176">
        <f>INDEX([5]PT!$AF$16:$AF$381,DATE(2016,MONTH(S327),DAY(S327))-DATE(2016,1,1)+1,1)</f>
        <v>0</v>
      </c>
      <c r="W327" s="176">
        <f>IF(T!$A$4&lt;MONTH(S327),VLOOKUP(S327,'[8]Podklady MZ'!$R$2:$S$367,2,FALSE),NA())</f>
        <v>30.666666666666668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 t="e">
        <f>IF(T!$A$4&gt;=MONTH(S328),VLOOKUP(S328,'[8]Podklady MZ'!$R$2:$S$367,2,FALSE),NA())</f>
        <v>#N/A</v>
      </c>
      <c r="V328" s="176">
        <f>INDEX([5]PT!$AF$16:$AF$381,DATE(2016,MONTH(S328),DAY(S328))-DATE(2016,1,1)+1,1)</f>
        <v>0</v>
      </c>
      <c r="W328" s="176">
        <f>IF(T!$A$4&lt;MONTH(S328),VLOOKUP(S328,'[8]Podklady MZ'!$R$2:$S$367,2,FALSE),NA())</f>
        <v>30.666666666666668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 t="e">
        <f>IF(T!$A$4&gt;=MONTH(S329),VLOOKUP(S329,'[8]Podklady MZ'!$R$2:$S$367,2,FALSE),NA())</f>
        <v>#N/A</v>
      </c>
      <c r="V329" s="176">
        <f>INDEX([5]PT!$AF$16:$AF$381,DATE(2016,MONTH(S329),DAY(S329))-DATE(2016,1,1)+1,1)</f>
        <v>0</v>
      </c>
      <c r="W329" s="176">
        <f>IF(T!$A$4&lt;MONTH(S329),VLOOKUP(S329,'[8]Podklady MZ'!$R$2:$S$367,2,FALSE),NA())</f>
        <v>30.666666666666668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 t="e">
        <f>IF(T!$A$4&gt;=MONTH(S330),VLOOKUP(S330,'[8]Podklady MZ'!$R$2:$S$367,2,FALSE),NA())</f>
        <v>#N/A</v>
      </c>
      <c r="V330" s="176">
        <f>INDEX([5]PT!$AF$16:$AF$381,DATE(2016,MONTH(S330),DAY(S330))-DATE(2016,1,1)+1,1)</f>
        <v>0</v>
      </c>
      <c r="W330" s="176">
        <f>IF(T!$A$4&lt;MONTH(S330),VLOOKUP(S330,'[8]Podklady MZ'!$R$2:$S$367,2,FALSE),NA())</f>
        <v>30.666666666666668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 t="e">
        <f>IF(T!$A$4&gt;=MONTH(S331),VLOOKUP(S331,'[8]Podklady MZ'!$R$2:$S$367,2,FALSE),NA())</f>
        <v>#N/A</v>
      </c>
      <c r="V331" s="176">
        <f>INDEX([5]PT!$AF$16:$AF$381,DATE(2016,MONTH(S331),DAY(S331))-DATE(2016,1,1)+1,1)</f>
        <v>0</v>
      </c>
      <c r="W331" s="176">
        <f>IF(T!$A$4&lt;MONTH(S331),VLOOKUP(S331,'[8]Podklady MZ'!$R$2:$S$367,2,FALSE),NA())</f>
        <v>30.666666666666668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 t="e">
        <f>IF(T!$A$4&gt;=MONTH(S332),VLOOKUP(S332,'[8]Podklady MZ'!$R$2:$S$367,2,FALSE),NA())</f>
        <v>#N/A</v>
      </c>
      <c r="V332" s="176">
        <f>INDEX([5]PT!$AF$16:$AF$381,DATE(2016,MONTH(S332),DAY(S332))-DATE(2016,1,1)+1,1)</f>
        <v>0</v>
      </c>
      <c r="W332" s="176">
        <f>IF(T!$A$4&lt;MONTH(S332),VLOOKUP(S332,'[8]Podklady MZ'!$R$2:$S$367,2,FALSE),NA())</f>
        <v>30.666666666666668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 t="e">
        <f>IF(T!$A$4&gt;=MONTH(S333),VLOOKUP(S333,'[8]Podklady MZ'!$R$2:$S$367,2,FALSE),NA())</f>
        <v>#N/A</v>
      </c>
      <c r="V333" s="176">
        <f>INDEX([5]PT!$AF$16:$AF$381,DATE(2016,MONTH(S333),DAY(S333))-DATE(2016,1,1)+1,1)</f>
        <v>0</v>
      </c>
      <c r="W333" s="176">
        <f>IF(T!$A$4&lt;MONTH(S333),VLOOKUP(S333,'[8]Podklady MZ'!$R$2:$S$367,2,FALSE),NA())</f>
        <v>30.666666666666668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 t="e">
        <f>IF(T!$A$4&gt;=MONTH(S334),VLOOKUP(S334,'[8]Podklady MZ'!$R$2:$S$367,2,FALSE),NA())</f>
        <v>#N/A</v>
      </c>
      <c r="V334" s="176">
        <f>INDEX([5]PT!$AF$16:$AF$381,DATE(2016,MONTH(S334),DAY(S334))-DATE(2016,1,1)+1,1)</f>
        <v>0</v>
      </c>
      <c r="W334" s="176">
        <f>IF(T!$A$4&lt;MONTH(S334),VLOOKUP(S334,'[8]Podklady MZ'!$R$2:$S$367,2,FALSE),NA())</f>
        <v>30.666666666666668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 t="e">
        <f>IF(T!$A$4&gt;=MONTH(S335),VLOOKUP(S335,'[8]Podklady MZ'!$R$2:$S$367,2,FALSE),NA())</f>
        <v>#N/A</v>
      </c>
      <c r="V335" s="176">
        <f>INDEX([5]PT!$AF$16:$AF$381,DATE(2016,MONTH(S335),DAY(S335))-DATE(2016,1,1)+1,1)</f>
        <v>0</v>
      </c>
      <c r="W335" s="176">
        <f>IF(T!$A$4&lt;MONTH(S335),VLOOKUP(S335,'[8]Podklady MZ'!$R$2:$S$367,2,FALSE),NA())</f>
        <v>30.666666666666668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A39:F39"/>
    <mergeCell ref="A38:O38"/>
    <mergeCell ref="A31:A34"/>
    <mergeCell ref="B31:B32"/>
    <mergeCell ref="B33:B34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1" t="s">
        <v>87</v>
      </c>
      <c r="P1" s="821"/>
    </row>
    <row r="2" spans="1:21" ht="15.95" customHeight="1" x14ac:dyDescent="0.25">
      <c r="A2" s="877" t="s">
        <v>262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21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21" ht="14.1" customHeight="1" x14ac:dyDescent="0.2">
      <c r="D4" s="508"/>
      <c r="E4" s="508"/>
      <c r="F4" s="508"/>
      <c r="G4" s="508"/>
      <c r="P4" s="594"/>
    </row>
    <row r="5" spans="1:21" ht="18" customHeight="1" x14ac:dyDescent="0.2">
      <c r="A5" s="515"/>
      <c r="B5" s="516"/>
      <c r="C5" s="517"/>
      <c r="D5" s="618" t="s">
        <v>13</v>
      </c>
      <c r="E5" s="618" t="s">
        <v>58</v>
      </c>
      <c r="F5" s="619" t="s">
        <v>59</v>
      </c>
      <c r="G5" s="618" t="s">
        <v>60</v>
      </c>
      <c r="H5" s="618" t="s">
        <v>61</v>
      </c>
      <c r="I5" s="619" t="s">
        <v>62</v>
      </c>
      <c r="J5" s="618" t="s">
        <v>63</v>
      </c>
      <c r="K5" s="618" t="s">
        <v>64</v>
      </c>
      <c r="L5" s="619" t="s">
        <v>65</v>
      </c>
      <c r="M5" s="618" t="s">
        <v>66</v>
      </c>
      <c r="N5" s="618" t="s">
        <v>67</v>
      </c>
      <c r="O5" s="618" t="s">
        <v>68</v>
      </c>
      <c r="P5" s="588" t="s">
        <v>2</v>
      </c>
      <c r="Q5" s="13"/>
    </row>
    <row r="6" spans="1:21" ht="9" customHeight="1" x14ac:dyDescent="0.2">
      <c r="A6" s="879" t="s">
        <v>306</v>
      </c>
      <c r="B6" s="519"/>
      <c r="C6" s="520"/>
      <c r="D6" s="509"/>
      <c r="E6" s="509"/>
      <c r="F6" s="521"/>
      <c r="G6" s="509"/>
      <c r="H6" s="509"/>
      <c r="I6" s="521"/>
      <c r="J6" s="509"/>
      <c r="K6" s="509"/>
      <c r="L6" s="521"/>
      <c r="M6" s="509"/>
      <c r="N6" s="509"/>
      <c r="O6" s="509"/>
      <c r="P6" s="589"/>
      <c r="Q6" s="13"/>
    </row>
    <row r="7" spans="1:21" ht="18" customHeight="1" x14ac:dyDescent="0.2">
      <c r="A7" s="875"/>
      <c r="B7" s="571" t="s">
        <v>71</v>
      </c>
      <c r="C7" s="572" t="s">
        <v>250</v>
      </c>
      <c r="D7" s="556">
        <v>1120</v>
      </c>
      <c r="E7" s="620">
        <v>1000</v>
      </c>
      <c r="F7" s="621">
        <v>910</v>
      </c>
      <c r="G7" s="620">
        <v>630</v>
      </c>
      <c r="H7" s="556">
        <v>400</v>
      </c>
      <c r="I7" s="557">
        <v>310</v>
      </c>
      <c r="J7" s="556">
        <v>290</v>
      </c>
      <c r="K7" s="556">
        <v>290</v>
      </c>
      <c r="L7" s="557">
        <v>380</v>
      </c>
      <c r="M7" s="556">
        <v>650</v>
      </c>
      <c r="N7" s="556">
        <v>920</v>
      </c>
      <c r="O7" s="556">
        <v>1080</v>
      </c>
      <c r="P7" s="596">
        <f>SUM(D7:O7)</f>
        <v>7980</v>
      </c>
    </row>
    <row r="8" spans="1:21" ht="18" customHeight="1" x14ac:dyDescent="0.2">
      <c r="A8" s="875"/>
      <c r="B8" s="571" t="s">
        <v>71</v>
      </c>
      <c r="C8" s="572" t="s">
        <v>303</v>
      </c>
      <c r="D8" s="620">
        <v>11900</v>
      </c>
      <c r="E8" s="620">
        <v>10620</v>
      </c>
      <c r="F8" s="621">
        <v>9660</v>
      </c>
      <c r="G8" s="620">
        <v>6690</v>
      </c>
      <c r="H8" s="556">
        <v>4250</v>
      </c>
      <c r="I8" s="557">
        <v>3290</v>
      </c>
      <c r="J8" s="556">
        <v>3080</v>
      </c>
      <c r="K8" s="556">
        <v>3080</v>
      </c>
      <c r="L8" s="557">
        <v>4040</v>
      </c>
      <c r="M8" s="556">
        <v>6900</v>
      </c>
      <c r="N8" s="556">
        <v>9770</v>
      </c>
      <c r="O8" s="556">
        <v>11470</v>
      </c>
      <c r="P8" s="596">
        <f>SUM(D8:O8)</f>
        <v>84750</v>
      </c>
    </row>
    <row r="9" spans="1:21" ht="18" customHeight="1" x14ac:dyDescent="0.2">
      <c r="A9" s="875"/>
      <c r="B9" s="565" t="s">
        <v>263</v>
      </c>
      <c r="C9" s="567" t="s">
        <v>252</v>
      </c>
      <c r="D9" s="751">
        <v>-2</v>
      </c>
      <c r="E9" s="751">
        <v>-0.7</v>
      </c>
      <c r="F9" s="752">
        <v>3.3</v>
      </c>
      <c r="G9" s="751">
        <v>7.6</v>
      </c>
      <c r="H9" s="753">
        <v>13</v>
      </c>
      <c r="I9" s="754">
        <v>15.8</v>
      </c>
      <c r="J9" s="753">
        <v>17.5</v>
      </c>
      <c r="K9" s="753">
        <v>17.2</v>
      </c>
      <c r="L9" s="754">
        <v>13</v>
      </c>
      <c r="M9" s="753">
        <v>8</v>
      </c>
      <c r="N9" s="753">
        <v>2.6</v>
      </c>
      <c r="O9" s="753">
        <v>-0.4</v>
      </c>
      <c r="P9" s="755">
        <f>AVERAGE(D9:O9)</f>
        <v>7.9083333333333323</v>
      </c>
    </row>
    <row r="10" spans="1:21" ht="9" customHeight="1" x14ac:dyDescent="0.2">
      <c r="A10" s="876"/>
      <c r="B10" s="511"/>
      <c r="C10" s="531"/>
      <c r="D10" s="532"/>
      <c r="E10" s="532"/>
      <c r="F10" s="533"/>
      <c r="G10" s="532"/>
      <c r="H10" s="534"/>
      <c r="I10" s="535"/>
      <c r="J10" s="534"/>
      <c r="K10" s="534"/>
      <c r="L10" s="535"/>
      <c r="M10" s="534"/>
      <c r="N10" s="534"/>
      <c r="O10" s="534"/>
      <c r="P10" s="591"/>
    </row>
    <row r="11" spans="1:21" ht="9" customHeight="1" x14ac:dyDescent="0.2">
      <c r="A11" s="879" t="s">
        <v>267</v>
      </c>
      <c r="B11" s="512"/>
      <c r="C11" s="536"/>
      <c r="D11" s="526"/>
      <c r="E11" s="526"/>
      <c r="F11" s="527"/>
      <c r="G11" s="526"/>
      <c r="H11" s="528"/>
      <c r="I11" s="529"/>
      <c r="J11" s="528"/>
      <c r="K11" s="528"/>
      <c r="L11" s="529"/>
      <c r="M11" s="528"/>
      <c r="N11" s="528"/>
      <c r="O11" s="528"/>
      <c r="P11" s="590"/>
    </row>
    <row r="12" spans="1:21" ht="18" customHeight="1" x14ac:dyDescent="0.2">
      <c r="A12" s="875"/>
      <c r="B12" s="98" t="s">
        <v>71</v>
      </c>
      <c r="C12" s="568" t="s">
        <v>250</v>
      </c>
      <c r="D12" s="530">
        <f>'[8]Podklady MZ'!D52</f>
        <v>1081.280644710429</v>
      </c>
      <c r="E12" s="530">
        <f>'[8]Podklady MZ'!E52</f>
        <v>989.86689164730865</v>
      </c>
      <c r="F12" s="545">
        <f>'[8]Podklady MZ'!F52</f>
        <v>865.53252041105134</v>
      </c>
      <c r="G12" s="530">
        <f>'[8]Podklady MZ'!G52</f>
        <v>622.80856614391325</v>
      </c>
      <c r="H12" s="530">
        <f>'[8]Podklady MZ'!H52</f>
        <v>404.77237581362579</v>
      </c>
      <c r="I12" s="545">
        <f>'[8]Podklady MZ'!I52</f>
        <v>314.40782647711256</v>
      </c>
      <c r="J12" s="530">
        <f>'[8]Podklady MZ'!J52</f>
        <v>288.03873135220124</v>
      </c>
      <c r="K12" s="530">
        <f>'[8]Podklady MZ'!K52</f>
        <v>289.99999999999994</v>
      </c>
      <c r="L12" s="545">
        <f>'[8]Podklady MZ'!L52</f>
        <v>380.00000000000011</v>
      </c>
      <c r="M12" s="530">
        <f>'[8]Podklady MZ'!M52</f>
        <v>650.00000000000057</v>
      </c>
      <c r="N12" s="530">
        <f>'[8]Podklady MZ'!N52</f>
        <v>919.99999999999966</v>
      </c>
      <c r="O12" s="530">
        <f>'[8]Podklady MZ'!O52</f>
        <v>1080.0000000000002</v>
      </c>
      <c r="P12" s="590">
        <f>SUM(D12:O12)</f>
        <v>7886.7075565556424</v>
      </c>
      <c r="U12" s="66"/>
    </row>
    <row r="13" spans="1:21" ht="18" customHeight="1" x14ac:dyDescent="0.2">
      <c r="A13" s="875"/>
      <c r="B13" s="98" t="s">
        <v>71</v>
      </c>
      <c r="C13" s="568" t="s">
        <v>303</v>
      </c>
      <c r="D13" s="543">
        <f>'[8]Podklady MZ'!D53</f>
        <v>11492.757934199999</v>
      </c>
      <c r="E13" s="543">
        <f>'[8]Podklady MZ'!E53</f>
        <v>10525.401338</v>
      </c>
      <c r="F13" s="570">
        <f>'[8]Podklady MZ'!F53</f>
        <v>9201.9026437999983</v>
      </c>
      <c r="G13" s="543">
        <f>'[8]Podklady MZ'!G53</f>
        <v>6626.1087002000022</v>
      </c>
      <c r="H13" s="543">
        <f>'[8]Podklady MZ'!H53</f>
        <v>4332.1303954000005</v>
      </c>
      <c r="I13" s="570">
        <f>'[8]Podklady MZ'!I53</f>
        <v>3367.3136154999993</v>
      </c>
      <c r="J13" s="543">
        <f>'[8]Podklady MZ'!J53</f>
        <v>3053.210552333333</v>
      </c>
      <c r="K13" s="543">
        <f>'[8]Podklady MZ'!K53</f>
        <v>3080.0000000000005</v>
      </c>
      <c r="L13" s="570">
        <f>'[8]Podklady MZ'!L53</f>
        <v>4039.9999999999982</v>
      </c>
      <c r="M13" s="543">
        <f>'[8]Podklady MZ'!M53</f>
        <v>6900.0000000000036</v>
      </c>
      <c r="N13" s="543">
        <f>'[8]Podklady MZ'!N53</f>
        <v>9770</v>
      </c>
      <c r="O13" s="543">
        <f>'[8]Podklady MZ'!O53</f>
        <v>11470</v>
      </c>
      <c r="P13" s="590">
        <f>SUM(D13:O13)</f>
        <v>83858.825179433334</v>
      </c>
    </row>
    <row r="14" spans="1:21" ht="18" customHeight="1" x14ac:dyDescent="0.2">
      <c r="A14" s="875"/>
      <c r="B14" s="98" t="s">
        <v>243</v>
      </c>
      <c r="C14" s="576" t="s">
        <v>252</v>
      </c>
      <c r="D14" s="543">
        <f>'[8]Podklady MZ'!D54</f>
        <v>1.2161290322580647</v>
      </c>
      <c r="E14" s="543">
        <f>'[8]Podklady MZ'!E54</f>
        <v>0.22142857142857128</v>
      </c>
      <c r="F14" s="570">
        <f>'[8]Podklady MZ'!F54</f>
        <v>4.3258064516129036</v>
      </c>
      <c r="G14" s="543">
        <f>'[8]Podklady MZ'!G54</f>
        <v>8.2200000000000006</v>
      </c>
      <c r="H14" s="543">
        <f>'[8]Podklady MZ'!H54</f>
        <v>12.838709677419352</v>
      </c>
      <c r="I14" s="570">
        <f>'[8]Podklady MZ'!I54</f>
        <v>16.746666666666666</v>
      </c>
      <c r="J14" s="543">
        <f>'[8]Podklady MZ'!J54</f>
        <v>20.916129032258063</v>
      </c>
      <c r="K14" s="543">
        <f>'[8]Podklady MZ'!K54</f>
        <v>17.199999999999996</v>
      </c>
      <c r="L14" s="570">
        <f>'[8]Podklady MZ'!L54</f>
        <v>13</v>
      </c>
      <c r="M14" s="543">
        <f>'[8]Podklady MZ'!M54</f>
        <v>8</v>
      </c>
      <c r="N14" s="543">
        <f>'[8]Podklady MZ'!N54</f>
        <v>2.5999999999999996</v>
      </c>
      <c r="O14" s="543">
        <f>'[8]Podklady MZ'!O54</f>
        <v>-0.40000000000000019</v>
      </c>
      <c r="P14" s="590">
        <f>AVERAGE(D14:O14)</f>
        <v>8.7404057859703013</v>
      </c>
    </row>
    <row r="15" spans="1:21" ht="9" customHeight="1" x14ac:dyDescent="0.2">
      <c r="A15" s="876"/>
      <c r="B15" s="511"/>
      <c r="C15" s="531"/>
      <c r="D15" s="532"/>
      <c r="E15" s="532"/>
      <c r="F15" s="533"/>
      <c r="G15" s="532"/>
      <c r="H15" s="534"/>
      <c r="I15" s="535"/>
      <c r="J15" s="534"/>
      <c r="K15" s="534"/>
      <c r="L15" s="535"/>
      <c r="M15" s="534"/>
      <c r="N15" s="534"/>
      <c r="O15" s="534"/>
      <c r="P15" s="591"/>
    </row>
    <row r="16" spans="1:21" ht="9" customHeight="1" x14ac:dyDescent="0.2">
      <c r="A16" s="879" t="s">
        <v>268</v>
      </c>
      <c r="B16" s="512"/>
      <c r="C16" s="536"/>
      <c r="D16" s="526"/>
      <c r="E16" s="526"/>
      <c r="F16" s="527"/>
      <c r="G16" s="526"/>
      <c r="H16" s="528"/>
      <c r="I16" s="529"/>
      <c r="J16" s="528"/>
      <c r="K16" s="528"/>
      <c r="L16" s="529"/>
      <c r="M16" s="528"/>
      <c r="N16" s="528"/>
      <c r="O16" s="528"/>
      <c r="P16" s="590"/>
    </row>
    <row r="17" spans="1:16" ht="18" customHeight="1" x14ac:dyDescent="0.2">
      <c r="A17" s="875"/>
      <c r="B17" s="98" t="s">
        <v>71</v>
      </c>
      <c r="C17" s="568" t="s">
        <v>250</v>
      </c>
      <c r="D17" s="530">
        <f>'[8]Podklady MZ'!D57</f>
        <v>1162.3827182199684</v>
      </c>
      <c r="E17" s="543">
        <f>'[8]Podklady MZ'!E57</f>
        <v>1022.8621044614633</v>
      </c>
      <c r="F17" s="570">
        <f>'[8]Podklady MZ'!F57</f>
        <v>901.33118683539692</v>
      </c>
      <c r="G17" s="543">
        <f>'[8]Podklady MZ'!G57</f>
        <v>647.29636373718301</v>
      </c>
      <c r="H17" s="530">
        <f>'[8]Podklady MZ'!H57</f>
        <v>399.23311790096943</v>
      </c>
      <c r="I17" s="545">
        <f>'[8]Podklady MZ'!I57</f>
        <v>318.95062063632389</v>
      </c>
      <c r="J17" s="530">
        <f>'[8]Podklady MZ'!J57</f>
        <v>291.53099502439761</v>
      </c>
      <c r="K17" s="530">
        <f>'[8]Podklady MZ'!K57</f>
        <v>289.99999999999994</v>
      </c>
      <c r="L17" s="545">
        <f>'[8]Podklady MZ'!L57</f>
        <v>380.00000000000011</v>
      </c>
      <c r="M17" s="530">
        <f>'[8]Podklady MZ'!M57</f>
        <v>650.00000000000057</v>
      </c>
      <c r="N17" s="530">
        <f>'[8]Podklady MZ'!N57</f>
        <v>919.99999999999966</v>
      </c>
      <c r="O17" s="530">
        <f>'[8]Podklady MZ'!O57</f>
        <v>1080.0000000000002</v>
      </c>
      <c r="P17" s="590">
        <f>SUM(D17:O17)</f>
        <v>8063.5871068157039</v>
      </c>
    </row>
    <row r="18" spans="1:16" ht="18" customHeight="1" x14ac:dyDescent="0.2">
      <c r="A18" s="875"/>
      <c r="B18" s="98" t="s">
        <v>71</v>
      </c>
      <c r="C18" s="568" t="s">
        <v>303</v>
      </c>
      <c r="D18" s="543">
        <f>'[8]Podklady MZ'!D58</f>
        <v>12354.778819681072</v>
      </c>
      <c r="E18" s="543">
        <f>'[8]Podklady MZ'!E58</f>
        <v>10876.244325104813</v>
      </c>
      <c r="F18" s="570">
        <f>'[8]Podklady MZ'!F58</f>
        <v>9582.4959033788018</v>
      </c>
      <c r="G18" s="543">
        <f>'[8]Podklady MZ'!G58</f>
        <v>6886.6362804260079</v>
      </c>
      <c r="H18" s="530">
        <f>'[8]Podklady MZ'!H58</f>
        <v>4272.8457480148054</v>
      </c>
      <c r="I18" s="545">
        <f>'[8]Podklady MZ'!I58</f>
        <v>3415.9670246600913</v>
      </c>
      <c r="J18" s="530">
        <f>'[8]Podklady MZ'!J58</f>
        <v>3090.2285472586145</v>
      </c>
      <c r="K18" s="530">
        <f>'[8]Podklady MZ'!K58</f>
        <v>3080.0000000000005</v>
      </c>
      <c r="L18" s="545">
        <f>'[8]Podklady MZ'!L58</f>
        <v>4039.9999999999977</v>
      </c>
      <c r="M18" s="530">
        <f>'[8]Podklady MZ'!M58</f>
        <v>6900.0000000000036</v>
      </c>
      <c r="N18" s="530">
        <f>'[8]Podklady MZ'!N58</f>
        <v>9770</v>
      </c>
      <c r="O18" s="530">
        <f>'[8]Podklady MZ'!O58</f>
        <v>11470</v>
      </c>
      <c r="P18" s="590">
        <f>SUM(D18:O18)</f>
        <v>85739.196648524216</v>
      </c>
    </row>
    <row r="19" spans="1:16" ht="18" customHeight="1" x14ac:dyDescent="0.2">
      <c r="A19" s="875"/>
      <c r="B19" s="98" t="s">
        <v>263</v>
      </c>
      <c r="C19" s="576" t="s">
        <v>252</v>
      </c>
      <c r="D19" s="543">
        <f>'[8]Podklady MZ'!D59</f>
        <v>-2</v>
      </c>
      <c r="E19" s="543">
        <f>'[8]Podklady MZ'!E59</f>
        <v>-0.7</v>
      </c>
      <c r="F19" s="570">
        <f>'[8]Podklady MZ'!F59</f>
        <v>3.3</v>
      </c>
      <c r="G19" s="543">
        <f>'[8]Podklady MZ'!G59</f>
        <v>7.6</v>
      </c>
      <c r="H19" s="530">
        <f>'[8]Podklady MZ'!H59</f>
        <v>13</v>
      </c>
      <c r="I19" s="545">
        <f>'[8]Podklady MZ'!I59</f>
        <v>15.8</v>
      </c>
      <c r="J19" s="530">
        <f>'[8]Podklady MZ'!J59</f>
        <v>17.5</v>
      </c>
      <c r="K19" s="530">
        <f>'[8]Podklady MZ'!K59</f>
        <v>17.2</v>
      </c>
      <c r="L19" s="545">
        <f>'[8]Podklady MZ'!L59</f>
        <v>13</v>
      </c>
      <c r="M19" s="530">
        <f>'[8]Podklady MZ'!M59</f>
        <v>8</v>
      </c>
      <c r="N19" s="530">
        <f>'[8]Podklady MZ'!N59</f>
        <v>2.6</v>
      </c>
      <c r="O19" s="530">
        <f>'[8]Podklady MZ'!O59</f>
        <v>-0.4</v>
      </c>
      <c r="P19" s="590">
        <f>AVERAGE(D19:O19)</f>
        <v>7.9083333333333323</v>
      </c>
    </row>
    <row r="20" spans="1:16" ht="9" customHeight="1" x14ac:dyDescent="0.2">
      <c r="A20" s="876"/>
      <c r="B20" s="511"/>
      <c r="C20" s="531"/>
      <c r="D20" s="532"/>
      <c r="E20" s="532"/>
      <c r="F20" s="533"/>
      <c r="G20" s="532"/>
      <c r="H20" s="534"/>
      <c r="I20" s="535"/>
      <c r="J20" s="534"/>
      <c r="K20" s="534"/>
      <c r="L20" s="535"/>
      <c r="M20" s="534"/>
      <c r="N20" s="534"/>
      <c r="O20" s="534"/>
      <c r="P20" s="591"/>
    </row>
    <row r="21" spans="1:16" ht="9" customHeight="1" x14ac:dyDescent="0.2">
      <c r="A21" s="617"/>
      <c r="B21" s="98"/>
      <c r="C21" s="568"/>
      <c r="D21" s="543"/>
      <c r="E21" s="543"/>
      <c r="F21" s="543"/>
      <c r="G21" s="544"/>
      <c r="H21" s="530"/>
      <c r="I21" s="545"/>
      <c r="J21" s="530"/>
      <c r="K21" s="530"/>
      <c r="L21" s="530"/>
      <c r="M21" s="24"/>
      <c r="N21" s="530"/>
      <c r="O21" s="530"/>
      <c r="P21" s="590"/>
    </row>
    <row r="22" spans="1:16" ht="14.1" customHeight="1" x14ac:dyDescent="0.2"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746"/>
    </row>
    <row r="23" spans="1:16" ht="14.1" customHeight="1" x14ac:dyDescent="0.2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</row>
    <row r="24" spans="1:16" ht="14.1" customHeight="1" x14ac:dyDescent="0.2"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</row>
    <row r="25" spans="1:16" ht="14.1" customHeight="1" x14ac:dyDescent="0.2"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</row>
    <row r="26" spans="1:16" ht="14.1" customHeight="1" x14ac:dyDescent="0.2">
      <c r="D26" s="501">
        <v>1</v>
      </c>
      <c r="E26" s="501">
        <v>2</v>
      </c>
      <c r="F26" s="501">
        <v>3</v>
      </c>
      <c r="G26" s="501">
        <v>4</v>
      </c>
      <c r="H26" s="501">
        <v>5</v>
      </c>
      <c r="I26" s="501">
        <v>6</v>
      </c>
      <c r="J26" s="501">
        <v>7</v>
      </c>
      <c r="K26" s="501">
        <v>8</v>
      </c>
      <c r="L26" s="501">
        <v>9</v>
      </c>
      <c r="M26" s="501">
        <v>10</v>
      </c>
      <c r="N26" s="501">
        <v>11</v>
      </c>
      <c r="O26" s="501">
        <v>12</v>
      </c>
      <c r="P26" s="501"/>
    </row>
    <row r="27" spans="1:16" ht="14.1" customHeight="1" x14ac:dyDescent="0.2">
      <c r="D27" s="501" t="s">
        <v>30</v>
      </c>
      <c r="E27" s="501" t="s">
        <v>31</v>
      </c>
      <c r="F27" s="501" t="s">
        <v>32</v>
      </c>
      <c r="G27" s="501" t="s">
        <v>33</v>
      </c>
      <c r="H27" s="501" t="s">
        <v>34</v>
      </c>
      <c r="I27" s="501" t="s">
        <v>35</v>
      </c>
      <c r="J27" s="501" t="s">
        <v>36</v>
      </c>
      <c r="K27" s="501" t="s">
        <v>37</v>
      </c>
      <c r="L27" s="501" t="s">
        <v>38</v>
      </c>
      <c r="M27" s="501" t="s">
        <v>39</v>
      </c>
      <c r="N27" s="501" t="s">
        <v>40</v>
      </c>
      <c r="O27" s="501" t="s">
        <v>41</v>
      </c>
      <c r="P27" s="501"/>
    </row>
    <row r="28" spans="1:16" x14ac:dyDescent="0.2">
      <c r="C28" s="622" t="s">
        <v>90</v>
      </c>
      <c r="D28" s="501">
        <f>D7</f>
        <v>1120</v>
      </c>
      <c r="E28" s="501">
        <f t="shared" ref="E28:O28" si="0">E7</f>
        <v>1000</v>
      </c>
      <c r="F28" s="501">
        <f t="shared" si="0"/>
        <v>910</v>
      </c>
      <c r="G28" s="501">
        <f t="shared" si="0"/>
        <v>630</v>
      </c>
      <c r="H28" s="501">
        <f t="shared" si="0"/>
        <v>400</v>
      </c>
      <c r="I28" s="501">
        <f t="shared" si="0"/>
        <v>310</v>
      </c>
      <c r="J28" s="501">
        <f t="shared" si="0"/>
        <v>290</v>
      </c>
      <c r="K28" s="501">
        <f t="shared" si="0"/>
        <v>290</v>
      </c>
      <c r="L28" s="501">
        <f t="shared" si="0"/>
        <v>380</v>
      </c>
      <c r="M28" s="501">
        <f t="shared" si="0"/>
        <v>650</v>
      </c>
      <c r="N28" s="501">
        <f t="shared" si="0"/>
        <v>920</v>
      </c>
      <c r="O28" s="501">
        <f t="shared" si="0"/>
        <v>1080</v>
      </c>
      <c r="P28" s="501"/>
    </row>
    <row r="29" spans="1:16" x14ac:dyDescent="0.2">
      <c r="C29" s="622" t="s">
        <v>88</v>
      </c>
      <c r="D29" s="501">
        <f>D12</f>
        <v>1081.280644710429</v>
      </c>
      <c r="E29" s="501">
        <f>IF(T!$A$4&gt;=E$26,E12,0)</f>
        <v>989.86689164730865</v>
      </c>
      <c r="F29" s="501">
        <f>IF(T!$A$4&gt;=F$26,F12,0)</f>
        <v>865.53252041105134</v>
      </c>
      <c r="G29" s="501">
        <f>IF(T!$A$4&gt;=G$26,G12,0)</f>
        <v>622.80856614391325</v>
      </c>
      <c r="H29" s="501">
        <f>IF(T!$A$4&gt;=H$26,H12,0)</f>
        <v>404.77237581362579</v>
      </c>
      <c r="I29" s="501">
        <f>IF(T!$A$4&gt;=I$26,I12,0)</f>
        <v>314.40782647711256</v>
      </c>
      <c r="J29" s="501">
        <f>IF(T!$A$4&gt;=J$26,J12,0)</f>
        <v>0</v>
      </c>
      <c r="K29" s="501">
        <f>IF(T!$A$4&gt;=K$26,K12,0)</f>
        <v>0</v>
      </c>
      <c r="L29" s="501">
        <f>IF(T!$A$4&gt;=L$26,L12,0)</f>
        <v>0</v>
      </c>
      <c r="M29" s="501">
        <f>IF(T!$A$4&gt;=M$26,M12,0)</f>
        <v>0</v>
      </c>
      <c r="N29" s="501">
        <f>IF(T!$A$4&gt;=N$26,N12,0)</f>
        <v>0</v>
      </c>
      <c r="O29" s="501">
        <f>IF(T!$A$4&gt;=O$26,O12,0)</f>
        <v>0</v>
      </c>
      <c r="P29" s="501"/>
    </row>
    <row r="30" spans="1:16" x14ac:dyDescent="0.2">
      <c r="C30" s="622" t="s">
        <v>89</v>
      </c>
      <c r="D30" s="501">
        <f>D17</f>
        <v>1162.3827182199684</v>
      </c>
      <c r="E30" s="501">
        <f>IF(T!$A$4&gt;=E$26,E17,0)</f>
        <v>1022.8621044614633</v>
      </c>
      <c r="F30" s="501">
        <f>IF(T!$A$4&gt;=F$26,F17,0)</f>
        <v>901.33118683539692</v>
      </c>
      <c r="G30" s="501">
        <f>IF(T!$A$4&gt;=G$26,G17,0)</f>
        <v>647.29636373718301</v>
      </c>
      <c r="H30" s="501">
        <f>IF(T!$A$4&gt;=H$26,H17,0)</f>
        <v>399.23311790096943</v>
      </c>
      <c r="I30" s="501">
        <f>IF(T!$A$4&gt;=I$26,I17,0)</f>
        <v>318.95062063632389</v>
      </c>
      <c r="J30" s="501">
        <f>IF(T!$A$4&gt;=J$26,J17,0)</f>
        <v>0</v>
      </c>
      <c r="K30" s="501">
        <f>IF(T!$A$4&gt;=K$26,K17,0)</f>
        <v>0</v>
      </c>
      <c r="L30" s="501">
        <f>IF(T!$A$4&gt;=L$26,L17,0)</f>
        <v>0</v>
      </c>
      <c r="M30" s="501">
        <f>IF(T!$A$4&gt;=M$26,M17,0)</f>
        <v>0</v>
      </c>
      <c r="N30" s="501">
        <f>IF(T!$A$4&gt;=N$26,N17,0)</f>
        <v>0</v>
      </c>
      <c r="O30" s="501">
        <f>IF(T!$A$4&gt;=O$26,O17,0)</f>
        <v>0</v>
      </c>
      <c r="P30" s="501"/>
    </row>
    <row r="31" spans="1:16" x14ac:dyDescent="0.2"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  <row r="32" spans="1:16" x14ac:dyDescent="0.2"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</row>
    <row r="33" spans="1:16" x14ac:dyDescent="0.2"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</row>
    <row r="34" spans="1:16" x14ac:dyDescent="0.2"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</row>
    <row r="35" spans="1:16" x14ac:dyDescent="0.2"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</row>
    <row r="36" spans="1:16" x14ac:dyDescent="0.2"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</row>
    <row r="40" spans="1:16" ht="5.0999999999999996" customHeight="1" x14ac:dyDescent="0.2">
      <c r="A40" s="183"/>
      <c r="B40" s="183"/>
      <c r="C40" s="183"/>
      <c r="D40" s="756"/>
      <c r="E40" s="183"/>
      <c r="F40" s="51"/>
    </row>
    <row r="41" spans="1:16" x14ac:dyDescent="0.2">
      <c r="A41" s="903" t="s">
        <v>307</v>
      </c>
      <c r="B41" s="903"/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topLeftCell="A4" zoomScaleNormal="100" zoomScaleSheetLayoutView="100" workbookViewId="0"/>
  </sheetViews>
  <sheetFormatPr defaultRowHeight="11.25" x14ac:dyDescent="0.2"/>
  <cols>
    <col min="1" max="1" width="0.85546875" style="622" customWidth="1"/>
    <col min="2" max="2" width="9.7109375" style="622" customWidth="1"/>
    <col min="3" max="3" width="6.7109375" style="622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2"/>
      <c r="J1" s="802"/>
      <c r="K1" s="802"/>
      <c r="L1" s="695"/>
    </row>
    <row r="2" spans="1:20" ht="24.75" customHeight="1" x14ac:dyDescent="0.25">
      <c r="B2" s="696"/>
      <c r="C2" s="915" t="s">
        <v>295</v>
      </c>
      <c r="D2" s="915"/>
      <c r="E2" s="915"/>
      <c r="F2" s="915"/>
      <c r="G2" s="915"/>
      <c r="H2" s="915"/>
      <c r="I2" s="915"/>
      <c r="J2" s="696"/>
      <c r="K2" s="696"/>
    </row>
    <row r="3" spans="1:20" ht="24.95" customHeight="1" x14ac:dyDescent="0.2">
      <c r="A3" s="697"/>
      <c r="B3" s="698"/>
      <c r="C3" s="915"/>
      <c r="D3" s="915"/>
      <c r="E3" s="915"/>
      <c r="F3" s="915"/>
      <c r="G3" s="915"/>
      <c r="H3" s="915"/>
      <c r="I3" s="915"/>
      <c r="J3" s="699"/>
      <c r="K3" s="700"/>
    </row>
    <row r="4" spans="1:20" ht="24.95" customHeight="1" x14ac:dyDescent="0.2">
      <c r="A4" s="701"/>
      <c r="B4" s="698"/>
      <c r="C4" s="698"/>
      <c r="D4" s="916"/>
      <c r="E4" s="916"/>
      <c r="F4" s="916"/>
      <c r="G4" s="916"/>
      <c r="H4" s="702"/>
      <c r="I4" s="699"/>
      <c r="J4" s="699"/>
      <c r="K4" s="703"/>
    </row>
    <row r="5" spans="1:20" ht="24.95" customHeight="1" x14ac:dyDescent="0.2">
      <c r="A5" s="701"/>
      <c r="B5" s="917" t="s">
        <v>273</v>
      </c>
      <c r="C5" s="917"/>
      <c r="D5" s="704" t="s">
        <v>274</v>
      </c>
      <c r="E5" s="918" t="s">
        <v>275</v>
      </c>
      <c r="F5" s="919"/>
      <c r="G5" s="705"/>
      <c r="H5" s="706" t="s">
        <v>151</v>
      </c>
      <c r="I5" s="917" t="s">
        <v>276</v>
      </c>
      <c r="J5" s="917"/>
      <c r="K5" s="703"/>
      <c r="N5" s="707"/>
    </row>
    <row r="6" spans="1:20" ht="24.95" customHeight="1" x14ac:dyDescent="0.2">
      <c r="A6" s="701"/>
      <c r="B6" s="917"/>
      <c r="C6" s="917"/>
      <c r="D6" s="708"/>
      <c r="E6" s="709"/>
      <c r="F6" s="709"/>
      <c r="G6" s="701"/>
      <c r="H6" s="701"/>
      <c r="I6" s="917"/>
      <c r="J6" s="917"/>
      <c r="K6" s="703"/>
      <c r="M6" s="710"/>
      <c r="N6" s="707"/>
    </row>
    <row r="7" spans="1:20" ht="24.95" customHeight="1" x14ac:dyDescent="0.2">
      <c r="A7" s="701"/>
      <c r="B7" s="711"/>
      <c r="C7" s="711"/>
      <c r="D7" s="712"/>
      <c r="E7" s="712"/>
      <c r="F7" s="920"/>
      <c r="G7" s="920"/>
      <c r="H7" s="920"/>
      <c r="I7" s="920"/>
      <c r="J7" s="711"/>
      <c r="K7" s="703"/>
      <c r="M7" s="710"/>
      <c r="N7" s="707"/>
    </row>
    <row r="8" spans="1:20" ht="24.95" customHeight="1" x14ac:dyDescent="0.2">
      <c r="A8" s="701"/>
      <c r="B8" s="921"/>
      <c r="C8" s="921"/>
      <c r="D8" s="712"/>
      <c r="E8" s="712"/>
      <c r="F8" s="922"/>
      <c r="G8" s="923"/>
      <c r="H8" s="16"/>
      <c r="I8" s="910" t="s">
        <v>279</v>
      </c>
      <c r="J8" s="910"/>
      <c r="K8" s="703"/>
      <c r="M8" s="710"/>
      <c r="N8" s="707"/>
      <c r="O8" s="70"/>
    </row>
    <row r="9" spans="1:20" ht="24.95" customHeight="1" x14ac:dyDescent="0.2">
      <c r="A9" s="701"/>
      <c r="B9" s="917" t="s">
        <v>277</v>
      </c>
      <c r="C9" s="917"/>
      <c r="D9" s="713" t="s">
        <v>278</v>
      </c>
      <c r="F9" s="923"/>
      <c r="G9" s="923"/>
      <c r="H9" s="701"/>
      <c r="I9" s="910"/>
      <c r="J9" s="910"/>
      <c r="K9" s="703"/>
      <c r="N9" s="707"/>
      <c r="O9" s="70"/>
    </row>
    <row r="10" spans="1:20" ht="24.95" customHeight="1" x14ac:dyDescent="0.2">
      <c r="A10" s="701"/>
      <c r="B10" s="917"/>
      <c r="C10" s="917"/>
      <c r="D10" s="714"/>
      <c r="E10" s="715" t="s">
        <v>280</v>
      </c>
      <c r="F10" s="716"/>
      <c r="G10" s="701"/>
      <c r="H10" s="701"/>
      <c r="L10" s="16"/>
      <c r="M10" s="710"/>
      <c r="N10" s="707"/>
      <c r="O10" s="70"/>
      <c r="P10" s="707"/>
      <c r="R10" s="707"/>
      <c r="S10" s="707"/>
      <c r="T10" s="707"/>
    </row>
    <row r="11" spans="1:20" ht="24.95" customHeight="1" x14ac:dyDescent="0.2">
      <c r="A11" s="701"/>
      <c r="D11" s="714"/>
      <c r="E11" s="917" t="s">
        <v>281</v>
      </c>
      <c r="F11" s="917"/>
      <c r="G11" s="717"/>
      <c r="H11" s="717"/>
      <c r="I11" s="925" t="s">
        <v>85</v>
      </c>
      <c r="J11" s="925"/>
      <c r="K11" s="925"/>
      <c r="L11" s="16"/>
      <c r="N11" s="707"/>
      <c r="O11" s="70"/>
      <c r="P11" s="707"/>
      <c r="R11" s="707"/>
      <c r="S11" s="707"/>
      <c r="T11" s="707"/>
    </row>
    <row r="12" spans="1:20" ht="24.95" customHeight="1" x14ac:dyDescent="0.2">
      <c r="A12" s="701"/>
      <c r="B12" s="921"/>
      <c r="C12" s="921"/>
      <c r="D12" s="718"/>
      <c r="E12" s="917"/>
      <c r="F12" s="917"/>
      <c r="I12" s="925"/>
      <c r="J12" s="925"/>
      <c r="K12" s="925"/>
      <c r="L12" s="16"/>
      <c r="N12" s="707"/>
      <c r="O12" s="707"/>
      <c r="P12" s="707"/>
      <c r="Q12" s="70"/>
      <c r="R12" s="707"/>
      <c r="S12" s="707"/>
      <c r="T12" s="707"/>
    </row>
    <row r="13" spans="1:20" ht="24.95" customHeight="1" x14ac:dyDescent="0.2">
      <c r="A13" s="701"/>
      <c r="B13" s="917" t="s">
        <v>282</v>
      </c>
      <c r="C13" s="917"/>
      <c r="D13" s="718" t="s">
        <v>283</v>
      </c>
      <c r="K13" s="698"/>
      <c r="L13" s="16"/>
      <c r="N13" s="707"/>
      <c r="O13" s="707"/>
      <c r="P13" s="707"/>
      <c r="R13" s="707"/>
      <c r="S13" s="707"/>
      <c r="T13" s="707"/>
    </row>
    <row r="14" spans="1:20" ht="24.95" customHeight="1" x14ac:dyDescent="0.2">
      <c r="A14" s="701"/>
      <c r="B14" s="917"/>
      <c r="C14" s="917"/>
      <c r="I14" s="917" t="s">
        <v>314</v>
      </c>
      <c r="J14" s="917"/>
      <c r="K14" s="698"/>
      <c r="L14" s="16"/>
      <c r="N14" s="707"/>
      <c r="O14" s="707"/>
      <c r="P14" s="707"/>
      <c r="Q14" s="70"/>
      <c r="R14" s="707"/>
      <c r="S14" s="707"/>
      <c r="T14" s="707"/>
    </row>
    <row r="15" spans="1:20" ht="24.95" customHeight="1" x14ac:dyDescent="0.2">
      <c r="A15" s="701"/>
      <c r="E15" s="94"/>
      <c r="F15" s="719"/>
      <c r="G15" s="720"/>
      <c r="I15" s="917"/>
      <c r="J15" s="917"/>
      <c r="K15" s="703"/>
      <c r="L15" s="16"/>
      <c r="N15" s="707"/>
      <c r="O15" s="707"/>
      <c r="P15" s="707"/>
      <c r="R15" s="707"/>
      <c r="S15" s="707"/>
      <c r="T15" s="707"/>
    </row>
    <row r="16" spans="1:20" ht="24.95" customHeight="1" x14ac:dyDescent="0.2">
      <c r="A16" s="701"/>
      <c r="D16" s="701"/>
      <c r="H16" s="778"/>
      <c r="L16" s="16"/>
      <c r="N16" s="707"/>
      <c r="O16" s="707"/>
      <c r="P16" s="707"/>
      <c r="Q16" s="70"/>
      <c r="R16" s="707"/>
      <c r="S16" s="707"/>
      <c r="T16" s="707"/>
    </row>
    <row r="17" spans="1:20" ht="24.95" customHeight="1" x14ac:dyDescent="0.2">
      <c r="A17" s="701"/>
      <c r="B17" s="921"/>
      <c r="C17" s="921"/>
      <c r="D17" s="721"/>
      <c r="H17" s="778"/>
      <c r="I17" s="911" t="s">
        <v>284</v>
      </c>
      <c r="J17" s="911"/>
      <c r="K17" s="703"/>
      <c r="L17" s="722"/>
      <c r="M17" s="70"/>
      <c r="N17" s="70"/>
      <c r="O17" s="70"/>
      <c r="P17" s="707"/>
      <c r="R17" s="707"/>
      <c r="S17" s="707"/>
      <c r="T17" s="707"/>
    </row>
    <row r="18" spans="1:20" ht="24.95" customHeight="1" x14ac:dyDescent="0.2">
      <c r="A18" s="703"/>
      <c r="B18" s="924" t="s">
        <v>285</v>
      </c>
      <c r="C18" s="924"/>
      <c r="D18" s="723" t="s">
        <v>286</v>
      </c>
      <c r="E18" s="698"/>
      <c r="F18" s="698"/>
      <c r="I18" s="911"/>
      <c r="J18" s="911"/>
      <c r="K18" s="703"/>
      <c r="N18" s="707"/>
      <c r="O18" s="707"/>
      <c r="P18" s="707"/>
      <c r="R18" s="707"/>
      <c r="S18" s="707"/>
      <c r="T18" s="707"/>
    </row>
    <row r="19" spans="1:20" ht="24.95" customHeight="1" x14ac:dyDescent="0.2">
      <c r="A19" s="724"/>
      <c r="B19" s="924"/>
      <c r="C19" s="924"/>
      <c r="D19" s="725"/>
      <c r="E19" s="715" t="s">
        <v>287</v>
      </c>
      <c r="F19" s="726"/>
      <c r="G19" s="701"/>
      <c r="H19" s="701"/>
      <c r="I19" s="926"/>
      <c r="J19" s="926"/>
      <c r="K19" s="724"/>
      <c r="N19" s="707"/>
      <c r="O19" s="70"/>
      <c r="T19" s="707"/>
    </row>
    <row r="20" spans="1:20" ht="24.95" customHeight="1" x14ac:dyDescent="0.2">
      <c r="A20" s="724"/>
      <c r="B20" s="927"/>
      <c r="C20" s="927"/>
      <c r="D20" s="725"/>
      <c r="E20" s="924" t="s">
        <v>288</v>
      </c>
      <c r="F20" s="924"/>
      <c r="I20" s="924" t="s">
        <v>312</v>
      </c>
      <c r="J20" s="924"/>
      <c r="K20" s="724"/>
      <c r="M20" s="70"/>
      <c r="N20" s="707"/>
      <c r="P20" s="70"/>
      <c r="T20" s="707"/>
    </row>
    <row r="21" spans="1:20" ht="24.95" customHeight="1" x14ac:dyDescent="0.2">
      <c r="A21" s="724"/>
      <c r="B21" s="927"/>
      <c r="C21" s="927"/>
      <c r="D21" s="725"/>
      <c r="E21" s="924"/>
      <c r="F21" s="924"/>
      <c r="I21" s="924"/>
      <c r="J21" s="924"/>
      <c r="K21" s="724"/>
      <c r="M21" s="70"/>
      <c r="N21" s="707"/>
      <c r="O21" s="70"/>
    </row>
    <row r="22" spans="1:20" ht="24.95" customHeight="1" x14ac:dyDescent="0.2">
      <c r="B22" s="924" t="s">
        <v>289</v>
      </c>
      <c r="C22" s="924"/>
      <c r="D22" s="727" t="s">
        <v>290</v>
      </c>
      <c r="K22" s="728"/>
      <c r="N22" s="707"/>
    </row>
    <row r="23" spans="1:20" ht="24.95" customHeight="1" x14ac:dyDescent="0.2">
      <c r="B23" s="924"/>
      <c r="C23" s="924"/>
      <c r="D23" s="729"/>
      <c r="H23" s="778"/>
      <c r="I23" s="913" t="s">
        <v>311</v>
      </c>
      <c r="J23" s="914"/>
      <c r="K23" s="728"/>
      <c r="L23" s="710"/>
    </row>
    <row r="24" spans="1:20" ht="24.95" customHeight="1" x14ac:dyDescent="0.2">
      <c r="A24" s="730"/>
      <c r="B24" s="730"/>
      <c r="C24" s="730"/>
      <c r="D24" s="730"/>
      <c r="F24" s="911" t="s">
        <v>291</v>
      </c>
      <c r="G24" s="911"/>
      <c r="H24" s="778"/>
      <c r="I24" s="913"/>
      <c r="J24" s="914"/>
      <c r="K24" s="728"/>
      <c r="M24" s="70"/>
      <c r="O24" s="70"/>
    </row>
    <row r="25" spans="1:20" ht="24.95" customHeight="1" x14ac:dyDescent="0.2">
      <c r="A25" s="730"/>
      <c r="D25" s="730"/>
      <c r="E25" s="781"/>
      <c r="F25" s="911"/>
      <c r="G25" s="911"/>
      <c r="H25" s="698"/>
      <c r="K25" s="728"/>
    </row>
    <row r="26" spans="1:20" ht="24.95" customHeight="1" x14ac:dyDescent="0.2">
      <c r="A26" s="730"/>
      <c r="I26" s="913" t="s">
        <v>293</v>
      </c>
      <c r="J26" s="912"/>
      <c r="K26" s="728"/>
      <c r="M26" s="70"/>
      <c r="N26" s="70"/>
    </row>
    <row r="27" spans="1:20" ht="24.95" customHeight="1" x14ac:dyDescent="0.2">
      <c r="A27" s="730"/>
      <c r="B27" s="929"/>
      <c r="C27" s="929"/>
      <c r="D27" s="929"/>
      <c r="E27" s="780"/>
      <c r="F27" s="780"/>
      <c r="I27" s="913"/>
      <c r="J27" s="912"/>
      <c r="M27" s="70"/>
      <c r="N27" s="70"/>
    </row>
    <row r="28" spans="1:20" ht="24.95" customHeight="1" x14ac:dyDescent="0.2">
      <c r="E28" s="780"/>
      <c r="F28" s="780"/>
    </row>
    <row r="29" spans="1:20" ht="24.95" customHeight="1" x14ac:dyDescent="0.2">
      <c r="F29" s="930"/>
      <c r="G29" s="930"/>
      <c r="H29" s="779"/>
      <c r="I29" s="779"/>
    </row>
    <row r="30" spans="1:20" ht="10.5" customHeight="1" x14ac:dyDescent="0.2">
      <c r="G30" s="921"/>
      <c r="H30" s="921"/>
    </row>
    <row r="31" spans="1:20" ht="24.95" customHeight="1" x14ac:dyDescent="0.2">
      <c r="F31" s="912" t="s">
        <v>294</v>
      </c>
      <c r="G31" s="912"/>
      <c r="I31" s="780"/>
      <c r="J31" s="780"/>
    </row>
    <row r="32" spans="1:20" ht="24.95" customHeight="1" x14ac:dyDescent="0.2">
      <c r="B32" s="730"/>
      <c r="C32" s="730"/>
      <c r="D32" s="730"/>
      <c r="E32" s="730"/>
      <c r="F32" s="912"/>
      <c r="G32" s="912"/>
      <c r="I32" s="780"/>
      <c r="J32" s="780"/>
      <c r="K32" s="730"/>
    </row>
    <row r="33" spans="1:11" ht="12.95" customHeight="1" x14ac:dyDescent="0.2"/>
    <row r="34" spans="1:11" ht="12.95" customHeight="1" x14ac:dyDescent="0.2">
      <c r="A34" s="931"/>
      <c r="B34" s="931"/>
      <c r="C34" s="931"/>
      <c r="D34" s="931"/>
      <c r="E34" s="931"/>
      <c r="F34" s="931"/>
      <c r="G34" s="931"/>
      <c r="H34" s="931"/>
      <c r="I34" s="931"/>
      <c r="J34" s="931"/>
      <c r="K34" s="931"/>
    </row>
    <row r="35" spans="1:11" ht="20.100000000000001" customHeight="1" x14ac:dyDescent="0.2">
      <c r="A35" s="928"/>
      <c r="B35" s="928"/>
      <c r="C35" s="928"/>
      <c r="D35" s="928"/>
      <c r="E35" s="928"/>
      <c r="F35" s="928"/>
      <c r="G35" s="928"/>
      <c r="H35" s="928"/>
      <c r="I35" s="928"/>
      <c r="J35" s="928"/>
      <c r="K35" s="928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83"/>
      <c r="F47" s="683"/>
      <c r="G47" s="683"/>
      <c r="H47" s="683"/>
    </row>
    <row r="48" spans="1:11" ht="15" customHeight="1" x14ac:dyDescent="0.2">
      <c r="E48" s="683"/>
      <c r="F48" s="683"/>
      <c r="G48" s="683"/>
      <c r="H48" s="683"/>
    </row>
    <row r="49" spans="4:20" ht="15" customHeight="1" x14ac:dyDescent="0.2">
      <c r="E49" s="683"/>
      <c r="F49" s="683"/>
      <c r="G49" s="683"/>
      <c r="H49" s="683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2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2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2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2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2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2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2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2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2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2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2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C2:I3"/>
    <mergeCell ref="D4:G4"/>
    <mergeCell ref="B5:C6"/>
    <mergeCell ref="E5:F5"/>
    <mergeCell ref="I5:J6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932"/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</row>
    <row r="2" spans="1:14" ht="15.75" x14ac:dyDescent="0.25">
      <c r="A2" s="933" t="s">
        <v>292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0"/>
      <c r="C1" s="791" t="s">
        <v>49</v>
      </c>
    </row>
    <row r="2" spans="1:3" x14ac:dyDescent="0.2">
      <c r="A2" s="201"/>
      <c r="B2" s="230"/>
      <c r="C2" s="792"/>
    </row>
    <row r="3" spans="1:3" x14ac:dyDescent="0.2">
      <c r="A3" s="201"/>
      <c r="B3" s="230"/>
      <c r="C3" s="792"/>
    </row>
    <row r="4" spans="1:3" x14ac:dyDescent="0.2">
      <c r="A4" s="181"/>
      <c r="B4" s="230"/>
      <c r="C4" s="792"/>
    </row>
    <row r="5" spans="1:3" ht="30" customHeight="1" x14ac:dyDescent="0.2">
      <c r="A5" s="631" t="s">
        <v>97</v>
      </c>
      <c r="B5" s="624" t="s">
        <v>50</v>
      </c>
      <c r="C5" s="632" t="s">
        <v>203</v>
      </c>
    </row>
    <row r="6" spans="1:3" ht="30" customHeight="1" x14ac:dyDescent="0.2">
      <c r="A6" s="635" t="s">
        <v>218</v>
      </c>
      <c r="B6" s="226" t="s">
        <v>50</v>
      </c>
      <c r="C6" s="636" t="s">
        <v>204</v>
      </c>
    </row>
    <row r="7" spans="1:3" ht="30" customHeight="1" x14ac:dyDescent="0.2">
      <c r="A7" s="635" t="s">
        <v>186</v>
      </c>
      <c r="B7" s="226" t="s">
        <v>50</v>
      </c>
      <c r="C7" s="636" t="s">
        <v>205</v>
      </c>
    </row>
    <row r="8" spans="1:3" ht="30" customHeight="1" x14ac:dyDescent="0.2">
      <c r="A8" s="635" t="s">
        <v>190</v>
      </c>
      <c r="B8" s="226" t="s">
        <v>50</v>
      </c>
      <c r="C8" s="636" t="s">
        <v>206</v>
      </c>
    </row>
    <row r="9" spans="1:3" ht="30" customHeight="1" x14ac:dyDescent="0.2">
      <c r="A9" s="635" t="s">
        <v>300</v>
      </c>
      <c r="B9" s="226" t="s">
        <v>50</v>
      </c>
      <c r="C9" s="636" t="s">
        <v>207</v>
      </c>
    </row>
    <row r="10" spans="1:3" ht="30" customHeight="1" x14ac:dyDescent="0.2">
      <c r="A10" s="635" t="s">
        <v>191</v>
      </c>
      <c r="B10" s="226" t="s">
        <v>50</v>
      </c>
      <c r="C10" s="636" t="s">
        <v>208</v>
      </c>
    </row>
    <row r="11" spans="1:3" ht="30" customHeight="1" x14ac:dyDescent="0.2">
      <c r="A11" s="635" t="s">
        <v>301</v>
      </c>
      <c r="B11" s="226" t="s">
        <v>50</v>
      </c>
      <c r="C11" s="636" t="s">
        <v>209</v>
      </c>
    </row>
    <row r="12" spans="1:3" ht="30" customHeight="1" x14ac:dyDescent="0.2">
      <c r="A12" s="635" t="s">
        <v>192</v>
      </c>
      <c r="B12" s="226" t="s">
        <v>50</v>
      </c>
      <c r="C12" s="636" t="s">
        <v>210</v>
      </c>
    </row>
    <row r="13" spans="1:3" ht="30" customHeight="1" x14ac:dyDescent="0.2">
      <c r="A13" s="635" t="s">
        <v>193</v>
      </c>
      <c r="B13" s="226" t="s">
        <v>50</v>
      </c>
      <c r="C13" s="636" t="s">
        <v>211</v>
      </c>
    </row>
    <row r="14" spans="1:3" ht="30" customHeight="1" x14ac:dyDescent="0.2">
      <c r="A14" s="635" t="s">
        <v>194</v>
      </c>
      <c r="B14" s="226" t="s">
        <v>50</v>
      </c>
      <c r="C14" s="636" t="s">
        <v>212</v>
      </c>
    </row>
    <row r="15" spans="1:3" ht="30" customHeight="1" x14ac:dyDescent="0.2">
      <c r="A15" s="635" t="s">
        <v>195</v>
      </c>
      <c r="B15" s="226" t="s">
        <v>50</v>
      </c>
      <c r="C15" s="636" t="s">
        <v>213</v>
      </c>
    </row>
    <row r="16" spans="1:3" ht="30" customHeight="1" x14ac:dyDescent="0.2">
      <c r="A16" s="635" t="s">
        <v>82</v>
      </c>
      <c r="B16" s="226" t="s">
        <v>50</v>
      </c>
      <c r="C16" s="636" t="s">
        <v>214</v>
      </c>
    </row>
    <row r="17" spans="1:3" ht="30" customHeight="1" x14ac:dyDescent="0.2">
      <c r="A17" s="635" t="s">
        <v>269</v>
      </c>
      <c r="B17" s="226" t="s">
        <v>50</v>
      </c>
      <c r="C17" s="636" t="s">
        <v>215</v>
      </c>
    </row>
    <row r="18" spans="1:3" ht="30" customHeight="1" x14ac:dyDescent="0.2">
      <c r="A18" s="635" t="s">
        <v>270</v>
      </c>
      <c r="B18" s="226" t="s">
        <v>50</v>
      </c>
      <c r="C18" s="636" t="s">
        <v>216</v>
      </c>
    </row>
    <row r="19" spans="1:3" ht="30" customHeight="1" x14ac:dyDescent="0.2">
      <c r="A19" s="635" t="s">
        <v>296</v>
      </c>
      <c r="B19" s="782" t="s">
        <v>50</v>
      </c>
      <c r="C19" s="636" t="s">
        <v>217</v>
      </c>
    </row>
    <row r="20" spans="1:3" ht="30" customHeight="1" x14ac:dyDescent="0.2">
      <c r="A20" s="633" t="s">
        <v>292</v>
      </c>
      <c r="B20" s="731" t="s">
        <v>50</v>
      </c>
      <c r="C20" s="634" t="s">
        <v>271</v>
      </c>
    </row>
    <row r="21" spans="1:3" ht="23.1" customHeight="1" x14ac:dyDescent="0.2">
      <c r="A21" s="87"/>
      <c r="B21" s="231"/>
      <c r="C21" s="233"/>
    </row>
    <row r="22" spans="1:3" ht="23.1" customHeight="1" x14ac:dyDescent="0.2">
      <c r="A22" s="87"/>
      <c r="B22" s="231"/>
      <c r="C22" s="233"/>
    </row>
    <row r="23" spans="1:3" ht="23.1" customHeight="1" x14ac:dyDescent="0.2">
      <c r="A23" s="199"/>
      <c r="B23" s="231"/>
      <c r="C23" s="233"/>
    </row>
    <row r="24" spans="1:3" ht="23.1" customHeight="1" x14ac:dyDescent="0.2">
      <c r="A24" s="85"/>
      <c r="B24" s="232"/>
      <c r="C24" s="233"/>
    </row>
    <row r="25" spans="1:3" ht="23.1" customHeight="1" x14ac:dyDescent="0.2">
      <c r="A25" s="87"/>
      <c r="B25" s="231"/>
      <c r="C25" s="233"/>
    </row>
    <row r="26" spans="1:3" ht="23.1" customHeight="1" x14ac:dyDescent="0.2">
      <c r="A26" s="87"/>
      <c r="B26" s="231"/>
      <c r="C26" s="233"/>
    </row>
    <row r="27" spans="1:3" ht="23.1" customHeight="1" x14ac:dyDescent="0.2">
      <c r="A27" s="87"/>
      <c r="B27" s="231"/>
      <c r="C27" s="233"/>
    </row>
    <row r="28" spans="1:3" ht="23.1" customHeight="1" x14ac:dyDescent="0.2">
      <c r="A28" s="794"/>
      <c r="B28" s="794"/>
      <c r="C28" s="233"/>
    </row>
    <row r="29" spans="1:3" ht="23.1" customHeight="1" x14ac:dyDescent="0.2">
      <c r="A29" s="794"/>
      <c r="B29" s="794"/>
      <c r="C29" s="233"/>
    </row>
    <row r="30" spans="1:3" ht="23.1" customHeight="1" x14ac:dyDescent="0.2">
      <c r="A30" s="794"/>
      <c r="B30" s="794"/>
      <c r="C30" s="233"/>
    </row>
    <row r="31" spans="1:3" ht="23.1" customHeight="1" x14ac:dyDescent="0.2">
      <c r="A31" s="794"/>
      <c r="B31" s="794"/>
      <c r="C31" s="233"/>
    </row>
    <row r="32" spans="1:3" ht="30" customHeight="1" x14ac:dyDescent="0.2">
      <c r="A32" s="793"/>
      <c r="B32" s="793"/>
      <c r="C32" s="233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topLeftCell="A7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99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8"/>
      <c r="B4" s="224"/>
      <c r="C4" s="229" t="s">
        <v>100</v>
      </c>
    </row>
    <row r="5" spans="1:4" ht="18" customHeight="1" x14ac:dyDescent="0.2">
      <c r="A5" s="623" t="s">
        <v>98</v>
      </c>
      <c r="B5" s="624" t="s">
        <v>50</v>
      </c>
      <c r="C5" s="625" t="s">
        <v>101</v>
      </c>
      <c r="D5" s="625"/>
    </row>
    <row r="6" spans="1:4" ht="18" customHeight="1" x14ac:dyDescent="0.2">
      <c r="A6" s="629" t="s">
        <v>102</v>
      </c>
      <c r="B6" s="226" t="s">
        <v>50</v>
      </c>
      <c r="C6" s="200" t="s">
        <v>4</v>
      </c>
      <c r="D6" s="200"/>
    </row>
    <row r="7" spans="1:4" ht="18" customHeight="1" x14ac:dyDescent="0.2">
      <c r="A7" s="629" t="s">
        <v>9</v>
      </c>
      <c r="B7" s="226" t="s">
        <v>50</v>
      </c>
      <c r="C7" s="200" t="s">
        <v>118</v>
      </c>
      <c r="D7" s="200"/>
    </row>
    <row r="8" spans="1:4" ht="18" customHeight="1" x14ac:dyDescent="0.2">
      <c r="A8" s="629" t="s">
        <v>122</v>
      </c>
      <c r="B8" s="226" t="s">
        <v>50</v>
      </c>
      <c r="C8" s="200" t="s">
        <v>126</v>
      </c>
      <c r="D8" s="200"/>
    </row>
    <row r="9" spans="1:4" ht="18" customHeight="1" x14ac:dyDescent="0.2">
      <c r="A9" s="629" t="s">
        <v>146</v>
      </c>
      <c r="B9" s="226" t="s">
        <v>50</v>
      </c>
      <c r="C9" s="200" t="s">
        <v>147</v>
      </c>
      <c r="D9" s="200"/>
    </row>
    <row r="10" spans="1:4" ht="18" customHeight="1" x14ac:dyDescent="0.2">
      <c r="A10" s="629" t="s">
        <v>129</v>
      </c>
      <c r="B10" s="226" t="s">
        <v>50</v>
      </c>
      <c r="C10" s="200" t="s">
        <v>130</v>
      </c>
      <c r="D10" s="200"/>
    </row>
    <row r="11" spans="1:4" ht="18" customHeight="1" x14ac:dyDescent="0.2">
      <c r="A11" s="629" t="s">
        <v>134</v>
      </c>
      <c r="B11" s="226" t="s">
        <v>50</v>
      </c>
      <c r="C11" s="200" t="s">
        <v>135</v>
      </c>
      <c r="D11" s="200"/>
    </row>
    <row r="12" spans="1:4" ht="18" customHeight="1" x14ac:dyDescent="0.2">
      <c r="A12" s="629" t="s">
        <v>111</v>
      </c>
      <c r="B12" s="226" t="s">
        <v>50</v>
      </c>
      <c r="C12" s="200" t="s">
        <v>112</v>
      </c>
      <c r="D12" s="95"/>
    </row>
    <row r="13" spans="1:4" ht="18" customHeight="1" x14ac:dyDescent="0.2">
      <c r="A13" s="629" t="s">
        <v>138</v>
      </c>
      <c r="B13" s="226" t="s">
        <v>50</v>
      </c>
      <c r="C13" s="95" t="s">
        <v>139</v>
      </c>
      <c r="D13" s="200"/>
    </row>
    <row r="14" spans="1:4" ht="18" customHeight="1" x14ac:dyDescent="0.2">
      <c r="A14" s="629" t="s">
        <v>148</v>
      </c>
      <c r="B14" s="226" t="s">
        <v>50</v>
      </c>
      <c r="C14" s="200" t="s">
        <v>149</v>
      </c>
      <c r="D14" s="200"/>
    </row>
    <row r="15" spans="1:4" ht="18" customHeight="1" x14ac:dyDescent="0.2">
      <c r="A15" s="629" t="s">
        <v>107</v>
      </c>
      <c r="B15" s="226" t="s">
        <v>50</v>
      </c>
      <c r="C15" s="200" t="s">
        <v>108</v>
      </c>
      <c r="D15" s="200"/>
    </row>
    <row r="16" spans="1:4" ht="18" customHeight="1" x14ac:dyDescent="0.2">
      <c r="A16" s="629" t="s">
        <v>8</v>
      </c>
      <c r="B16" s="226" t="s">
        <v>50</v>
      </c>
      <c r="C16" s="200" t="s">
        <v>115</v>
      </c>
      <c r="D16" s="200"/>
    </row>
    <row r="17" spans="1:4" ht="18" customHeight="1" x14ac:dyDescent="0.2">
      <c r="A17" s="629" t="s">
        <v>121</v>
      </c>
      <c r="B17" s="226" t="s">
        <v>50</v>
      </c>
      <c r="C17" s="200" t="s">
        <v>120</v>
      </c>
      <c r="D17" s="200"/>
    </row>
    <row r="18" spans="1:4" ht="18" customHeight="1" x14ac:dyDescent="0.2">
      <c r="A18" s="629" t="s">
        <v>140</v>
      </c>
      <c r="B18" s="226" t="s">
        <v>50</v>
      </c>
      <c r="C18" s="200" t="s">
        <v>141</v>
      </c>
      <c r="D18" s="200"/>
    </row>
    <row r="19" spans="1:4" ht="18" customHeight="1" x14ac:dyDescent="0.2">
      <c r="A19" s="629" t="s">
        <v>119</v>
      </c>
      <c r="B19" s="226" t="s">
        <v>50</v>
      </c>
      <c r="C19" s="200" t="s">
        <v>310</v>
      </c>
      <c r="D19" s="200"/>
    </row>
    <row r="20" spans="1:4" ht="18" customHeight="1" x14ac:dyDescent="0.2">
      <c r="A20" s="629" t="s">
        <v>136</v>
      </c>
      <c r="B20" s="226" t="s">
        <v>50</v>
      </c>
      <c r="C20" s="200" t="s">
        <v>137</v>
      </c>
      <c r="D20" s="95"/>
    </row>
    <row r="21" spans="1:4" ht="18" customHeight="1" x14ac:dyDescent="0.2">
      <c r="A21" s="629" t="s">
        <v>114</v>
      </c>
      <c r="B21" s="226" t="s">
        <v>50</v>
      </c>
      <c r="C21" s="200" t="s">
        <v>113</v>
      </c>
      <c r="D21" s="95"/>
    </row>
    <row r="22" spans="1:4" ht="18" customHeight="1" x14ac:dyDescent="0.2">
      <c r="A22" s="629" t="s">
        <v>104</v>
      </c>
      <c r="B22" s="226" t="s">
        <v>50</v>
      </c>
      <c r="C22" s="200" t="s">
        <v>103</v>
      </c>
      <c r="D22" s="95"/>
    </row>
    <row r="23" spans="1:4" ht="18" customHeight="1" x14ac:dyDescent="0.2">
      <c r="A23" s="630" t="s">
        <v>183</v>
      </c>
      <c r="B23" s="226" t="s">
        <v>50</v>
      </c>
      <c r="C23" s="200" t="s">
        <v>124</v>
      </c>
      <c r="D23" s="95"/>
    </row>
    <row r="24" spans="1:4" ht="18" customHeight="1" x14ac:dyDescent="0.2">
      <c r="A24" s="629" t="s">
        <v>106</v>
      </c>
      <c r="B24" s="226" t="s">
        <v>50</v>
      </c>
      <c r="C24" s="200" t="s">
        <v>105</v>
      </c>
      <c r="D24" s="95"/>
    </row>
    <row r="25" spans="1:4" ht="18" customHeight="1" x14ac:dyDescent="0.2">
      <c r="A25" s="630" t="s">
        <v>184</v>
      </c>
      <c r="B25" s="226" t="s">
        <v>50</v>
      </c>
      <c r="C25" s="796" t="s">
        <v>123</v>
      </c>
      <c r="D25" s="796"/>
    </row>
    <row r="26" spans="1:4" ht="18" customHeight="1" x14ac:dyDescent="0.2">
      <c r="A26" s="630" t="s">
        <v>185</v>
      </c>
      <c r="B26" s="226" t="s">
        <v>50</v>
      </c>
      <c r="C26" s="796" t="s">
        <v>125</v>
      </c>
      <c r="D26" s="796"/>
    </row>
    <row r="27" spans="1:4" ht="18" customHeight="1" x14ac:dyDescent="0.2">
      <c r="A27" s="629" t="s">
        <v>7</v>
      </c>
      <c r="B27" s="226" t="s">
        <v>50</v>
      </c>
      <c r="C27" s="200" t="s">
        <v>117</v>
      </c>
      <c r="D27" s="200"/>
    </row>
    <row r="28" spans="1:4" ht="18" customHeight="1" x14ac:dyDescent="0.2">
      <c r="A28" s="629" t="s">
        <v>131</v>
      </c>
      <c r="B28" s="226" t="s">
        <v>50</v>
      </c>
      <c r="C28" s="200" t="s">
        <v>309</v>
      </c>
      <c r="D28" s="200"/>
    </row>
    <row r="29" spans="1:4" ht="18" customHeight="1" x14ac:dyDescent="0.2">
      <c r="A29" s="629" t="s">
        <v>132</v>
      </c>
      <c r="B29" s="226" t="s">
        <v>50</v>
      </c>
      <c r="C29" s="200" t="s">
        <v>133</v>
      </c>
      <c r="D29" s="200"/>
    </row>
    <row r="30" spans="1:4" ht="18" customHeight="1" x14ac:dyDescent="0.2">
      <c r="A30" s="629" t="s">
        <v>6</v>
      </c>
      <c r="B30" s="226" t="s">
        <v>50</v>
      </c>
      <c r="C30" s="200" t="s">
        <v>116</v>
      </c>
      <c r="D30" s="200"/>
    </row>
    <row r="31" spans="1:4" ht="18" customHeight="1" x14ac:dyDescent="0.2">
      <c r="A31" s="629" t="s">
        <v>144</v>
      </c>
      <c r="B31" s="226" t="s">
        <v>50</v>
      </c>
      <c r="C31" s="200" t="s">
        <v>145</v>
      </c>
      <c r="D31" s="200"/>
    </row>
    <row r="32" spans="1:4" ht="18" customHeight="1" x14ac:dyDescent="0.2">
      <c r="A32" s="629" t="s">
        <v>179</v>
      </c>
      <c r="B32" s="226" t="s">
        <v>50</v>
      </c>
      <c r="C32" s="200" t="s">
        <v>177</v>
      </c>
      <c r="D32" s="200"/>
    </row>
    <row r="33" spans="1:4" ht="18" customHeight="1" x14ac:dyDescent="0.2">
      <c r="A33" s="629" t="s">
        <v>220</v>
      </c>
      <c r="B33" s="226" t="s">
        <v>50</v>
      </c>
      <c r="C33" s="796" t="s">
        <v>221</v>
      </c>
      <c r="D33" s="796"/>
    </row>
    <row r="34" spans="1:4" ht="18" customHeight="1" x14ac:dyDescent="0.2">
      <c r="A34" s="626" t="s">
        <v>110</v>
      </c>
      <c r="B34" s="627" t="s">
        <v>50</v>
      </c>
      <c r="C34" s="628" t="s">
        <v>109</v>
      </c>
      <c r="D34" s="628"/>
    </row>
    <row r="35" spans="1:4" ht="18" customHeight="1" x14ac:dyDescent="0.2">
      <c r="A35" s="236"/>
      <c r="B35" s="226"/>
      <c r="C35" s="156"/>
      <c r="D35" s="156"/>
    </row>
    <row r="36" spans="1:4" ht="23.1" customHeight="1" x14ac:dyDescent="0.2">
      <c r="A36" s="234"/>
      <c r="B36" s="227"/>
      <c r="C36" s="87"/>
      <c r="D36" s="87"/>
    </row>
    <row r="37" spans="1:4" ht="23.1" customHeight="1" x14ac:dyDescent="0.2">
      <c r="A37" s="234"/>
      <c r="B37" s="227"/>
      <c r="C37" s="87"/>
      <c r="D37" s="87"/>
    </row>
    <row r="38" spans="1:4" ht="23.1" customHeight="1" x14ac:dyDescent="0.2">
      <c r="A38" s="234"/>
      <c r="B38" s="227"/>
      <c r="C38" s="199"/>
      <c r="D38" s="199"/>
    </row>
    <row r="39" spans="1:4" ht="23.1" customHeight="1" x14ac:dyDescent="0.2">
      <c r="A39" s="235"/>
      <c r="B39" s="228"/>
      <c r="C39" s="85"/>
      <c r="D39" s="85"/>
    </row>
    <row r="40" spans="1:4" ht="23.1" customHeight="1" x14ac:dyDescent="0.2">
      <c r="A40" s="234"/>
      <c r="B40" s="227"/>
      <c r="C40" s="87"/>
      <c r="D40" s="87"/>
    </row>
    <row r="41" spans="1:4" ht="23.1" customHeight="1" x14ac:dyDescent="0.2">
      <c r="A41" s="234"/>
      <c r="B41" s="227"/>
      <c r="C41" s="87"/>
      <c r="D41" s="87"/>
    </row>
    <row r="42" spans="1:4" ht="23.1" customHeight="1" x14ac:dyDescent="0.2">
      <c r="A42" s="234"/>
      <c r="B42" s="227"/>
      <c r="C42" s="87"/>
      <c r="D42" s="87"/>
    </row>
    <row r="43" spans="1:4" ht="23.1" customHeight="1" x14ac:dyDescent="0.2">
      <c r="A43" s="234"/>
      <c r="B43" s="227"/>
      <c r="C43" s="794"/>
      <c r="D43" s="794"/>
    </row>
    <row r="44" spans="1:4" ht="21.75" customHeight="1" x14ac:dyDescent="0.2">
      <c r="A44" s="234"/>
      <c r="B44" s="227"/>
      <c r="C44" s="794"/>
      <c r="D44" s="794"/>
    </row>
    <row r="45" spans="1:4" ht="23.1" customHeight="1" x14ac:dyDescent="0.2">
      <c r="A45" s="86"/>
      <c r="B45" s="88"/>
      <c r="C45" s="794"/>
      <c r="D45" s="794"/>
    </row>
    <row r="46" spans="1:4" ht="23.1" customHeight="1" x14ac:dyDescent="0.2">
      <c r="A46" s="86"/>
      <c r="B46" s="88"/>
      <c r="C46" s="794"/>
      <c r="D46" s="794"/>
    </row>
    <row r="47" spans="1:4" ht="23.1" customHeight="1" x14ac:dyDescent="0.2">
      <c r="A47" s="86"/>
      <c r="B47" s="88"/>
      <c r="C47" s="794"/>
      <c r="D47" s="794"/>
    </row>
    <row r="48" spans="1:4" ht="30" customHeight="1" x14ac:dyDescent="0.2">
      <c r="A48" s="793"/>
      <c r="B48" s="793"/>
      <c r="C48" s="793"/>
      <c r="D48" s="79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9"/>
      <c r="D5" s="800"/>
    </row>
    <row r="6" spans="1:4" ht="30" customHeight="1" x14ac:dyDescent="0.2">
      <c r="A6" s="23"/>
      <c r="B6" s="20"/>
      <c r="C6" s="799"/>
      <c r="D6" s="800"/>
    </row>
    <row r="7" spans="1:4" ht="30" customHeight="1" x14ac:dyDescent="0.2">
      <c r="A7" s="23"/>
      <c r="B7" s="20"/>
      <c r="C7" s="799"/>
      <c r="D7" s="800"/>
    </row>
    <row r="8" spans="1:4" ht="30" customHeight="1" x14ac:dyDescent="0.2">
      <c r="A8" s="23"/>
      <c r="B8" s="20"/>
      <c r="C8" s="799"/>
      <c r="D8" s="800"/>
    </row>
    <row r="9" spans="1:4" ht="30" customHeight="1" x14ac:dyDescent="0.2">
      <c r="A9" s="23"/>
      <c r="B9" s="20"/>
      <c r="C9" s="799"/>
      <c r="D9" s="800"/>
    </row>
    <row r="10" spans="1:4" ht="30" customHeight="1" x14ac:dyDescent="0.2">
      <c r="A10" s="23"/>
      <c r="B10" s="20"/>
      <c r="C10" s="799"/>
      <c r="D10" s="800"/>
    </row>
    <row r="11" spans="1:4" ht="30" customHeight="1" x14ac:dyDescent="0.2">
      <c r="A11" s="23"/>
      <c r="B11" s="20"/>
      <c r="C11" s="799"/>
      <c r="D11" s="800"/>
    </row>
    <row r="12" spans="1:4" ht="30" customHeight="1" x14ac:dyDescent="0.2">
      <c r="A12" s="23"/>
      <c r="B12" s="20"/>
      <c r="C12" s="799"/>
      <c r="D12" s="80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0"/>
      <c r="D33" s="800"/>
    </row>
    <row r="34" spans="1:4" ht="23.1" customHeight="1" x14ac:dyDescent="0.2">
      <c r="A34" s="6"/>
      <c r="B34" s="22"/>
      <c r="C34" s="800"/>
      <c r="D34" s="800"/>
    </row>
    <row r="35" spans="1:4" ht="23.1" customHeight="1" x14ac:dyDescent="0.2">
      <c r="A35" s="6"/>
      <c r="B35" s="22"/>
      <c r="C35" s="800"/>
      <c r="D35" s="800"/>
    </row>
    <row r="36" spans="1:4" ht="30" customHeight="1" x14ac:dyDescent="0.2">
      <c r="A36" s="793"/>
      <c r="B36" s="793"/>
      <c r="C36" s="793"/>
      <c r="D36" s="79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2" t="s">
        <v>51</v>
      </c>
      <c r="I1" s="802"/>
    </row>
    <row r="2" spans="1:18" ht="15.75" customHeight="1" x14ac:dyDescent="0.25">
      <c r="A2" s="803" t="s">
        <v>219</v>
      </c>
      <c r="B2" s="803"/>
      <c r="C2" s="803"/>
      <c r="D2" s="803"/>
      <c r="E2" s="803"/>
      <c r="F2" s="803"/>
      <c r="G2" s="803"/>
      <c r="H2" s="803"/>
      <c r="I2" s="803"/>
    </row>
    <row r="3" spans="1:18" ht="19.5" customHeight="1" x14ac:dyDescent="0.2">
      <c r="A3" s="139"/>
      <c r="B3" s="480"/>
      <c r="D3" s="222" t="str">
        <f>T!G19</f>
        <v>Červen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1"/>
      <c r="C4" s="40"/>
      <c r="D4" s="29"/>
      <c r="E4" s="29"/>
      <c r="F4" s="29"/>
    </row>
    <row r="5" spans="1:18" ht="15" customHeight="1" x14ac:dyDescent="0.2">
      <c r="A5" s="804"/>
      <c r="B5" s="804"/>
      <c r="C5" s="140"/>
      <c r="D5" s="805" t="s">
        <v>15</v>
      </c>
      <c r="E5" s="806"/>
      <c r="F5" s="807"/>
      <c r="G5" s="805" t="s">
        <v>1</v>
      </c>
      <c r="H5" s="806"/>
      <c r="I5" s="806"/>
    </row>
    <row r="6" spans="1:18" ht="15" customHeight="1" x14ac:dyDescent="0.2">
      <c r="A6" s="808" t="s">
        <v>150</v>
      </c>
      <c r="B6" s="809"/>
      <c r="C6" s="465"/>
      <c r="D6" s="141" t="s">
        <v>151</v>
      </c>
      <c r="E6" s="450" t="s">
        <v>152</v>
      </c>
      <c r="F6" s="446" t="s">
        <v>153</v>
      </c>
      <c r="G6" s="141" t="s">
        <v>151</v>
      </c>
      <c r="H6" s="450" t="s">
        <v>152</v>
      </c>
      <c r="I6" s="456" t="s">
        <v>153</v>
      </c>
    </row>
    <row r="7" spans="1:18" ht="15" customHeight="1" x14ac:dyDescent="0.2">
      <c r="A7" s="810"/>
      <c r="B7" s="811"/>
      <c r="C7" s="31" t="s">
        <v>154</v>
      </c>
      <c r="D7" s="63">
        <f>INDEX('[1]Přepravní soustava'!$C$13:$AL$13,1,3*T!$A$4-2)</f>
        <v>3085550.7289798502</v>
      </c>
      <c r="E7" s="451">
        <f>-INDEX('[1]Přepravní soustava'!$C$22:$AL$22,1,3*T!$A$4-2)</f>
        <v>-2207667.6083260933</v>
      </c>
      <c r="F7" s="447">
        <f>D7+E7</f>
        <v>877883.12065375689</v>
      </c>
      <c r="G7" s="63">
        <f>INDEX('[1]Přepravní soustava'!$C$13:$AL$13,1,3*T!$A$4-1)</f>
        <v>33002302.838</v>
      </c>
      <c r="H7" s="451">
        <f>-INDEX('[1]Přepravní soustava'!$C$22:$AL$22,1,3*T!$A$4-1)</f>
        <v>-23609373.644262001</v>
      </c>
      <c r="I7" s="84">
        <f>G7+H7</f>
        <v>9392929.1937379986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0"/>
      <c r="B8" s="811"/>
      <c r="C8" s="98" t="s">
        <v>155</v>
      </c>
      <c r="D8" s="63">
        <f>INDEX('[2]Z ZDS'!$C$31:$AX$31,1,4*T!$A$4-3)</f>
        <v>62.191571129778751</v>
      </c>
      <c r="E8" s="451">
        <f>-INDEX('[2]Do ZDS'!$C$32:$AL$32,1,3*T!$A$4-2)</f>
        <v>-11.360975674892451</v>
      </c>
      <c r="F8" s="447">
        <f>D8+E8</f>
        <v>50.8305954548863</v>
      </c>
      <c r="G8" s="63">
        <f>INDEX('[2]Z ZDS'!$C$31:$AX$31,1,4*T!$A$4-2)</f>
        <v>653.10242599999992</v>
      </c>
      <c r="H8" s="451">
        <f>-INDEX('[2]Do ZDS'!$C$32:$AL$32,1,3*T!$A$4-1)</f>
        <v>-121.73699999999999</v>
      </c>
      <c r="I8" s="84">
        <f>G8+H8</f>
        <v>531.36542599999996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6"/>
      <c r="B9" s="807"/>
      <c r="C9" s="459" t="s">
        <v>156</v>
      </c>
      <c r="D9" s="461">
        <f>SUM(D7:D8)</f>
        <v>3085612.9205509801</v>
      </c>
      <c r="E9" s="462">
        <f>SUM(E7:E8)</f>
        <v>-2207678.9693017681</v>
      </c>
      <c r="F9" s="463">
        <f>SUM(F7:F8)</f>
        <v>877933.95124921179</v>
      </c>
      <c r="G9" s="461">
        <f t="shared" ref="G9:I9" si="0">SUM(G7:G8)</f>
        <v>33002955.940425999</v>
      </c>
      <c r="H9" s="462">
        <f t="shared" si="0"/>
        <v>-23609495.381262001</v>
      </c>
      <c r="I9" s="464">
        <f t="shared" si="0"/>
        <v>9393460.5591639988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8" t="s">
        <v>157</v>
      </c>
      <c r="B10" s="809"/>
      <c r="C10" s="142"/>
      <c r="D10" s="645" t="s">
        <v>158</v>
      </c>
      <c r="E10" s="452" t="s">
        <v>159</v>
      </c>
      <c r="F10" s="448" t="s">
        <v>160</v>
      </c>
      <c r="G10" s="645" t="s">
        <v>158</v>
      </c>
      <c r="H10" s="452" t="s">
        <v>159</v>
      </c>
      <c r="I10" s="646" t="s">
        <v>160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0"/>
      <c r="B11" s="811"/>
      <c r="C11" s="63" t="s">
        <v>76</v>
      </c>
      <c r="D11" s="444">
        <f>INDEX('[1]Přepravní soustava'!$C39:$AL39,1,3*T!$A$4-2)</f>
        <v>0</v>
      </c>
      <c r="E11" s="453">
        <f>-INDEX('[1]Přepravní soustava'!$C43:$AL43,1,3*T!$A$4-2)</f>
        <v>-541454.53899999999</v>
      </c>
      <c r="F11" s="449">
        <f>D11+E11</f>
        <v>-541454.53899999999</v>
      </c>
      <c r="G11" s="444">
        <f>INDEX('[1]Přepravní soustava'!$C39:$AL39,1,3*T!$A$4-1)</f>
        <v>0</v>
      </c>
      <c r="H11" s="453">
        <f>-INDEX('[1]Přepravní soustava'!$C43:$AL43,1,3*T!$A$4-1)</f>
        <v>-5801225.2419999996</v>
      </c>
      <c r="I11" s="18">
        <f>G11+H11</f>
        <v>-5801225.2419999996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0"/>
      <c r="B12" s="811"/>
      <c r="C12" s="100" t="s">
        <v>77</v>
      </c>
      <c r="D12" s="64">
        <f>INDEX('[1]Přepravní soustava'!$C40:$AL40,1,3*T!$A$4-2)</f>
        <v>136.119</v>
      </c>
      <c r="E12" s="453">
        <f>-INDEX('[1]Přepravní soustava'!$C44:$AL44,1,3*T!$A$4-2)</f>
        <v>-19242.198</v>
      </c>
      <c r="F12" s="449">
        <f>D12+E12</f>
        <v>-19106.079000000002</v>
      </c>
      <c r="G12" s="64">
        <f>INDEX('[1]Přepravní soustava'!$C40:$AL40,1,3*T!$A$4-1)</f>
        <v>1461.345</v>
      </c>
      <c r="H12" s="453">
        <f>-INDEX('[1]Přepravní soustava'!$C44:$AL44,1,3*T!$A$4-1)</f>
        <v>-206305.886</v>
      </c>
      <c r="I12" s="18">
        <f>G12+H12</f>
        <v>-204844.541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6"/>
      <c r="B13" s="807"/>
      <c r="C13" s="460" t="s">
        <v>156</v>
      </c>
      <c r="D13" s="466">
        <f t="shared" ref="D13:H13" si="1">SUM(D11:D12)</f>
        <v>136.119</v>
      </c>
      <c r="E13" s="467">
        <f t="shared" si="1"/>
        <v>-560696.73699999996</v>
      </c>
      <c r="F13" s="468">
        <f t="shared" si="1"/>
        <v>-560560.61800000002</v>
      </c>
      <c r="G13" s="466">
        <f t="shared" si="1"/>
        <v>1461.345</v>
      </c>
      <c r="H13" s="467">
        <f t="shared" si="1"/>
        <v>-6007531.1279999996</v>
      </c>
      <c r="I13" s="469">
        <f>SUM(I11:I12)</f>
        <v>-6006069.7829999998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8" t="s">
        <v>83</v>
      </c>
      <c r="B14" s="809"/>
      <c r="C14" s="99"/>
      <c r="D14" s="143" t="s">
        <v>161</v>
      </c>
      <c r="E14" s="454" t="s">
        <v>162</v>
      </c>
      <c r="F14" s="144" t="s">
        <v>181</v>
      </c>
      <c r="G14" s="143" t="s">
        <v>161</v>
      </c>
      <c r="H14" s="454" t="s">
        <v>162</v>
      </c>
      <c r="I14" s="457" t="s">
        <v>181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0"/>
      <c r="B15" s="811"/>
      <c r="C15" s="63" t="s">
        <v>163</v>
      </c>
      <c r="D15" s="63">
        <f>INDEX('[3]Poklady MZ'!$C$9:$Z$10,1,2*T!$A$4-1)</f>
        <v>11504.555</v>
      </c>
      <c r="E15" s="453">
        <f>INDEX('[3]Poklady MZ'!$C$22:$Z$22,1,2*T!$A$4-1)</f>
        <v>614.59699999999975</v>
      </c>
      <c r="F15" s="449">
        <f>D15+E15</f>
        <v>12119.152</v>
      </c>
      <c r="G15" s="63">
        <f>INDEX('[3]Poklady MZ'!$C$9:$Z$10,1,2*T!$A$4)</f>
        <v>125819.90699999999</v>
      </c>
      <c r="H15" s="453">
        <f>INDEX('[3]Poklady MZ'!$C$22:$Z$22,1,2*T!$A$4)</f>
        <v>6843.0684999999939</v>
      </c>
      <c r="I15" s="18">
        <f>G15+H15</f>
        <v>132662.9755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0"/>
      <c r="B16" s="811"/>
      <c r="C16" s="63" t="s">
        <v>164</v>
      </c>
      <c r="D16" s="445">
        <f>INDEX('[3]Poklady MZ'!$C$9:$Z$10,2,2*T!$A$4-1)</f>
        <v>912</v>
      </c>
      <c r="E16" s="453">
        <v>0</v>
      </c>
      <c r="F16" s="449">
        <f>D16+E16</f>
        <v>912</v>
      </c>
      <c r="G16" s="63">
        <f>INDEX('[3]Poklady MZ'!$C$9:$Z$10,2,2*T!$A$4)</f>
        <v>9557</v>
      </c>
      <c r="H16" s="453">
        <v>0</v>
      </c>
      <c r="I16" s="18">
        <f>G16+H16</f>
        <v>9557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6"/>
      <c r="B17" s="807"/>
      <c r="C17" s="460" t="s">
        <v>156</v>
      </c>
      <c r="D17" s="470">
        <f t="shared" ref="D17:I17" si="2">SUM(D15:D16)</f>
        <v>12416.555</v>
      </c>
      <c r="E17" s="471">
        <f t="shared" si="2"/>
        <v>614.59699999999975</v>
      </c>
      <c r="F17" s="472">
        <f t="shared" si="2"/>
        <v>13031.152</v>
      </c>
      <c r="G17" s="470">
        <f t="shared" si="2"/>
        <v>135376.90700000001</v>
      </c>
      <c r="H17" s="471">
        <f t="shared" si="2"/>
        <v>6843.0684999999939</v>
      </c>
      <c r="I17" s="473">
        <f t="shared" si="2"/>
        <v>142219.9755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2" t="s">
        <v>84</v>
      </c>
      <c r="B18" s="813"/>
      <c r="C18" s="99"/>
      <c r="D18" s="143" t="s">
        <v>165</v>
      </c>
      <c r="E18" s="454" t="s">
        <v>166</v>
      </c>
      <c r="F18" s="144" t="s">
        <v>167</v>
      </c>
      <c r="G18" s="143" t="s">
        <v>165</v>
      </c>
      <c r="H18" s="454" t="s">
        <v>166</v>
      </c>
      <c r="I18" s="457" t="s">
        <v>167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4"/>
      <c r="B19" s="815"/>
      <c r="C19" s="100" t="s">
        <v>313</v>
      </c>
      <c r="D19" s="64">
        <f>-INDEX([2]DS!$B$56:$AK$58,1,3*T!$A$4-1)</f>
        <v>-1295.6179999999999</v>
      </c>
      <c r="E19" s="453">
        <v>0</v>
      </c>
      <c r="F19" s="449">
        <f>D19+E19</f>
        <v>-1295.6179999999999</v>
      </c>
      <c r="G19" s="445">
        <f>-INDEX([2]DS!$B$56:$AK$58,1,3*T!$A$4)</f>
        <v>-13876.04</v>
      </c>
      <c r="H19" s="453">
        <v>0</v>
      </c>
      <c r="I19" s="18">
        <f>G19+H19</f>
        <v>-13876.04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4"/>
      <c r="B20" s="815"/>
      <c r="C20" s="100" t="s">
        <v>168</v>
      </c>
      <c r="D20" s="445">
        <f>-INDEX([2]DS!$B$56:$AK$58,2,3*T!$A$4-1)</f>
        <v>-305074.7358740503</v>
      </c>
      <c r="E20" s="455">
        <f>-INDEX([2]DS!$B$60:$AK$60,1,3*T!$A$4-1)</f>
        <v>-6527.9856043619893</v>
      </c>
      <c r="F20" s="449">
        <f t="shared" ref="F20:F22" si="3">D20+E20</f>
        <v>-311602.72147841228</v>
      </c>
      <c r="G20" s="65">
        <f>-INDEX([2]DS!$B$56:$AK$58,2,3*T!$A$4)</f>
        <v>-3267349.3328700056</v>
      </c>
      <c r="H20" s="458">
        <f>-INDEX([2]DS!$B$60:$AK$60,1,3*T!$A$4)</f>
        <v>-69866.168040000004</v>
      </c>
      <c r="I20" s="18">
        <f t="shared" ref="I20:I22" si="4">G20+H20</f>
        <v>-3337215.5009100055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4"/>
      <c r="B21" s="815"/>
      <c r="C21" s="63" t="s">
        <v>169</v>
      </c>
      <c r="D21" s="445">
        <f>-INDEX([2]DS!$B$56:$AK$58,3,3*T!$A$4-1)</f>
        <v>-895</v>
      </c>
      <c r="E21" s="455">
        <v>0</v>
      </c>
      <c r="F21" s="449">
        <f t="shared" si="3"/>
        <v>-895</v>
      </c>
      <c r="G21" s="65">
        <f>-INDEX([2]DS!$B$56:$AK$58,3,3*T!$A$4)</f>
        <v>-9379</v>
      </c>
      <c r="H21" s="458">
        <v>0</v>
      </c>
      <c r="I21" s="18">
        <f t="shared" si="4"/>
        <v>-9379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4"/>
      <c r="B22" s="815"/>
      <c r="C22" s="63" t="s">
        <v>170</v>
      </c>
      <c r="D22" s="445">
        <v>0</v>
      </c>
      <c r="E22" s="455">
        <f>E15*-1</f>
        <v>-614.59699999999975</v>
      </c>
      <c r="F22" s="449">
        <f t="shared" si="3"/>
        <v>-614.59699999999975</v>
      </c>
      <c r="G22" s="65">
        <v>0</v>
      </c>
      <c r="H22" s="458">
        <f>H15*-1</f>
        <v>-6843.0684999999939</v>
      </c>
      <c r="I22" s="18">
        <f t="shared" si="4"/>
        <v>-6843.0684999999939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6"/>
      <c r="B23" s="817"/>
      <c r="C23" s="460" t="s">
        <v>156</v>
      </c>
      <c r="D23" s="474">
        <f>SUM(D19:D22)</f>
        <v>-307265.35387405031</v>
      </c>
      <c r="E23" s="475">
        <f t="shared" ref="E23:G23" si="5">SUM(E19:E22)</f>
        <v>-7142.5826043619891</v>
      </c>
      <c r="F23" s="476">
        <f t="shared" si="5"/>
        <v>-314407.9364784123</v>
      </c>
      <c r="G23" s="474">
        <f t="shared" si="5"/>
        <v>-3290604.3728700057</v>
      </c>
      <c r="H23" s="475">
        <f>SUM(H19:H22)</f>
        <v>-76709.236539999998</v>
      </c>
      <c r="I23" s="477">
        <f>SUM(I19:I22)</f>
        <v>-3367313.6094100056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8" t="s">
        <v>10</v>
      </c>
      <c r="B24" s="819"/>
      <c r="C24" s="145" t="s">
        <v>171</v>
      </c>
      <c r="D24" s="146"/>
      <c r="E24" s="147"/>
      <c r="F24" s="148">
        <f>(F9+F13+F17+F23)*-1</f>
        <v>-15996.548770799476</v>
      </c>
      <c r="G24" s="149"/>
      <c r="H24" s="150"/>
      <c r="I24" s="151">
        <f>(I9+I13+I17+I23)*-1</f>
        <v>-162297.14225399354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8"/>
      <c r="E26" s="30"/>
      <c r="F26" s="30"/>
      <c r="G26" s="27"/>
      <c r="I26" s="182"/>
    </row>
    <row r="27" spans="1:17" ht="15" customHeight="1" x14ac:dyDescent="0.2">
      <c r="A27" s="31"/>
      <c r="B27" s="31"/>
      <c r="C27" s="478"/>
      <c r="E27" s="30" t="s">
        <v>172</v>
      </c>
      <c r="F27" s="155">
        <f>D9/1000</f>
        <v>3085.6129205509801</v>
      </c>
      <c r="G27" s="138"/>
      <c r="I27" s="27"/>
    </row>
    <row r="28" spans="1:17" ht="15" customHeight="1" x14ac:dyDescent="0.2">
      <c r="A28" s="31"/>
      <c r="B28" s="31"/>
      <c r="C28" s="478"/>
      <c r="E28" s="30" t="s">
        <v>173</v>
      </c>
      <c r="F28" s="155">
        <f>E9/1000</f>
        <v>-2207.6789693017681</v>
      </c>
      <c r="G28" s="138"/>
    </row>
    <row r="29" spans="1:17" ht="15" customHeight="1" x14ac:dyDescent="0.2">
      <c r="A29" s="31"/>
      <c r="B29" s="31"/>
      <c r="C29" s="478"/>
      <c r="E29" s="30" t="s">
        <v>174</v>
      </c>
      <c r="F29" s="155">
        <f>D13/1000</f>
        <v>0.13611899999999999</v>
      </c>
      <c r="G29" s="138"/>
    </row>
    <row r="30" spans="1:17" ht="15" customHeight="1" x14ac:dyDescent="0.2">
      <c r="A30" s="820"/>
      <c r="B30" s="137"/>
      <c r="C30" s="478"/>
      <c r="E30" s="30" t="s">
        <v>175</v>
      </c>
      <c r="F30" s="155">
        <f>E13/1000</f>
        <v>-560.69673699999998</v>
      </c>
      <c r="G30" s="138"/>
      <c r="L30" s="27"/>
    </row>
    <row r="31" spans="1:17" ht="15" customHeight="1" x14ac:dyDescent="0.2">
      <c r="A31" s="820"/>
      <c r="B31" s="137"/>
      <c r="C31" s="478"/>
      <c r="E31" s="30" t="s">
        <v>145</v>
      </c>
      <c r="F31" s="155">
        <f>F17/1000</f>
        <v>13.031152000000001</v>
      </c>
      <c r="G31" s="138"/>
    </row>
    <row r="32" spans="1:17" ht="15" customHeight="1" x14ac:dyDescent="0.2">
      <c r="A32" s="19"/>
      <c r="B32" s="19"/>
      <c r="C32" s="478"/>
      <c r="E32" s="32" t="s">
        <v>10</v>
      </c>
      <c r="F32" s="155">
        <f>F24/1000</f>
        <v>-15.996548770799476</v>
      </c>
      <c r="G32" s="84"/>
    </row>
    <row r="33" spans="1:8" ht="15" customHeight="1" x14ac:dyDescent="0.2">
      <c r="A33" s="19"/>
      <c r="B33" s="19"/>
      <c r="C33" s="478"/>
      <c r="E33" s="33" t="s">
        <v>85</v>
      </c>
      <c r="F33" s="155">
        <f>F23/1000</f>
        <v>-314.4079364784123</v>
      </c>
      <c r="G33" s="84"/>
    </row>
    <row r="34" spans="1:8" ht="15" customHeight="1" x14ac:dyDescent="0.2">
      <c r="A34" s="19"/>
      <c r="B34" s="19"/>
      <c r="C34" s="479"/>
      <c r="D34" s="30"/>
      <c r="E34" s="12"/>
      <c r="F34" s="12"/>
    </row>
    <row r="35" spans="1:8" ht="15" customHeight="1" x14ac:dyDescent="0.2">
      <c r="A35" s="19"/>
      <c r="B35" s="19"/>
      <c r="C35" s="479"/>
      <c r="D35" s="30"/>
      <c r="E35" s="12"/>
      <c r="F35" s="12"/>
    </row>
    <row r="36" spans="1:8" ht="24" customHeight="1" x14ac:dyDescent="0.2">
      <c r="A36" s="19"/>
      <c r="B36" s="19"/>
      <c r="C36" s="479"/>
      <c r="D36" s="30"/>
      <c r="E36" s="12"/>
      <c r="F36" s="12"/>
    </row>
    <row r="37" spans="1:8" ht="15" customHeight="1" x14ac:dyDescent="0.2">
      <c r="A37" s="19"/>
      <c r="B37" s="19"/>
      <c r="C37" s="479"/>
      <c r="D37" s="30"/>
      <c r="E37" s="12"/>
      <c r="F37" s="12"/>
    </row>
    <row r="38" spans="1:8" ht="20.25" customHeight="1" x14ac:dyDescent="0.2">
      <c r="A38" s="801"/>
      <c r="B38" s="801"/>
      <c r="C38" s="801"/>
      <c r="D38" s="801"/>
      <c r="E38" s="801"/>
      <c r="F38" s="801"/>
      <c r="G38" s="801"/>
      <c r="H38" s="80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topLeftCell="A4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70</v>
      </c>
      <c r="K1" s="821"/>
    </row>
    <row r="2" spans="1:17" ht="6.75" customHeight="1" x14ac:dyDescent="0.2"/>
    <row r="3" spans="1:17" ht="30" customHeight="1" x14ac:dyDescent="0.2">
      <c r="A3" s="829" t="s">
        <v>225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Červen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Červen</v>
      </c>
      <c r="F7" s="265">
        <f>F4</f>
        <v>2015</v>
      </c>
      <c r="G7" s="265"/>
      <c r="H7" s="832"/>
      <c r="I7" s="280" t="str">
        <f>D4</f>
        <v>Červen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237"/>
      <c r="D10" s="238"/>
      <c r="E10" s="237"/>
      <c r="F10" s="237"/>
      <c r="G10" s="333"/>
      <c r="H10" s="315"/>
      <c r="I10" s="282"/>
      <c r="J10" s="237"/>
      <c r="K10" s="351"/>
    </row>
    <row r="11" spans="1:17" ht="14.45" customHeight="1" x14ac:dyDescent="0.2">
      <c r="A11" s="95"/>
      <c r="B11" s="95"/>
      <c r="C11" s="257" t="s">
        <v>6</v>
      </c>
      <c r="D11" s="245">
        <f>INDEX([2]DS!B36:AK36,1,3*T!$A$4-2)</f>
        <v>1593</v>
      </c>
      <c r="E11" s="96">
        <f>INDEX([2]DS!C36:AL36,1,3*T!$A$4-2)</f>
        <v>222394.87171832146</v>
      </c>
      <c r="F11" s="96">
        <f>INDEX([2]DS!D36:AM36,1,3*T!$A$4-2)</f>
        <v>2382031.1126899999</v>
      </c>
      <c r="G11" s="334">
        <f>E11/$E$17</f>
        <v>0.70734496784431988</v>
      </c>
      <c r="H11" s="316">
        <f>(E11-I11)/I11</f>
        <v>3.8888294898021489E-4</v>
      </c>
      <c r="I11" s="283">
        <f>INDEX([4]DS!C36:AL36,1,3*T!$A$4-2)</f>
        <v>222308.41976446033</v>
      </c>
      <c r="J11" s="96">
        <f>INDEX([4]DS!D36:AM36,1,3*T!$A$4-2)</f>
        <v>2366619.1257259995</v>
      </c>
      <c r="K11" s="352">
        <f>I11/$I$17</f>
        <v>0.71968690192259943</v>
      </c>
    </row>
    <row r="12" spans="1:17" ht="14.45" customHeight="1" x14ac:dyDescent="0.2">
      <c r="A12" s="95"/>
      <c r="B12" s="95"/>
      <c r="C12" s="257" t="s">
        <v>7</v>
      </c>
      <c r="D12" s="245">
        <f>INDEX([2]DS!B37:AK37,1,3*T!$A$4-2)</f>
        <v>6758</v>
      </c>
      <c r="E12" s="96">
        <f>INDEX([2]DS!C37:AL37,1,3*T!$A$4-2)</f>
        <v>27487.439111932243</v>
      </c>
      <c r="F12" s="96">
        <f>INDEX([2]DS!D37:AM37,1,3*T!$A$4-2)</f>
        <v>294286.88717999996</v>
      </c>
      <c r="G12" s="334">
        <f t="shared" ref="G12:G16" si="0">E12/$E$17</f>
        <v>8.7426034532749705E-2</v>
      </c>
      <c r="H12" s="316">
        <f>(E12-I12)/I12</f>
        <v>7.7713652602470207E-2</v>
      </c>
      <c r="I12" s="283">
        <f>INDEX([4]DS!C37:AL37,1,3*T!$A$4-2)</f>
        <v>25505.32699066713</v>
      </c>
      <c r="J12" s="96">
        <f>INDEX([4]DS!D37:AM37,1,3*T!$A$4-2)</f>
        <v>271437.93756000005</v>
      </c>
      <c r="K12" s="352">
        <f t="shared" ref="K12:K16" si="1">I12/$I$17</f>
        <v>8.2569296223167915E-2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257" t="s">
        <v>8</v>
      </c>
      <c r="D13" s="245">
        <f>INDEX([2]DS!B38:AK38,1,3*T!$A$4-2)</f>
        <v>197387</v>
      </c>
      <c r="E13" s="96">
        <f>INDEX([2]DS!C38:AL38,1,3*T!$A$4-2)</f>
        <v>18340.041647020102</v>
      </c>
      <c r="F13" s="96">
        <f>INDEX([2]DS!D38:AM38,1,3*T!$A$4-2)</f>
        <v>196310.39852340263</v>
      </c>
      <c r="G13" s="334">
        <f>E13/$E$17</f>
        <v>5.8331993309206298E-2</v>
      </c>
      <c r="H13" s="316">
        <f t="shared" ref="H13:H17" si="2">(E13-I13)/I13</f>
        <v>6.4845443312114934E-2</v>
      </c>
      <c r="I13" s="283">
        <f>INDEX([4]DS!C38:AL38,1,3*T!$A$4-2)</f>
        <v>17223.195875238849</v>
      </c>
      <c r="J13" s="96">
        <f>INDEX([4]DS!D38:AM38,1,3*T!$A$4-2)</f>
        <v>183302.00031976614</v>
      </c>
      <c r="K13" s="352">
        <f t="shared" si="1"/>
        <v>5.5757260538263853E-2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257" t="s">
        <v>9</v>
      </c>
      <c r="D14" s="245">
        <f>INDEX([2]DS!B39:AK39,1,3*T!$A$4-2)</f>
        <v>2637627</v>
      </c>
      <c r="E14" s="96">
        <f>INDEX([2]DS!C39:AL39,1,3*T!$A$4-2)</f>
        <v>39043.001396776461</v>
      </c>
      <c r="F14" s="96">
        <f>INDEX([2]DS!D39:AM39,1,3*T!$A$4-2)</f>
        <v>417975.97447660298</v>
      </c>
      <c r="G14" s="334">
        <f t="shared" si="0"/>
        <v>0.12417943972434428</v>
      </c>
      <c r="H14" s="316">
        <f t="shared" si="2"/>
        <v>6.8378802629467703E-2</v>
      </c>
      <c r="I14" s="283">
        <f>INDEX([4]DS!C39:AL39,1,3*T!$A$4-2)</f>
        <v>36544.155781343456</v>
      </c>
      <c r="J14" s="96">
        <f>INDEX([4]DS!D39:AM39,1,3*T!$A$4-2)</f>
        <v>388931.89362774836</v>
      </c>
      <c r="K14" s="352">
        <f t="shared" si="1"/>
        <v>0.11830568669201826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258" t="s">
        <v>220</v>
      </c>
      <c r="D15" s="246">
        <f>SUM(D11:D14)</f>
        <v>2843365</v>
      </c>
      <c r="E15" s="244">
        <f t="shared" ref="E15:F15" si="3">SUM(E11:E14)</f>
        <v>307265.35387405026</v>
      </c>
      <c r="F15" s="261">
        <f t="shared" si="3"/>
        <v>3290604.3728700057</v>
      </c>
      <c r="G15" s="335">
        <f t="shared" si="0"/>
        <v>0.9772824354106201</v>
      </c>
      <c r="H15" s="317">
        <f t="shared" si="2"/>
        <v>1.8848182105167963E-2</v>
      </c>
      <c r="I15" s="285">
        <f t="shared" ref="I15:J15" si="4">SUM(I11:I14)</f>
        <v>301581.09841170977</v>
      </c>
      <c r="J15" s="261">
        <f t="shared" si="4"/>
        <v>3210290.9572335142</v>
      </c>
      <c r="K15" s="353">
        <f>I15/$I$17</f>
        <v>0.97631914537604947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 t="s">
        <v>178</v>
      </c>
      <c r="D16" s="245"/>
      <c r="E16" s="96">
        <f>INDEX([2]DS!B40:AK40,1,3*T!$A$4-1)</f>
        <v>7142.5826043619891</v>
      </c>
      <c r="F16" s="96">
        <f>INDEX([2]DS!C40:AL40,1,3*T!$A$4-1)</f>
        <v>76709.236539999998</v>
      </c>
      <c r="G16" s="334">
        <f t="shared" si="0"/>
        <v>2.2717564589379919E-2</v>
      </c>
      <c r="H16" s="316">
        <f t="shared" si="2"/>
        <v>-2.3559943481831078E-2</v>
      </c>
      <c r="I16" s="283">
        <f>INDEX([4]DS!C40:AL40,1,3*T!$A$4-2)</f>
        <v>7314.9217473024519</v>
      </c>
      <c r="J16" s="96">
        <f>INDEX([4]DS!D40:AM40,1,3*T!$A$4-2)</f>
        <v>78019.270339999988</v>
      </c>
      <c r="K16" s="352">
        <f t="shared" si="1"/>
        <v>2.36808546239505E-2</v>
      </c>
      <c r="L16" s="284"/>
      <c r="M16" s="284"/>
      <c r="O16" s="284"/>
      <c r="P16" s="284"/>
      <c r="Q16" s="284"/>
    </row>
    <row r="17" spans="1:16" ht="14.45" customHeight="1" x14ac:dyDescent="0.2">
      <c r="A17" s="292"/>
      <c r="B17" s="268"/>
      <c r="C17" s="259" t="s">
        <v>2</v>
      </c>
      <c r="D17" s="253">
        <f>D15</f>
        <v>2843365</v>
      </c>
      <c r="E17" s="251">
        <f>SUM(E15:E16)</f>
        <v>314407.93647841224</v>
      </c>
      <c r="F17" s="252">
        <f>SUM(F15:F16)</f>
        <v>3367313.6094100056</v>
      </c>
      <c r="G17" s="336">
        <f>SUM(G15:G16)</f>
        <v>1</v>
      </c>
      <c r="H17" s="318">
        <f t="shared" si="2"/>
        <v>1.784392144826797E-2</v>
      </c>
      <c r="I17" s="286">
        <f>SUM(I15:I16)</f>
        <v>308896.02015901223</v>
      </c>
      <c r="J17" s="252">
        <f>SUM(J15:J16)</f>
        <v>3288310.227573514</v>
      </c>
      <c r="K17" s="354">
        <f>SUM(K15:K16)</f>
        <v>1</v>
      </c>
      <c r="L17" s="284"/>
      <c r="M17" s="284"/>
    </row>
    <row r="18" spans="1:16" ht="14.45" customHeight="1" x14ac:dyDescent="0.2">
      <c r="A18" s="292"/>
      <c r="B18" s="269"/>
      <c r="C18" s="293"/>
      <c r="D18" s="294"/>
      <c r="E18" s="293"/>
      <c r="F18" s="293"/>
      <c r="G18" s="337"/>
      <c r="H18" s="319"/>
      <c r="I18" s="295"/>
      <c r="J18" s="296"/>
      <c r="K18" s="355"/>
      <c r="L18" s="284"/>
      <c r="M18" s="284"/>
    </row>
    <row r="19" spans="1:16" ht="14.45" customHeight="1" x14ac:dyDescent="0.2">
      <c r="A19" s="830" t="s">
        <v>11</v>
      </c>
      <c r="B19" s="830"/>
      <c r="C19" s="830"/>
      <c r="D19" s="297"/>
      <c r="E19" s="174"/>
      <c r="F19" s="174"/>
      <c r="G19" s="338"/>
      <c r="H19" s="320"/>
      <c r="I19" s="298"/>
      <c r="J19" s="299"/>
      <c r="K19" s="356"/>
      <c r="L19" s="284"/>
      <c r="M19" s="284"/>
    </row>
    <row r="20" spans="1:16" ht="14.45" customHeight="1" x14ac:dyDescent="0.2">
      <c r="A20" s="95"/>
      <c r="B20" s="95"/>
      <c r="C20" s="257" t="s">
        <v>6</v>
      </c>
      <c r="D20" s="245">
        <f>INDEX([2]DS!B3:AK3,1,3*T!$A$4-2)</f>
        <v>184</v>
      </c>
      <c r="E20" s="89">
        <f>INDEX([2]DS!C3:AL3,1,3*T!$A$4-2)</f>
        <v>8518.9257183214686</v>
      </c>
      <c r="F20" s="96">
        <f>INDEX([2]DS!D3:AM3,1,3*T!$A$4-2)</f>
        <v>90879.952000000005</v>
      </c>
      <c r="G20" s="339">
        <f>E20/$E$26</f>
        <v>0.35737136669034925</v>
      </c>
      <c r="H20" s="321">
        <f>(E20-I20)/I20</f>
        <v>-3.2158657570403329E-2</v>
      </c>
      <c r="I20" s="300">
        <f>INDEX([4]DS!C3:AL3,1,3*T!$A$4-2)</f>
        <v>8801.9857644603126</v>
      </c>
      <c r="J20" s="301">
        <f>INDEX([4]DS!D3:AM3,1,3*T!$A$4-2)</f>
        <v>93504.231</v>
      </c>
      <c r="K20" s="352">
        <f>I20/$I$26</f>
        <v>0.38020489953920561</v>
      </c>
      <c r="L20" s="284"/>
      <c r="M20" s="284"/>
      <c r="N20" s="284"/>
    </row>
    <row r="21" spans="1:16" ht="14.45" customHeight="1" x14ac:dyDescent="0.2">
      <c r="A21" s="95"/>
      <c r="B21" s="95"/>
      <c r="C21" s="257" t="s">
        <v>7</v>
      </c>
      <c r="D21" s="245">
        <f>INDEX([2]DS!B4:AK4,1,3*T!$A$4-2)</f>
        <v>1618</v>
      </c>
      <c r="E21" s="89">
        <f>INDEX([2]DS!C4:AL4,1,3*T!$A$4-2)</f>
        <v>4273.9841119322391</v>
      </c>
      <c r="F21" s="96">
        <f>INDEX([2]DS!D4:AM4,1,3*T!$A$4-2)</f>
        <v>45594.786999999997</v>
      </c>
      <c r="G21" s="339">
        <f>E21/$E$26</f>
        <v>0.17929485404587081</v>
      </c>
      <c r="H21" s="321">
        <f t="shared" ref="H21:H23" si="5">(E21-I21)/I21</f>
        <v>8.229255485125106E-2</v>
      </c>
      <c r="I21" s="300">
        <f>INDEX([4]DS!C4:AL4,1,3*T!$A$4-2)</f>
        <v>3949.0099906671262</v>
      </c>
      <c r="J21" s="301">
        <f>INDEX([4]DS!D4:AM4,1,3*T!$A$4-2)</f>
        <v>41950.665000000001</v>
      </c>
      <c r="K21" s="352">
        <f t="shared" ref="K21:K25" si="6">I21/$I$26</f>
        <v>0.1705788883280446</v>
      </c>
      <c r="L21" s="287"/>
      <c r="M21" s="287"/>
      <c r="N21" s="284"/>
    </row>
    <row r="22" spans="1:16" ht="14.45" customHeight="1" x14ac:dyDescent="0.2">
      <c r="A22" s="292"/>
      <c r="B22" s="823"/>
      <c r="C22" s="257" t="s">
        <v>8</v>
      </c>
      <c r="D22" s="245">
        <f>INDEX([2]DS!B5:AK5,1,3*T!$A$4-2)</f>
        <v>38752</v>
      </c>
      <c r="E22" s="89">
        <f>INDEX([2]DS!C5:AL5,1,3*T!$A$4-2)</f>
        <v>3225.925359020102</v>
      </c>
      <c r="F22" s="96">
        <f>INDEX([2]DS!D5:AM5,1,3*T!$A$4-2)</f>
        <v>34414.114739402648</v>
      </c>
      <c r="G22" s="339">
        <f>E22/$E$26</f>
        <v>0.13532849006003805</v>
      </c>
      <c r="H22" s="321">
        <f t="shared" si="5"/>
        <v>7.6428941175165493E-2</v>
      </c>
      <c r="I22" s="300">
        <f>INDEX([4]DS!C5:AL5,1,3*T!$A$4-2)</f>
        <v>2996.8772072388497</v>
      </c>
      <c r="J22" s="301">
        <f>INDEX([4]DS!D5:AM5,1,3*T!$A$4-2)</f>
        <v>31836.078425766125</v>
      </c>
      <c r="K22" s="352">
        <f t="shared" si="6"/>
        <v>0.12945117476902043</v>
      </c>
      <c r="L22" s="284"/>
      <c r="M22" s="284"/>
      <c r="N22" s="284"/>
      <c r="O22" s="284"/>
      <c r="P22" s="284"/>
    </row>
    <row r="23" spans="1:16" ht="14.45" customHeight="1" x14ac:dyDescent="0.2">
      <c r="A23" s="292"/>
      <c r="B23" s="823"/>
      <c r="C23" s="257" t="s">
        <v>9</v>
      </c>
      <c r="D23" s="245">
        <f>INDEX([2]DS!B6:AK6,1,3*T!$A$4-2)</f>
        <v>388890</v>
      </c>
      <c r="E23" s="89">
        <f>INDEX([2]DS!C6:AL6,1,3*T!$A$4-2)</f>
        <v>6288.792684776462</v>
      </c>
      <c r="F23" s="96">
        <f>INDEX([2]DS!D6:AM6,1,3*T!$A$4-2)</f>
        <v>67088.729260603039</v>
      </c>
      <c r="G23" s="339">
        <f t="shared" ref="G23:G25" si="7">E23/$E$26</f>
        <v>0.26381664905908575</v>
      </c>
      <c r="H23" s="321">
        <f t="shared" si="5"/>
        <v>4.2646326174249315E-2</v>
      </c>
      <c r="I23" s="300">
        <f>INDEX([4]DS!C6:AL6,1,3*T!$A$4-2)</f>
        <v>6031.5684493434501</v>
      </c>
      <c r="J23" s="301">
        <f>INDEX([4]DS!D6:AM6,1,3*T!$A$4-2)</f>
        <v>64073.858521748436</v>
      </c>
      <c r="K23" s="352">
        <f t="shared" si="6"/>
        <v>0.26053574019692549</v>
      </c>
      <c r="L23" s="284"/>
      <c r="M23" s="284"/>
      <c r="N23" s="284"/>
      <c r="O23" s="284"/>
      <c r="P23" s="284"/>
    </row>
    <row r="24" spans="1:16" ht="14.45" customHeight="1" x14ac:dyDescent="0.2">
      <c r="A24" s="292"/>
      <c r="B24" s="823"/>
      <c r="C24" s="258" t="s">
        <v>220</v>
      </c>
      <c r="D24" s="246">
        <f>SUM(D20:D23)</f>
        <v>429444</v>
      </c>
      <c r="E24" s="244">
        <f>SUM(E20:E23)</f>
        <v>22307.627874050271</v>
      </c>
      <c r="F24" s="261">
        <f>SUM(F20:F23)</f>
        <v>237977.58300000569</v>
      </c>
      <c r="G24" s="340">
        <f t="shared" si="7"/>
        <v>0.93581135985534381</v>
      </c>
      <c r="H24" s="322">
        <f>(E24-I24)/I24</f>
        <v>2.4251607392306883E-2</v>
      </c>
      <c r="I24" s="302">
        <f>SUM(I20:I23)</f>
        <v>21779.441411709737</v>
      </c>
      <c r="J24" s="303">
        <f>SUM(J20:J23)</f>
        <v>231364.83294751454</v>
      </c>
      <c r="K24" s="353">
        <f t="shared" si="6"/>
        <v>0.94077070283319608</v>
      </c>
      <c r="L24" s="284"/>
      <c r="M24" s="284"/>
      <c r="N24" s="284"/>
      <c r="O24" s="284"/>
      <c r="P24" s="284"/>
    </row>
    <row r="25" spans="1:16" ht="14.45" customHeight="1" x14ac:dyDescent="0.2">
      <c r="A25" s="292"/>
      <c r="B25" s="823"/>
      <c r="C25" s="240" t="s">
        <v>119</v>
      </c>
      <c r="D25" s="249"/>
      <c r="E25" s="173">
        <f>INDEX([2]DS!C7:AL7,1,3*T!$A$4-2)</f>
        <v>1530.1121139517404</v>
      </c>
      <c r="F25" s="173">
        <f>INDEX([2]DS!D7:AM7,1,3*T!$A$4-2)</f>
        <v>16323.209000000001</v>
      </c>
      <c r="G25" s="339">
        <f t="shared" si="7"/>
        <v>6.4188640144656112E-2</v>
      </c>
      <c r="H25" s="323">
        <f>(E25-I25)/I25</f>
        <v>0.11589600194534908</v>
      </c>
      <c r="I25" s="298">
        <f>INDEX([4]DS!C7:AL7,1,3*T!$A$4-2)</f>
        <v>1371.19598177992</v>
      </c>
      <c r="J25" s="299">
        <f>INDEX([4]DS!D7:AM7,1,3*T!$A$4-2)</f>
        <v>14566.549000000001</v>
      </c>
      <c r="K25" s="352">
        <f t="shared" si="6"/>
        <v>5.9229297166803835E-2</v>
      </c>
      <c r="L25" s="284"/>
      <c r="M25" s="284"/>
      <c r="N25" s="284"/>
      <c r="O25" s="284"/>
      <c r="P25" s="284"/>
    </row>
    <row r="26" spans="1:16" ht="14.45" customHeight="1" x14ac:dyDescent="0.2">
      <c r="A26" s="292"/>
      <c r="B26" s="823"/>
      <c r="C26" s="259" t="s">
        <v>2</v>
      </c>
      <c r="D26" s="253">
        <f>D24</f>
        <v>429444</v>
      </c>
      <c r="E26" s="252">
        <f>SUM(E24:E25)</f>
        <v>23837.739988002013</v>
      </c>
      <c r="F26" s="252">
        <f>SUM(F24:F25)</f>
        <v>254300.79200000569</v>
      </c>
      <c r="G26" s="341">
        <f>SUM(G24:G25)</f>
        <v>0.99999999999999989</v>
      </c>
      <c r="H26" s="324">
        <f>(E26-I26)/I26</f>
        <v>2.9679640470960826E-2</v>
      </c>
      <c r="I26" s="304">
        <f>SUM(I24:I25)</f>
        <v>23150.637393489658</v>
      </c>
      <c r="J26" s="305">
        <f>SUM(J24:J25)</f>
        <v>245931.38194751454</v>
      </c>
      <c r="K26" s="354">
        <f>SUM(K24:K25)</f>
        <v>0.99999999999999989</v>
      </c>
      <c r="L26" s="284"/>
      <c r="M26" s="284"/>
      <c r="N26" s="284"/>
      <c r="O26" s="284"/>
      <c r="P26" s="284"/>
    </row>
    <row r="27" spans="1:16" ht="14.45" customHeight="1" x14ac:dyDescent="0.2">
      <c r="A27" s="306"/>
      <c r="B27" s="835"/>
      <c r="C27" s="293"/>
      <c r="D27" s="294"/>
      <c r="E27" s="293"/>
      <c r="F27" s="293"/>
      <c r="G27" s="337"/>
      <c r="H27" s="319"/>
      <c r="I27" s="295"/>
      <c r="J27" s="296"/>
      <c r="K27" s="355"/>
      <c r="L27" s="287"/>
      <c r="N27" s="284"/>
      <c r="O27" s="284"/>
      <c r="P27" s="284"/>
    </row>
    <row r="28" spans="1:16" ht="14.45" customHeight="1" x14ac:dyDescent="0.2">
      <c r="A28" s="836" t="s">
        <v>12</v>
      </c>
      <c r="B28" s="836"/>
      <c r="C28" s="307"/>
      <c r="D28" s="308"/>
      <c r="E28" s="307"/>
      <c r="F28" s="307"/>
      <c r="G28" s="342"/>
      <c r="H28" s="325"/>
      <c r="I28" s="298"/>
      <c r="J28" s="299"/>
      <c r="K28" s="357"/>
      <c r="L28" s="287"/>
      <c r="N28" s="284"/>
      <c r="O28" s="284"/>
      <c r="P28" s="284"/>
    </row>
    <row r="29" spans="1:16" ht="14.45" customHeight="1" x14ac:dyDescent="0.2">
      <c r="A29" s="837"/>
      <c r="B29" s="837"/>
      <c r="C29" s="257" t="s">
        <v>6</v>
      </c>
      <c r="D29" s="245">
        <f>INDEX([2]DS!B10:AK10,1,3*T!$A$4-2)</f>
        <v>1258</v>
      </c>
      <c r="E29" s="89">
        <f>INDEX([2]DS!C10:AL10,1,3*T!$A$4-2)</f>
        <v>203089.2</v>
      </c>
      <c r="F29" s="96">
        <f>INDEX([2]DS!D10:AM10,1,3*T!$A$4-2)</f>
        <v>2176176.7706899997</v>
      </c>
      <c r="G29" s="334">
        <f>E29/$E$35</f>
        <v>0.73714405087960055</v>
      </c>
      <c r="H29" s="316">
        <f>(E29-I29)/I29</f>
        <v>-7.7910377904660925E-3</v>
      </c>
      <c r="I29" s="300">
        <f>INDEX([4]DS!C10:AL10,1,3*T!$A$4-2)</f>
        <v>204683.9</v>
      </c>
      <c r="J29" s="301">
        <f>INDEX([4]DS!D10:AM10,1,3*T!$A$4-2)</f>
        <v>2179488.4637259995</v>
      </c>
      <c r="K29" s="352">
        <f>I29/$I$35</f>
        <v>0.75338849666535734</v>
      </c>
    </row>
    <row r="30" spans="1:16" ht="14.45" customHeight="1" x14ac:dyDescent="0.2">
      <c r="A30" s="837"/>
      <c r="B30" s="837"/>
      <c r="C30" s="257" t="s">
        <v>7</v>
      </c>
      <c r="D30" s="245">
        <f>INDEX([2]DS!B11:AK11,1,3*T!$A$4-2)</f>
        <v>4784</v>
      </c>
      <c r="E30" s="89">
        <f>INDEX([2]DS!C11:AL11,1,3*T!$A$4-2)</f>
        <v>22525.7</v>
      </c>
      <c r="F30" s="96">
        <f>INDEX([2]DS!D11:AM11,1,3*T!$A$4-2)</f>
        <v>241370.83517999994</v>
      </c>
      <c r="G30" s="334">
        <f t="shared" ref="G30:G34" si="8">E30/$E$35</f>
        <v>8.1760555198891013E-2</v>
      </c>
      <c r="H30" s="316">
        <f t="shared" ref="H30:H32" si="9">(E30-I30)/I30</f>
        <v>0.12093812514306752</v>
      </c>
      <c r="I30" s="300">
        <f>INDEX([4]DS!C11:AL11,1,3*T!$A$4-2)</f>
        <v>20095.400000000001</v>
      </c>
      <c r="J30" s="301">
        <f>INDEX([4]DS!D11:AM11,1,3*T!$A$4-2)</f>
        <v>213976.45156000004</v>
      </c>
      <c r="K30" s="352">
        <f t="shared" ref="K30:K34" si="10">I30/$I$35</f>
        <v>7.3965969946288027E-2</v>
      </c>
    </row>
    <row r="31" spans="1:16" ht="14.45" customHeight="1" x14ac:dyDescent="0.2">
      <c r="A31" s="292"/>
      <c r="B31" s="292"/>
      <c r="C31" s="257" t="s">
        <v>8</v>
      </c>
      <c r="D31" s="245">
        <f>INDEX([2]DS!B12:AK12,1,3*T!$A$4-2)</f>
        <v>150637</v>
      </c>
      <c r="E31" s="89">
        <f>INDEX([2]DS!C12:AL12,1,3*T!$A$4-2)</f>
        <v>14220.021000000001</v>
      </c>
      <c r="F31" s="96">
        <f>INDEX([2]DS!D12:AM12,1,3*T!$A$4-2)</f>
        <v>152371.057</v>
      </c>
      <c r="G31" s="334">
        <f t="shared" si="8"/>
        <v>5.1613792774470466E-2</v>
      </c>
      <c r="H31" s="316">
        <f t="shared" si="9"/>
        <v>6.4762392108729722E-2</v>
      </c>
      <c r="I31" s="300">
        <f>INDEX([4]DS!C12:AL12,1,3*T!$A$4-2)</f>
        <v>13355.111999999999</v>
      </c>
      <c r="J31" s="301">
        <f>INDEX([4]DS!D12:AM12,1,3*T!$A$4-2)</f>
        <v>142208.03000000003</v>
      </c>
      <c r="K31" s="352">
        <f t="shared" si="10"/>
        <v>4.9156713119485579E-2</v>
      </c>
    </row>
    <row r="32" spans="1:16" ht="14.45" customHeight="1" x14ac:dyDescent="0.2">
      <c r="A32" s="292"/>
      <c r="B32" s="292"/>
      <c r="C32" s="257" t="s">
        <v>9</v>
      </c>
      <c r="D32" s="245">
        <f>INDEX([2]DS!B13:AK13,1,3*T!$A$4-2)</f>
        <v>2142935</v>
      </c>
      <c r="E32" s="89">
        <f>INDEX([2]DS!C13:AL13,1,3*T!$A$4-2)</f>
        <v>30905.3</v>
      </c>
      <c r="F32" s="96">
        <f>INDEX([2]DS!D13:AM13,1,3*T!$A$4-2)</f>
        <v>331161.59999999998</v>
      </c>
      <c r="G32" s="334">
        <f t="shared" si="8"/>
        <v>0.11217562546727898</v>
      </c>
      <c r="H32" s="316">
        <f t="shared" si="9"/>
        <v>7.7421604002161415E-2</v>
      </c>
      <c r="I32" s="300">
        <f>INDEX([4]DS!C13:AL13,1,3*T!$A$4-2)</f>
        <v>28684.5</v>
      </c>
      <c r="J32" s="301">
        <f>INDEX([4]DS!D13:AM13,1,3*T!$A$4-2)</f>
        <v>305436.29999999993</v>
      </c>
      <c r="K32" s="352">
        <f t="shared" si="10"/>
        <v>0.10558022557024486</v>
      </c>
    </row>
    <row r="33" spans="1:11" ht="14.45" customHeight="1" x14ac:dyDescent="0.2">
      <c r="A33" s="292"/>
      <c r="B33" s="292"/>
      <c r="C33" s="258" t="s">
        <v>220</v>
      </c>
      <c r="D33" s="246">
        <f>SUM(D29:D32)</f>
        <v>2299614</v>
      </c>
      <c r="E33" s="244">
        <f>SUM(E29:E32)</f>
        <v>270740.22100000002</v>
      </c>
      <c r="F33" s="261">
        <f>SUM(F29:F32)</f>
        <v>2901080.2628699997</v>
      </c>
      <c r="G33" s="335">
        <f t="shared" si="8"/>
        <v>0.982694024320241</v>
      </c>
      <c r="H33" s="317">
        <f>(E33-I33)/I33</f>
        <v>1.4696518213821395E-2</v>
      </c>
      <c r="I33" s="302">
        <f>SUM(I29:I32)</f>
        <v>266818.91200000001</v>
      </c>
      <c r="J33" s="303">
        <f>SUM(J29:J32)</f>
        <v>2841109.245285999</v>
      </c>
      <c r="K33" s="353">
        <f t="shared" si="10"/>
        <v>0.98209140530137584</v>
      </c>
    </row>
    <row r="34" spans="1:11" ht="14.45" customHeight="1" x14ac:dyDescent="0.2">
      <c r="A34" s="292"/>
      <c r="B34" s="292"/>
      <c r="C34" s="240" t="s">
        <v>119</v>
      </c>
      <c r="D34" s="249"/>
      <c r="E34" s="173">
        <f>INDEX([2]DS!C14:AL14,1,3*T!$A$4-2)</f>
        <v>4767.9374904102497</v>
      </c>
      <c r="F34" s="173">
        <f>INDEX([2]DS!D14:AM14,1,3*T!$A$4-2)</f>
        <v>51090.190040000009</v>
      </c>
      <c r="G34" s="334">
        <f t="shared" si="8"/>
        <v>1.730597567975908E-2</v>
      </c>
      <c r="H34" s="326">
        <f>(E34-I34)/I34</f>
        <v>-2.0049031034788632E-2</v>
      </c>
      <c r="I34" s="298">
        <f>INDEX([4]DS!C14:AL14,1,3*T!$A$4-2)</f>
        <v>4865.4857655225333</v>
      </c>
      <c r="J34" s="299">
        <f>INDEX([4]DS!D14:AM14,1,3*T!$A$4-2)</f>
        <v>51808.083939999997</v>
      </c>
      <c r="K34" s="352">
        <f t="shared" si="10"/>
        <v>1.7908594698624155E-2</v>
      </c>
    </row>
    <row r="35" spans="1:11" ht="14.45" customHeight="1" x14ac:dyDescent="0.2">
      <c r="A35" s="292"/>
      <c r="B35" s="292"/>
      <c r="C35" s="259" t="s">
        <v>2</v>
      </c>
      <c r="D35" s="253">
        <f>D33</f>
        <v>2299614</v>
      </c>
      <c r="E35" s="252">
        <f>SUM(E33:E34)</f>
        <v>275508.15849041025</v>
      </c>
      <c r="F35" s="252">
        <f>SUM(F33:F34)</f>
        <v>2952170.4529099995</v>
      </c>
      <c r="G35" s="336">
        <f>SUM(G33:G34)</f>
        <v>1</v>
      </c>
      <c r="H35" s="318">
        <f>(E35-I35)/I35</f>
        <v>1.4074274254746928E-2</v>
      </c>
      <c r="I35" s="304">
        <f>SUM(I33:I34)</f>
        <v>271684.39776552253</v>
      </c>
      <c r="J35" s="305">
        <f>SUM(J33:J34)</f>
        <v>2892917.3292259988</v>
      </c>
      <c r="K35" s="354">
        <f>SUM(K33:K34)</f>
        <v>1</v>
      </c>
    </row>
    <row r="36" spans="1:11" ht="14.45" customHeight="1" x14ac:dyDescent="0.2">
      <c r="A36" s="95"/>
      <c r="B36" s="95"/>
      <c r="C36" s="95"/>
      <c r="D36" s="247"/>
      <c r="E36" s="95"/>
      <c r="F36" s="95"/>
      <c r="G36" s="343"/>
      <c r="H36" s="327"/>
      <c r="I36" s="288"/>
      <c r="J36" s="309"/>
      <c r="K36" s="358"/>
    </row>
    <row r="37" spans="1:11" ht="14.45" customHeight="1" x14ac:dyDescent="0.2">
      <c r="A37" s="822" t="s">
        <v>86</v>
      </c>
      <c r="B37" s="822"/>
      <c r="C37" s="241"/>
      <c r="D37" s="256"/>
      <c r="E37" s="241"/>
      <c r="F37" s="241"/>
      <c r="G37" s="344"/>
      <c r="H37" s="328"/>
      <c r="I37" s="289"/>
      <c r="J37" s="301"/>
      <c r="K37" s="359"/>
    </row>
    <row r="38" spans="1:11" ht="14.45" customHeight="1" x14ac:dyDescent="0.2">
      <c r="A38" s="95"/>
      <c r="B38" s="95"/>
      <c r="C38" s="257" t="s">
        <v>6</v>
      </c>
      <c r="D38" s="245">
        <f>INDEX([2]DS!B17:AK17,1,3*T!$A$4-2)</f>
        <v>135</v>
      </c>
      <c r="E38" s="89">
        <f>INDEX([2]DS!C17:AL17,1,3*T!$A$4-2)</f>
        <v>8663.1280000000006</v>
      </c>
      <c r="F38" s="96">
        <f>INDEX([2]DS!D17:AM17,1,3*T!$A$4-2)</f>
        <v>92405.349999999991</v>
      </c>
      <c r="G38" s="334">
        <f>E38/$E$44</f>
        <v>0.70680044902337258</v>
      </c>
      <c r="H38" s="316">
        <f>(E38-I38)/I38</f>
        <v>0.22146653057731244</v>
      </c>
      <c r="I38" s="300">
        <f>INDEX([4]DS!C17:AL17,1,3*T!$A$4-2)</f>
        <v>7092.3990000000003</v>
      </c>
      <c r="J38" s="301">
        <f>INDEX([4]DS!D17:AM17,1,3*T!$A$4-2)</f>
        <v>75350.125</v>
      </c>
      <c r="K38" s="352">
        <f>I38/$I$44</f>
        <v>0.62083145243015314</v>
      </c>
    </row>
    <row r="39" spans="1:11" ht="14.45" customHeight="1" x14ac:dyDescent="0.2">
      <c r="A39" s="95"/>
      <c r="B39" s="95"/>
      <c r="C39" s="257" t="s">
        <v>7</v>
      </c>
      <c r="D39" s="245">
        <f>INDEX([2]DS!B18:AK18,1,3*T!$A$4-2)</f>
        <v>350</v>
      </c>
      <c r="E39" s="89">
        <f>INDEX([2]DS!C18:AL18,1,3*T!$A$4-2)</f>
        <v>636.755</v>
      </c>
      <c r="F39" s="96">
        <f>INDEX([2]DS!D18:AM18,1,3*T!$A$4-2)</f>
        <v>6792.2650000000003</v>
      </c>
      <c r="G39" s="334">
        <f t="shared" ref="G39:G43" si="11">E39/$E$44</f>
        <v>5.1951064317401006E-2</v>
      </c>
      <c r="H39" s="316">
        <f t="shared" ref="H39:H41" si="12">(E39-I39)/I39</f>
        <v>-0.55028790529388383</v>
      </c>
      <c r="I39" s="300">
        <f>INDEX([4]DS!C18:AL18,1,3*T!$A$4-2)</f>
        <v>1415.9170000000001</v>
      </c>
      <c r="J39" s="301">
        <f>INDEX([4]DS!D18:AM18,1,3*T!$A$4-2)</f>
        <v>15042.821</v>
      </c>
      <c r="K39" s="352">
        <f t="shared" ref="K39:K43" si="13">I39/$I$44</f>
        <v>0.12394195640016095</v>
      </c>
    </row>
    <row r="40" spans="1:11" ht="14.45" customHeight="1" x14ac:dyDescent="0.2">
      <c r="A40" s="292"/>
      <c r="B40" s="823"/>
      <c r="C40" s="257" t="s">
        <v>8</v>
      </c>
      <c r="D40" s="245">
        <f>INDEX([2]DS!B19:AK19,1,3*T!$A$4-2)</f>
        <v>7990</v>
      </c>
      <c r="E40" s="89">
        <f>INDEX([2]DS!C19:AL19,1,3*T!$A$4-2)</f>
        <v>878.09528799999998</v>
      </c>
      <c r="F40" s="96">
        <f>INDEX([2]DS!D19:AM19,1,3*T!$A$4-2)</f>
        <v>9368.2267840000004</v>
      </c>
      <c r="G40" s="334">
        <f t="shared" si="11"/>
        <v>7.1641345232773615E-2</v>
      </c>
      <c r="H40" s="316">
        <f t="shared" si="12"/>
        <v>1.1389707502223359E-2</v>
      </c>
      <c r="I40" s="300">
        <f>INDEX([4]DS!C19:AL19,1,3*T!$A$4-2)</f>
        <v>868.20666800000004</v>
      </c>
      <c r="J40" s="301">
        <f>INDEX([4]DS!D19:AM19,1,3*T!$A$4-2)</f>
        <v>9223.8918940000003</v>
      </c>
      <c r="K40" s="352">
        <f t="shared" si="13"/>
        <v>7.5998263310338821E-2</v>
      </c>
    </row>
    <row r="41" spans="1:11" ht="14.45" customHeight="1" x14ac:dyDescent="0.2">
      <c r="A41" s="292"/>
      <c r="B41" s="823"/>
      <c r="C41" s="257" t="s">
        <v>9</v>
      </c>
      <c r="D41" s="245">
        <f>INDEX([2]DS!B20:AK20,1,3*T!$A$4-2)</f>
        <v>105662</v>
      </c>
      <c r="E41" s="89">
        <f>INDEX([2]DS!C20:AL20,1,3*T!$A$4-2)</f>
        <v>1848.9087119999999</v>
      </c>
      <c r="F41" s="96">
        <f>INDEX([2]DS!D20:AM20,1,3*T!$A$4-2)</f>
        <v>19725.645216000001</v>
      </c>
      <c r="G41" s="334">
        <f t="shared" si="11"/>
        <v>0.15084730455844877</v>
      </c>
      <c r="H41" s="316">
        <f t="shared" si="12"/>
        <v>1.1389707502223347E-2</v>
      </c>
      <c r="I41" s="300">
        <f>INDEX([4]DS!C20:AL20,1,3*T!$A$4-2)</f>
        <v>1828.0873320000001</v>
      </c>
      <c r="J41" s="301">
        <f>INDEX([4]DS!D20:AM20,1,3*T!$A$4-2)</f>
        <v>19421.735106</v>
      </c>
      <c r="K41" s="352">
        <f t="shared" si="13"/>
        <v>0.16002118796400536</v>
      </c>
    </row>
    <row r="42" spans="1:11" ht="14.45" customHeight="1" x14ac:dyDescent="0.2">
      <c r="A42" s="292"/>
      <c r="B42" s="823"/>
      <c r="C42" s="258" t="s">
        <v>220</v>
      </c>
      <c r="D42" s="246">
        <f>SUM(D38:D41)</f>
        <v>114137</v>
      </c>
      <c r="E42" s="244">
        <f>SUM(E38:E41)</f>
        <v>12026.887000000001</v>
      </c>
      <c r="F42" s="261">
        <f>SUM(F38:F41)</f>
        <v>128291.48699999999</v>
      </c>
      <c r="G42" s="335">
        <f t="shared" si="11"/>
        <v>0.98124016313199602</v>
      </c>
      <c r="H42" s="317">
        <f>(E42-I42)/I42</f>
        <v>7.3387382514875574E-2</v>
      </c>
      <c r="I42" s="302">
        <f>SUM(I38:I41)</f>
        <v>11204.61</v>
      </c>
      <c r="J42" s="303">
        <f>SUM(J38:J41)</f>
        <v>119038.573</v>
      </c>
      <c r="K42" s="353">
        <f t="shared" si="13"/>
        <v>0.98079286010465827</v>
      </c>
    </row>
    <row r="43" spans="1:11" ht="14.45" customHeight="1" x14ac:dyDescent="0.2">
      <c r="A43" s="292"/>
      <c r="B43" s="823"/>
      <c r="C43" s="240" t="s">
        <v>119</v>
      </c>
      <c r="D43" s="249"/>
      <c r="E43" s="173">
        <f>INDEX([2]DS!C21:AL21,1,3*T!$A$4-2)</f>
        <v>229.93600000000001</v>
      </c>
      <c r="F43" s="173">
        <f>INDEX([2]DS!D21:AM21,1,3*T!$A$4-2)</f>
        <v>2452.7690000000002</v>
      </c>
      <c r="G43" s="334">
        <f t="shared" si="11"/>
        <v>1.8759836868004049E-2</v>
      </c>
      <c r="H43" s="326">
        <f>(E43-I43)/I43</f>
        <v>4.7912023807896185E-2</v>
      </c>
      <c r="I43" s="298">
        <f>INDEX([4]DS!C21:AL21,1,3*T!$A$4-2)</f>
        <v>219.423</v>
      </c>
      <c r="J43" s="299">
        <f>INDEX([4]DS!D21:AM21,1,3*T!$A$4-2)</f>
        <v>2331.1529999999998</v>
      </c>
      <c r="K43" s="352">
        <f t="shared" si="13"/>
        <v>1.9207139895341688E-2</v>
      </c>
    </row>
    <row r="44" spans="1:11" ht="14.45" customHeight="1" x14ac:dyDescent="0.2">
      <c r="A44" s="292"/>
      <c r="B44" s="823"/>
      <c r="C44" s="259" t="s">
        <v>2</v>
      </c>
      <c r="D44" s="253">
        <f>D42</f>
        <v>114137</v>
      </c>
      <c r="E44" s="252">
        <f>SUM(E42:E43)</f>
        <v>12256.823</v>
      </c>
      <c r="F44" s="252">
        <f>SUM(F42:F43)</f>
        <v>130744.25599999999</v>
      </c>
      <c r="G44" s="336">
        <f>SUM(G42:G43)</f>
        <v>1</v>
      </c>
      <c r="H44" s="318">
        <f>(E44-I44)/I44</f>
        <v>7.2898073736306523E-2</v>
      </c>
      <c r="I44" s="304">
        <f>SUM(I42:I43)</f>
        <v>11424.033000000001</v>
      </c>
      <c r="J44" s="305">
        <f>SUM(J42:J43)</f>
        <v>121369.72600000001</v>
      </c>
      <c r="K44" s="354">
        <f>SUM(K42:K43)</f>
        <v>1</v>
      </c>
    </row>
    <row r="45" spans="1:11" ht="14.45" customHeight="1" x14ac:dyDescent="0.2">
      <c r="A45" s="292"/>
      <c r="B45" s="823"/>
      <c r="C45" s="292"/>
      <c r="D45" s="310"/>
      <c r="E45" s="306"/>
      <c r="F45" s="306"/>
      <c r="G45" s="345"/>
      <c r="H45" s="329"/>
      <c r="I45" s="311"/>
      <c r="J45" s="309"/>
      <c r="K45" s="360"/>
    </row>
    <row r="46" spans="1:11" ht="14.45" customHeight="1" x14ac:dyDescent="0.2">
      <c r="A46" s="822" t="s">
        <v>228</v>
      </c>
      <c r="B46" s="822"/>
      <c r="C46" s="241"/>
      <c r="D46" s="239"/>
      <c r="E46" s="824"/>
      <c r="F46" s="822"/>
      <c r="G46" s="346"/>
      <c r="H46" s="328"/>
      <c r="I46" s="290"/>
      <c r="J46" s="312"/>
      <c r="K46" s="361"/>
    </row>
    <row r="47" spans="1:11" ht="14.45" customHeight="1" x14ac:dyDescent="0.2">
      <c r="A47" s="825" t="s">
        <v>222</v>
      </c>
      <c r="B47" s="825"/>
      <c r="C47" s="257" t="s">
        <v>6</v>
      </c>
      <c r="D47" s="249">
        <f>INDEX([2]DS!B26:AK26,1,3*T!$A$4-2)</f>
        <v>11</v>
      </c>
      <c r="E47" s="248">
        <f>INDEX([2]DS!C26:AL26,1,3*T!$A$4-2)</f>
        <v>1295.6179999999999</v>
      </c>
      <c r="F47" s="173">
        <f>INDEX([2]DS!D26:AM26,1,3*T!$A$4-2)</f>
        <v>13876.04</v>
      </c>
      <c r="G47" s="347">
        <f>E47/$E$51</f>
        <v>0.46186049910612914</v>
      </c>
      <c r="H47" s="316">
        <f t="shared" ref="H47:H51" si="14">(E47-I47)/I47</f>
        <v>0.20395489413502949</v>
      </c>
      <c r="I47" s="300">
        <f>INDEX([4]DS!C26:AL26,1,3*T!$A$4-2)</f>
        <v>1076.135</v>
      </c>
      <c r="J47" s="301">
        <f>INDEX([4]DS!D26:AM26,1,3*T!$A$4-2)</f>
        <v>11426.306</v>
      </c>
      <c r="K47" s="362">
        <f>I47/$I$51</f>
        <v>0.40809806170154039</v>
      </c>
    </row>
    <row r="48" spans="1:11" ht="14.45" customHeight="1" x14ac:dyDescent="0.2">
      <c r="A48" s="825" t="s">
        <v>223</v>
      </c>
      <c r="B48" s="825"/>
      <c r="C48" s="257" t="s">
        <v>220</v>
      </c>
      <c r="D48" s="249">
        <f>INDEX([2]DS!B32:AK32,1,3*T!$A$4-2)</f>
        <v>159</v>
      </c>
      <c r="E48" s="248">
        <f>INDEX([2]DS!C32:AL32,1,3*T!$A$4-2)</f>
        <v>895</v>
      </c>
      <c r="F48" s="173">
        <f>INDEX([2]DS!D32:AM32,1,3*T!$A$4-2)</f>
        <v>9379</v>
      </c>
      <c r="G48" s="347">
        <f t="shared" ref="G48:G50" si="15">E48/$E$51</f>
        <v>0.31904862907121206</v>
      </c>
      <c r="H48" s="316">
        <f t="shared" si="14"/>
        <v>0.27492877492877493</v>
      </c>
      <c r="I48" s="300">
        <f>INDEX([4]DS!C32:AL32,1,3*T!$A$4-2)</f>
        <v>702</v>
      </c>
      <c r="J48" s="301">
        <f>INDEX([4]DS!D32:AM32,1,3*T!$A$4-2)</f>
        <v>7352</v>
      </c>
      <c r="K48" s="362">
        <f>I48/$I$51</f>
        <v>0.26621644990124971</v>
      </c>
    </row>
    <row r="49" spans="1:11" ht="14.45" customHeight="1" x14ac:dyDescent="0.2">
      <c r="A49" s="330"/>
      <c r="B49" s="330"/>
      <c r="C49" s="258" t="s">
        <v>220</v>
      </c>
      <c r="D49" s="246">
        <f>SUM(D47:D48)</f>
        <v>170</v>
      </c>
      <c r="E49" s="244">
        <f>SUM(E47:E48)</f>
        <v>2190.6179999999999</v>
      </c>
      <c r="F49" s="261">
        <f>SUM(F47:F48)</f>
        <v>23255.040000000001</v>
      </c>
      <c r="G49" s="335">
        <f t="shared" si="15"/>
        <v>0.78090912817734115</v>
      </c>
      <c r="H49" s="317">
        <f t="shared" si="14"/>
        <v>0.23197507500836548</v>
      </c>
      <c r="I49" s="302">
        <f>SUM(I47:I48)</f>
        <v>1778.135</v>
      </c>
      <c r="J49" s="303">
        <f>SUM(J47:J48)</f>
        <v>18778.306</v>
      </c>
      <c r="K49" s="353">
        <f t="shared" ref="K49:K50" si="16">I49/$I$51</f>
        <v>0.6743145116027901</v>
      </c>
    </row>
    <row r="50" spans="1:11" ht="14.45" customHeight="1" x14ac:dyDescent="0.2">
      <c r="A50" s="825" t="s">
        <v>227</v>
      </c>
      <c r="B50" s="825"/>
      <c r="C50" s="257" t="s">
        <v>179</v>
      </c>
      <c r="D50" s="249"/>
      <c r="E50" s="248">
        <f>INDEX([2]DS!C34:AL34,1,3*T!$A$4-2)</f>
        <v>614.59699999999975</v>
      </c>
      <c r="F50" s="173">
        <f>INDEX([2]DS!D34:AM34,1,3*T!$A$4-2)</f>
        <v>6843.0684999999939</v>
      </c>
      <c r="G50" s="347">
        <f t="shared" si="15"/>
        <v>0.21909087182265879</v>
      </c>
      <c r="H50" s="316">
        <f t="shared" si="14"/>
        <v>-0.2843679153999043</v>
      </c>
      <c r="I50" s="298">
        <f>INDEX([4]DS!C34:AL34,1,3*T!$A$4-2)</f>
        <v>858.8169999999991</v>
      </c>
      <c r="J50" s="299">
        <f>INDEX([4]DS!D34:AM34,1,3*T!$A$4-2)</f>
        <v>9313.4843999999866</v>
      </c>
      <c r="K50" s="362">
        <f t="shared" si="16"/>
        <v>0.32568548839720984</v>
      </c>
    </row>
    <row r="51" spans="1:11" ht="14.45" customHeight="1" x14ac:dyDescent="0.2">
      <c r="A51" s="313"/>
      <c r="B51" s="313"/>
      <c r="C51" s="259" t="s">
        <v>2</v>
      </c>
      <c r="D51" s="253">
        <f>D49</f>
        <v>170</v>
      </c>
      <c r="E51" s="251">
        <f>SUM(E49:E50)</f>
        <v>2805.2149999999997</v>
      </c>
      <c r="F51" s="252">
        <f>SUM(F49:F50)</f>
        <v>30098.108499999995</v>
      </c>
      <c r="G51" s="336">
        <f>SUM(G49:G50)</f>
        <v>1</v>
      </c>
      <c r="H51" s="318">
        <f t="shared" si="14"/>
        <v>6.3809655996772185E-2</v>
      </c>
      <c r="I51" s="291">
        <f>SUM(I49:I50)</f>
        <v>2636.9519999999993</v>
      </c>
      <c r="J51" s="262">
        <f>SUM(J49:J50)</f>
        <v>28091.790399999987</v>
      </c>
      <c r="K51" s="354">
        <f>SUM(K49:K50)</f>
        <v>1</v>
      </c>
    </row>
    <row r="52" spans="1:11" ht="14.45" customHeight="1" x14ac:dyDescent="0.2">
      <c r="A52" s="313"/>
      <c r="B52" s="313"/>
      <c r="C52" s="240"/>
      <c r="D52" s="249"/>
      <c r="E52" s="248"/>
      <c r="F52" s="173"/>
      <c r="G52" s="348"/>
      <c r="H52" s="267"/>
      <c r="I52" s="289"/>
      <c r="J52" s="301"/>
      <c r="K52" s="363"/>
    </row>
    <row r="53" spans="1:11" ht="14.45" customHeight="1" x14ac:dyDescent="0.2">
      <c r="A53" s="313"/>
      <c r="B53" s="313"/>
      <c r="C53" s="240"/>
      <c r="D53" s="173"/>
      <c r="E53" s="173"/>
      <c r="F53" s="173"/>
      <c r="G53" s="173"/>
      <c r="H53" s="95"/>
      <c r="I53" s="289"/>
      <c r="J53" s="301"/>
      <c r="K53" s="314"/>
    </row>
    <row r="54" spans="1:11" ht="15.75" customHeight="1" x14ac:dyDescent="0.2">
      <c r="A54" s="62"/>
      <c r="B54" s="243"/>
      <c r="C54" s="243"/>
      <c r="D54" s="243"/>
      <c r="E54" s="243"/>
      <c r="F54" s="243"/>
      <c r="G54" s="243"/>
      <c r="H54" s="243"/>
      <c r="I54" s="87"/>
      <c r="J54" s="243"/>
    </row>
    <row r="55" spans="1:11" ht="15" customHeight="1" x14ac:dyDescent="0.2">
      <c r="A55" s="799" t="s">
        <v>316</v>
      </c>
      <c r="B55" s="799"/>
      <c r="C55" s="799"/>
      <c r="D55" s="799"/>
      <c r="E55" s="799"/>
      <c r="F55" s="799"/>
      <c r="G55" s="799"/>
      <c r="H55" s="799"/>
      <c r="I55" s="799"/>
      <c r="J55" s="799"/>
      <c r="K55" s="799"/>
    </row>
    <row r="56" spans="1:11" ht="15" customHeight="1" x14ac:dyDescent="0.2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</row>
    <row r="57" spans="1:11" ht="15" customHeight="1" x14ac:dyDescent="0.2">
      <c r="A57" s="799"/>
      <c r="B57" s="799"/>
      <c r="C57" s="799"/>
      <c r="D57" s="799"/>
      <c r="E57" s="799"/>
      <c r="F57" s="799"/>
      <c r="G57" s="799"/>
      <c r="H57" s="799"/>
      <c r="I57" s="799"/>
      <c r="J57" s="799"/>
      <c r="K57" s="79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A28:B28"/>
    <mergeCell ref="A29:B30"/>
    <mergeCell ref="D8:D9"/>
    <mergeCell ref="E8:F8"/>
    <mergeCell ref="I8:J8"/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264</v>
      </c>
      <c r="K1" s="821"/>
    </row>
    <row r="2" spans="1:17" ht="6.75" customHeight="1" x14ac:dyDescent="0.2"/>
    <row r="3" spans="1:17" ht="30" customHeight="1" x14ac:dyDescent="0.2">
      <c r="A3" s="829" t="s">
        <v>299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Červen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Červen</v>
      </c>
      <c r="F7" s="265">
        <f>F4</f>
        <v>2015</v>
      </c>
      <c r="G7" s="265"/>
      <c r="H7" s="832"/>
      <c r="I7" s="280" t="str">
        <f>D4</f>
        <v>Červen</v>
      </c>
      <c r="J7" s="260">
        <f>F4-1</f>
        <v>2014</v>
      </c>
      <c r="K7" s="274"/>
    </row>
    <row r="8" spans="1:17" ht="14.1" customHeight="1" x14ac:dyDescent="0.2">
      <c r="A8" s="278"/>
      <c r="B8" s="372"/>
      <c r="C8" s="844" t="s">
        <v>95</v>
      </c>
      <c r="D8" s="838"/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373"/>
      <c r="C9" s="851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365"/>
      <c r="D10" s="254"/>
      <c r="E10" s="365"/>
      <c r="F10" s="365"/>
      <c r="G10" s="333"/>
      <c r="H10" s="315"/>
      <c r="I10" s="282"/>
      <c r="J10" s="365"/>
      <c r="K10" s="351"/>
    </row>
    <row r="11" spans="1:17" ht="14.45" customHeight="1" x14ac:dyDescent="0.2">
      <c r="A11" s="95"/>
      <c r="B11" s="95"/>
      <c r="C11" s="845" t="s">
        <v>72</v>
      </c>
      <c r="D11" s="846"/>
      <c r="E11" s="96">
        <f>'5'!E26</f>
        <v>23837.739988002013</v>
      </c>
      <c r="F11" s="96">
        <f>'5'!F26</f>
        <v>254300.79200000569</v>
      </c>
      <c r="G11" s="334">
        <f>E11/$E$15</f>
        <v>7.5817869787262029E-2</v>
      </c>
      <c r="H11" s="316">
        <f>(E11-I11)/I11</f>
        <v>2.9679640470960826E-2</v>
      </c>
      <c r="I11" s="283">
        <f>'5'!I26</f>
        <v>23150.637393489658</v>
      </c>
      <c r="J11" s="96">
        <f>'5'!J26</f>
        <v>245931.38194751454</v>
      </c>
      <c r="K11" s="352">
        <f>I11/$I$15</f>
        <v>7.4946376394141534E-2</v>
      </c>
    </row>
    <row r="12" spans="1:17" ht="14.45" customHeight="1" x14ac:dyDescent="0.2">
      <c r="A12" s="95"/>
      <c r="B12" s="95"/>
      <c r="C12" s="845" t="s">
        <v>73</v>
      </c>
      <c r="D12" s="846"/>
      <c r="E12" s="96">
        <f>'5'!E35</f>
        <v>275508.15849041025</v>
      </c>
      <c r="F12" s="96">
        <f>'5'!F35</f>
        <v>2952170.4529099995</v>
      </c>
      <c r="G12" s="334">
        <f>E12/$E$15</f>
        <v>0.87627609396980688</v>
      </c>
      <c r="H12" s="316">
        <f t="shared" ref="H12:H13" si="0">(E12-I12)/I12</f>
        <v>1.4074274254746928E-2</v>
      </c>
      <c r="I12" s="283">
        <f>'5'!I35</f>
        <v>271684.39776552253</v>
      </c>
      <c r="J12" s="96">
        <f>'5'!J35</f>
        <v>2892917.3292259988</v>
      </c>
      <c r="K12" s="352">
        <f>I12/$I$15</f>
        <v>0.87953350006149644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845" t="s">
        <v>74</v>
      </c>
      <c r="D13" s="846"/>
      <c r="E13" s="96">
        <f>'5'!E44</f>
        <v>12256.823</v>
      </c>
      <c r="F13" s="96">
        <f>'5'!F44</f>
        <v>130744.25599999999</v>
      </c>
      <c r="G13" s="334">
        <f>E13/$E$15</f>
        <v>3.8983821901205647E-2</v>
      </c>
      <c r="H13" s="316">
        <f t="shared" si="0"/>
        <v>7.2898073736306523E-2</v>
      </c>
      <c r="I13" s="283">
        <f>'5'!I44</f>
        <v>11424.033000000001</v>
      </c>
      <c r="J13" s="96">
        <f>'5'!J44</f>
        <v>121369.72600000001</v>
      </c>
      <c r="K13" s="352">
        <f>I13/$I$15</f>
        <v>3.6983425665760232E-2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845" t="s">
        <v>180</v>
      </c>
      <c r="D14" s="846"/>
      <c r="E14" s="96">
        <f>'5'!E51</f>
        <v>2805.2149999999997</v>
      </c>
      <c r="F14" s="96">
        <f>'5'!F51</f>
        <v>30098.108499999995</v>
      </c>
      <c r="G14" s="334">
        <f>E14/$E$15</f>
        <v>8.9222143417254686E-3</v>
      </c>
      <c r="H14" s="316">
        <f>(E14-I14)/I14</f>
        <v>6.3809655996772185E-2</v>
      </c>
      <c r="I14" s="283">
        <f>'5'!I51</f>
        <v>2636.9519999999993</v>
      </c>
      <c r="J14" s="96">
        <f>'5'!J51</f>
        <v>28091.790399999987</v>
      </c>
      <c r="K14" s="352">
        <f>I14/$I$15</f>
        <v>8.5366978786018694E-3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842" t="s">
        <v>5</v>
      </c>
      <c r="D15" s="843"/>
      <c r="E15" s="251">
        <f>SUM(E11:E14)</f>
        <v>314407.93647841224</v>
      </c>
      <c r="F15" s="252">
        <f>SUM(F11:F14)</f>
        <v>3367313.6094100052</v>
      </c>
      <c r="G15" s="336">
        <f>SUM(G11:G14)</f>
        <v>1</v>
      </c>
      <c r="H15" s="318">
        <f>(E15-I15)/I15</f>
        <v>1.7843921448268164E-2</v>
      </c>
      <c r="I15" s="286">
        <f>SUM(I11:I14)</f>
        <v>308896.02015901217</v>
      </c>
      <c r="J15" s="252">
        <f>SUM(J11:J14)</f>
        <v>3288310.2275735131</v>
      </c>
      <c r="K15" s="354">
        <f>SUM(K11:K14)</f>
        <v>1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/>
      <c r="D16" s="376"/>
      <c r="E16" s="377"/>
      <c r="F16" s="377"/>
      <c r="G16" s="378"/>
      <c r="H16" s="379"/>
      <c r="I16" s="380"/>
      <c r="J16" s="377"/>
      <c r="K16" s="381"/>
      <c r="L16" s="284"/>
      <c r="M16" s="284"/>
      <c r="O16" s="284"/>
      <c r="P16" s="284"/>
      <c r="Q16" s="284"/>
    </row>
    <row r="17" spans="1:16" ht="14.45" customHeight="1" x14ac:dyDescent="0.2">
      <c r="A17" s="830"/>
      <c r="B17" s="830"/>
      <c r="C17" s="830"/>
      <c r="D17" s="297"/>
      <c r="E17" s="174"/>
      <c r="F17" s="174"/>
      <c r="G17" s="338"/>
      <c r="H17" s="320"/>
      <c r="I17" s="298"/>
      <c r="J17" s="299"/>
      <c r="K17" s="356"/>
      <c r="L17" s="284"/>
      <c r="M17" s="284"/>
    </row>
    <row r="18" spans="1:16" ht="6" customHeight="1" x14ac:dyDescent="0.2">
      <c r="A18" s="95"/>
      <c r="B18" s="95"/>
      <c r="C18" s="257"/>
      <c r="D18" s="96"/>
      <c r="E18" s="96"/>
      <c r="F18" s="96"/>
      <c r="G18" s="382"/>
      <c r="H18" s="383"/>
      <c r="I18" s="301"/>
      <c r="J18" s="301"/>
      <c r="K18" s="384"/>
      <c r="L18" s="284"/>
      <c r="M18" s="284"/>
      <c r="N18" s="284"/>
    </row>
    <row r="19" spans="1:16" ht="14.45" customHeight="1" x14ac:dyDescent="0.2">
      <c r="A19" s="837" t="s">
        <v>245</v>
      </c>
      <c r="B19" s="837"/>
      <c r="C19" s="837"/>
      <c r="D19" s="837"/>
      <c r="E19" s="837"/>
      <c r="F19" s="837"/>
      <c r="G19" s="837"/>
      <c r="H19" s="837"/>
      <c r="I19" s="837"/>
      <c r="J19" s="837"/>
      <c r="K19" s="837"/>
      <c r="L19" s="287"/>
      <c r="M19" s="287"/>
      <c r="N19" s="284"/>
    </row>
    <row r="20" spans="1:16" ht="14.45" customHeight="1" x14ac:dyDescent="0.2">
      <c r="A20" s="174"/>
      <c r="B20" s="848"/>
      <c r="C20" s="367"/>
      <c r="D20" s="173"/>
      <c r="E20" s="853" t="str">
        <f>E7</f>
        <v>Červen</v>
      </c>
      <c r="F20" s="853"/>
      <c r="G20" s="387"/>
      <c r="H20" s="385"/>
      <c r="I20" s="299"/>
      <c r="J20" s="299"/>
      <c r="K20" s="388"/>
      <c r="L20" s="284"/>
      <c r="M20" s="284"/>
      <c r="N20" s="284"/>
      <c r="O20" s="284"/>
      <c r="P20" s="284"/>
    </row>
    <row r="21" spans="1:16" ht="14.45" customHeight="1" x14ac:dyDescent="0.2">
      <c r="A21" s="174"/>
      <c r="B21" s="848"/>
      <c r="C21" s="367"/>
      <c r="D21" s="173"/>
      <c r="E21" s="483">
        <f>F7</f>
        <v>2015</v>
      </c>
      <c r="F21" s="484">
        <f>J7</f>
        <v>2014</v>
      </c>
      <c r="H21" s="385"/>
      <c r="I21" s="299"/>
      <c r="J21" s="299"/>
      <c r="K21" s="388"/>
      <c r="L21" s="284"/>
      <c r="M21" s="284"/>
      <c r="N21" s="284"/>
      <c r="O21" s="284"/>
      <c r="P21" s="284"/>
    </row>
    <row r="22" spans="1:16" ht="14.45" customHeight="1" x14ac:dyDescent="0.2">
      <c r="A22" s="174"/>
      <c r="B22" s="848"/>
      <c r="C22" s="367"/>
      <c r="D22" s="173" t="str">
        <f>C11</f>
        <v>PP Distribuce</v>
      </c>
      <c r="E22" s="173">
        <f>E11</f>
        <v>23837.739988002013</v>
      </c>
      <c r="F22" s="482">
        <f>I11</f>
        <v>23150.637393489658</v>
      </c>
      <c r="H22" s="385"/>
      <c r="I22" s="299"/>
      <c r="J22" s="299"/>
      <c r="K22" s="388"/>
      <c r="L22" s="284"/>
      <c r="M22" s="284"/>
      <c r="N22" s="284"/>
      <c r="O22" s="284"/>
      <c r="P22" s="284"/>
    </row>
    <row r="23" spans="1:16" ht="14.45" customHeight="1" x14ac:dyDescent="0.2">
      <c r="A23" s="174"/>
      <c r="B23" s="848"/>
      <c r="C23" s="367"/>
      <c r="D23" s="173" t="str">
        <f>C12</f>
        <v>RWE GasNet</v>
      </c>
      <c r="E23" s="173">
        <f>E12</f>
        <v>275508.15849041025</v>
      </c>
      <c r="F23" s="482">
        <f>I12</f>
        <v>271684.39776552253</v>
      </c>
      <c r="H23" s="385"/>
      <c r="I23" s="299"/>
      <c r="J23" s="299"/>
      <c r="K23" s="388"/>
      <c r="L23" s="284"/>
      <c r="M23" s="284"/>
      <c r="N23" s="284"/>
      <c r="O23" s="284"/>
      <c r="P23" s="284"/>
    </row>
    <row r="24" spans="1:16" ht="14.45" customHeight="1" x14ac:dyDescent="0.2">
      <c r="A24" s="174"/>
      <c r="B24" s="848"/>
      <c r="C24" s="367"/>
      <c r="D24" s="173" t="str">
        <f>C13</f>
        <v>E.ON Distribuce</v>
      </c>
      <c r="E24" s="173">
        <f>E13</f>
        <v>12256.823</v>
      </c>
      <c r="F24" s="482">
        <f>I13</f>
        <v>11424.033000000001</v>
      </c>
      <c r="H24" s="385"/>
      <c r="I24" s="299"/>
      <c r="J24" s="299"/>
      <c r="K24" s="388"/>
      <c r="L24" s="284"/>
      <c r="M24" s="284"/>
      <c r="N24" s="284"/>
      <c r="O24" s="284"/>
      <c r="P24" s="284"/>
    </row>
    <row r="25" spans="1:16" ht="14.45" customHeight="1" x14ac:dyDescent="0.2">
      <c r="A25" s="174"/>
      <c r="B25" s="848"/>
      <c r="C25" s="174"/>
      <c r="D25" s="173" t="str">
        <f>C14</f>
        <v>Ostatní společnosti</v>
      </c>
      <c r="E25" s="173">
        <f>E14</f>
        <v>2805.2149999999997</v>
      </c>
      <c r="F25" s="482">
        <f>I14</f>
        <v>2636.9519999999993</v>
      </c>
      <c r="H25" s="386"/>
      <c r="I25" s="299"/>
      <c r="J25" s="299"/>
      <c r="K25" s="174"/>
      <c r="L25" s="287"/>
      <c r="N25" s="284"/>
      <c r="O25" s="284"/>
      <c r="P25" s="284"/>
    </row>
    <row r="26" spans="1:16" ht="14.45" customHeight="1" x14ac:dyDescent="0.2">
      <c r="A26" s="852"/>
      <c r="B26" s="852"/>
      <c r="C26" s="174"/>
      <c r="D26" s="174"/>
      <c r="E26" s="174"/>
      <c r="F26" s="174"/>
      <c r="G26" s="174"/>
      <c r="H26" s="386"/>
      <c r="I26" s="299"/>
      <c r="J26" s="299"/>
      <c r="K26" s="174"/>
      <c r="L26" s="287"/>
      <c r="N26" s="284"/>
      <c r="O26" s="284"/>
      <c r="P26" s="284"/>
    </row>
    <row r="27" spans="1:16" ht="14.45" customHeight="1" x14ac:dyDescent="0.2">
      <c r="A27" s="847"/>
      <c r="B27" s="847"/>
      <c r="C27" s="367"/>
      <c r="D27" s="173"/>
      <c r="E27" s="173"/>
      <c r="F27" s="173"/>
      <c r="G27" s="388"/>
      <c r="H27" s="389"/>
      <c r="I27" s="299"/>
      <c r="J27" s="299"/>
      <c r="K27" s="388"/>
    </row>
    <row r="28" spans="1:16" ht="14.45" customHeight="1" x14ac:dyDescent="0.2">
      <c r="A28" s="847"/>
      <c r="B28" s="847"/>
      <c r="C28" s="367"/>
      <c r="D28" s="173"/>
      <c r="E28" s="173"/>
      <c r="F28" s="173"/>
      <c r="G28" s="388"/>
      <c r="H28" s="389"/>
      <c r="I28" s="299"/>
      <c r="J28" s="299"/>
      <c r="K28" s="388"/>
    </row>
    <row r="29" spans="1:16" ht="14.45" customHeight="1" x14ac:dyDescent="0.2">
      <c r="A29" s="174"/>
      <c r="B29" s="174"/>
      <c r="C29" s="367"/>
      <c r="D29" s="173"/>
      <c r="E29" s="173"/>
      <c r="F29" s="173"/>
      <c r="G29" s="388"/>
      <c r="H29" s="389"/>
      <c r="I29" s="299"/>
      <c r="J29" s="299"/>
      <c r="K29" s="388"/>
    </row>
    <row r="30" spans="1:16" ht="14.45" customHeight="1" x14ac:dyDescent="0.2">
      <c r="A30" s="174"/>
      <c r="B30" s="174"/>
      <c r="C30" s="367"/>
      <c r="D30" s="173"/>
      <c r="E30" s="173"/>
      <c r="F30" s="173"/>
      <c r="G30" s="388"/>
      <c r="H30" s="389"/>
      <c r="I30" s="299"/>
      <c r="J30" s="299"/>
      <c r="K30" s="388"/>
    </row>
    <row r="31" spans="1:16" ht="14.45" customHeight="1" x14ac:dyDescent="0.2">
      <c r="A31" s="174"/>
      <c r="B31" s="174"/>
      <c r="C31" s="367"/>
      <c r="D31" s="173"/>
      <c r="E31" s="173"/>
      <c r="F31" s="173"/>
      <c r="G31" s="388"/>
      <c r="H31" s="389"/>
      <c r="I31" s="299"/>
      <c r="J31" s="299"/>
      <c r="K31" s="388"/>
    </row>
    <row r="32" spans="1:16" ht="14.45" customHeight="1" x14ac:dyDescent="0.2">
      <c r="A32" s="852" t="s">
        <v>96</v>
      </c>
      <c r="B32" s="852"/>
      <c r="C32" s="852"/>
      <c r="D32" s="852"/>
      <c r="E32" s="852"/>
      <c r="F32" s="852"/>
      <c r="G32" s="852"/>
      <c r="H32" s="852"/>
      <c r="I32" s="852"/>
      <c r="J32" s="852"/>
      <c r="K32" s="852"/>
    </row>
    <row r="33" spans="1:11" ht="14.45" customHeight="1" x14ac:dyDescent="0.2">
      <c r="A33" s="174"/>
      <c r="B33" s="174"/>
      <c r="C33" s="367"/>
      <c r="D33" s="173"/>
      <c r="E33" s="173" t="str">
        <f>E7</f>
        <v>Červen</v>
      </c>
      <c r="F33" s="427">
        <f>F7</f>
        <v>2015</v>
      </c>
      <c r="G33" s="388"/>
      <c r="H33" s="389"/>
      <c r="I33" s="299"/>
      <c r="J33" s="299"/>
      <c r="K33" s="388"/>
    </row>
    <row r="34" spans="1:11" ht="14.45" customHeight="1" x14ac:dyDescent="0.2">
      <c r="A34" s="390"/>
      <c r="B34" s="390"/>
      <c r="C34" s="390"/>
      <c r="D34" s="390"/>
      <c r="E34" s="390"/>
      <c r="F34" s="390"/>
      <c r="G34" s="390"/>
      <c r="H34" s="391"/>
      <c r="I34" s="392"/>
      <c r="J34" s="299"/>
      <c r="K34" s="390"/>
    </row>
    <row r="35" spans="1:11" ht="14.45" customHeight="1" x14ac:dyDescent="0.2">
      <c r="A35" s="847"/>
      <c r="B35" s="847"/>
      <c r="C35" s="390"/>
      <c r="D35" s="390"/>
      <c r="E35" s="390" t="str">
        <f>C11</f>
        <v>PP Distribuce</v>
      </c>
      <c r="F35" s="392">
        <f>E11</f>
        <v>23837.739988002013</v>
      </c>
      <c r="G35" s="390"/>
      <c r="H35" s="391"/>
      <c r="I35" s="392"/>
      <c r="J35" s="299"/>
      <c r="K35" s="390"/>
    </row>
    <row r="36" spans="1:11" ht="14.45" customHeight="1" x14ac:dyDescent="0.2">
      <c r="A36" s="390"/>
      <c r="B36" s="390"/>
      <c r="C36" s="367"/>
      <c r="D36" s="173"/>
      <c r="E36" s="390" t="str">
        <f t="shared" ref="E36:E38" si="1">C12</f>
        <v>RWE GasNet</v>
      </c>
      <c r="F36" s="392">
        <f t="shared" ref="F36:F38" si="2">E12</f>
        <v>275508.15849041025</v>
      </c>
      <c r="G36" s="388"/>
      <c r="H36" s="389"/>
      <c r="I36" s="299"/>
      <c r="J36" s="299"/>
      <c r="K36" s="388"/>
    </row>
    <row r="37" spans="1:11" ht="14.45" customHeight="1" x14ac:dyDescent="0.2">
      <c r="A37" s="390"/>
      <c r="B37" s="390"/>
      <c r="C37" s="367"/>
      <c r="D37" s="173"/>
      <c r="E37" s="390" t="str">
        <f t="shared" si="1"/>
        <v>E.ON Distribuce</v>
      </c>
      <c r="F37" s="392">
        <f t="shared" si="2"/>
        <v>12256.823</v>
      </c>
      <c r="G37" s="388"/>
      <c r="H37" s="389"/>
      <c r="I37" s="299"/>
      <c r="J37" s="299"/>
      <c r="K37" s="388"/>
    </row>
    <row r="38" spans="1:11" ht="14.45" customHeight="1" x14ac:dyDescent="0.2">
      <c r="A38" s="174"/>
      <c r="B38" s="848"/>
      <c r="C38" s="367"/>
      <c r="D38" s="173"/>
      <c r="E38" s="390" t="str">
        <f t="shared" si="1"/>
        <v>Ostatní společnosti</v>
      </c>
      <c r="F38" s="392">
        <f t="shared" si="2"/>
        <v>2805.2149999999997</v>
      </c>
      <c r="G38" s="388"/>
      <c r="H38" s="389"/>
      <c r="I38" s="299"/>
      <c r="J38" s="299"/>
      <c r="K38" s="388"/>
    </row>
    <row r="39" spans="1:11" ht="14.45" customHeight="1" x14ac:dyDescent="0.2">
      <c r="A39" s="174"/>
      <c r="B39" s="848"/>
      <c r="C39" s="367"/>
      <c r="D39" s="173"/>
      <c r="E39" s="390"/>
      <c r="F39" s="390"/>
      <c r="G39" s="388"/>
      <c r="H39" s="389"/>
      <c r="I39" s="299"/>
      <c r="J39" s="299"/>
      <c r="K39" s="388"/>
    </row>
    <row r="40" spans="1:11" ht="14.45" customHeight="1" x14ac:dyDescent="0.2">
      <c r="A40" s="174"/>
      <c r="B40" s="848"/>
      <c r="C40" s="367"/>
      <c r="D40" s="173"/>
      <c r="E40" s="173"/>
      <c r="F40" s="173"/>
      <c r="G40" s="388"/>
      <c r="H40" s="389"/>
      <c r="I40" s="299"/>
      <c r="J40" s="299"/>
      <c r="K40" s="388"/>
    </row>
    <row r="41" spans="1:11" ht="14.45" customHeight="1" x14ac:dyDescent="0.2">
      <c r="A41" s="174"/>
      <c r="B41" s="848"/>
      <c r="C41" s="367"/>
      <c r="D41" s="173"/>
      <c r="E41" s="173"/>
      <c r="F41" s="173"/>
      <c r="G41" s="388"/>
      <c r="H41" s="389"/>
      <c r="I41" s="299"/>
      <c r="J41" s="299"/>
      <c r="K41" s="388"/>
    </row>
    <row r="42" spans="1:11" ht="14.45" customHeight="1" x14ac:dyDescent="0.2">
      <c r="A42" s="174"/>
      <c r="B42" s="848"/>
      <c r="C42" s="367"/>
      <c r="D42" s="173"/>
      <c r="E42" s="173"/>
      <c r="F42" s="173"/>
      <c r="G42" s="388"/>
      <c r="H42" s="389"/>
      <c r="I42" s="299"/>
      <c r="J42" s="299"/>
      <c r="K42" s="388"/>
    </row>
    <row r="43" spans="1:11" ht="14.45" customHeight="1" x14ac:dyDescent="0.2">
      <c r="A43" s="847"/>
      <c r="B43" s="847"/>
      <c r="C43" s="390"/>
      <c r="D43" s="366"/>
      <c r="E43" s="847"/>
      <c r="F43" s="847"/>
      <c r="G43" s="366"/>
      <c r="H43" s="391"/>
      <c r="I43" s="392"/>
      <c r="J43" s="299"/>
      <c r="K43" s="366"/>
    </row>
    <row r="44" spans="1:11" ht="14.45" customHeight="1" x14ac:dyDescent="0.25">
      <c r="A44" s="271"/>
      <c r="B44" s="126"/>
      <c r="C44" s="274"/>
      <c r="D44" s="274"/>
      <c r="E44" s="275"/>
      <c r="F44" s="274"/>
      <c r="G44" s="276"/>
      <c r="H44" s="849" t="s">
        <v>244</v>
      </c>
      <c r="I44" s="276"/>
      <c r="J44" s="276"/>
      <c r="K44" s="276"/>
    </row>
    <row r="45" spans="1:11" ht="14.45" customHeight="1" x14ac:dyDescent="0.25">
      <c r="A45" s="278"/>
      <c r="B45" s="279"/>
      <c r="C45" s="263"/>
      <c r="D45" s="263"/>
      <c r="E45" s="264" t="str">
        <f>E7</f>
        <v>Červen</v>
      </c>
      <c r="F45" s="265">
        <f>F7</f>
        <v>2015</v>
      </c>
      <c r="G45" s="265"/>
      <c r="H45" s="850"/>
      <c r="I45" s="398" t="str">
        <f>I7</f>
        <v>Červen</v>
      </c>
      <c r="J45" s="260">
        <f>J7</f>
        <v>2014</v>
      </c>
      <c r="K45" s="276"/>
    </row>
    <row r="46" spans="1:11" ht="14.45" customHeight="1" x14ac:dyDescent="0.2">
      <c r="A46" s="278"/>
      <c r="B46" s="372"/>
      <c r="C46" s="844" t="s">
        <v>95</v>
      </c>
      <c r="D46" s="838"/>
      <c r="E46" s="840" t="s">
        <v>243</v>
      </c>
      <c r="F46" s="793"/>
      <c r="G46" s="426"/>
      <c r="H46" s="850"/>
      <c r="I46" s="841" t="s">
        <v>243</v>
      </c>
      <c r="J46" s="793"/>
      <c r="K46" s="87"/>
    </row>
    <row r="47" spans="1:11" ht="12.95" customHeight="1" x14ac:dyDescent="0.2">
      <c r="A47" s="409"/>
      <c r="B47" s="372"/>
      <c r="C47" s="844"/>
      <c r="D47" s="838"/>
      <c r="E47" s="412" t="s">
        <v>69</v>
      </c>
      <c r="F47" s="374" t="s">
        <v>142</v>
      </c>
      <c r="G47" s="394" t="s">
        <v>143</v>
      </c>
      <c r="H47" s="850"/>
      <c r="I47" s="419" t="s">
        <v>69</v>
      </c>
      <c r="J47" s="374" t="s">
        <v>142</v>
      </c>
      <c r="K47" s="374" t="s">
        <v>143</v>
      </c>
    </row>
    <row r="48" spans="1:11" ht="12.95" customHeight="1" x14ac:dyDescent="0.2">
      <c r="A48" s="250"/>
      <c r="B48" s="373"/>
      <c r="C48" s="851"/>
      <c r="D48" s="839"/>
      <c r="E48" s="413" t="s">
        <v>14</v>
      </c>
      <c r="F48" s="266" t="s">
        <v>14</v>
      </c>
      <c r="G48" s="266" t="s">
        <v>14</v>
      </c>
      <c r="H48" s="411" t="s">
        <v>14</v>
      </c>
      <c r="I48" s="420" t="s">
        <v>14</v>
      </c>
      <c r="J48" s="266" t="s">
        <v>14</v>
      </c>
      <c r="K48" s="266" t="s">
        <v>14</v>
      </c>
    </row>
    <row r="49" spans="1:11" ht="14.45" customHeight="1" x14ac:dyDescent="0.2">
      <c r="A49" s="844" t="s">
        <v>4</v>
      </c>
      <c r="B49" s="844"/>
      <c r="C49" s="365"/>
      <c r="D49" s="254"/>
      <c r="E49" s="414"/>
      <c r="F49" s="365"/>
      <c r="G49" s="395"/>
      <c r="H49" s="410"/>
      <c r="I49" s="421"/>
      <c r="J49" s="365"/>
      <c r="K49" s="365"/>
    </row>
    <row r="50" spans="1:11" ht="14.45" customHeight="1" x14ac:dyDescent="0.2">
      <c r="A50" s="95"/>
      <c r="B50" s="95"/>
      <c r="C50" s="845" t="s">
        <v>72</v>
      </c>
      <c r="D50" s="846"/>
      <c r="E50" s="415">
        <f>INDEX([5]MZ!D21:BK21,1,5*T!$A$4-4)</f>
        <v>17.34</v>
      </c>
      <c r="F50" s="401">
        <f>INDEX([5]MZ!E21:BL21,1,5*T!$A$4-4)</f>
        <v>23.1</v>
      </c>
      <c r="G50" s="402">
        <f>INDEX([5]MZ!F21:BM21,1,5*T!$A$4-4)</f>
        <v>11.9</v>
      </c>
      <c r="H50" s="403">
        <f>E50-I50</f>
        <v>0.41333333333333044</v>
      </c>
      <c r="I50" s="422">
        <f>INDEX([6]MZ!D21:BK21,1,5*T!$A$4-4)</f>
        <v>16.926666666666669</v>
      </c>
      <c r="J50" s="401">
        <f>INDEX([6]MZ!E21:BL21,1,5*T!$A$4-4)</f>
        <v>24.8</v>
      </c>
      <c r="K50" s="404">
        <f>INDEX([6]MZ!F21:BM21,1,5*T!$A$4-4)</f>
        <v>12</v>
      </c>
    </row>
    <row r="51" spans="1:11" ht="14.45" customHeight="1" x14ac:dyDescent="0.2">
      <c r="A51" s="95"/>
      <c r="B51" s="95"/>
      <c r="C51" s="845" t="s">
        <v>73</v>
      </c>
      <c r="D51" s="846"/>
      <c r="E51" s="415">
        <f>INDEX([5]MZ!D22:BK22,1,5*T!$A$4-4)</f>
        <v>16.729999999999997</v>
      </c>
      <c r="F51" s="401">
        <f>INDEX([5]MZ!E22:BL22,1,5*T!$A$4-4)</f>
        <v>22.216666666666669</v>
      </c>
      <c r="G51" s="402">
        <f>INDEX([5]MZ!F22:BM22,1,5*T!$A$4-4)</f>
        <v>11.200000000000001</v>
      </c>
      <c r="H51" s="403">
        <f t="shared" ref="H51:H54" si="3">E51-I51</f>
        <v>0.14666666666666828</v>
      </c>
      <c r="I51" s="422">
        <f>INDEX([6]MZ!D22:BK22,1,5*T!$A$4-4)</f>
        <v>16.583333333333329</v>
      </c>
      <c r="J51" s="401">
        <f>INDEX([6]MZ!E22:BL22,1,5*T!$A$4-4)</f>
        <v>24.183333333333334</v>
      </c>
      <c r="K51" s="404">
        <f>INDEX([6]MZ!F22:BM22,1,5*T!$A$4-4)</f>
        <v>12.733333333333334</v>
      </c>
    </row>
    <row r="52" spans="1:11" ht="15.75" customHeight="1" x14ac:dyDescent="0.2">
      <c r="A52" s="292"/>
      <c r="B52" s="268"/>
      <c r="C52" s="845" t="s">
        <v>74</v>
      </c>
      <c r="D52" s="846"/>
      <c r="E52" s="415">
        <f>INDEX([5]MZ!D23:BK23,1,5*T!$A$4-4)</f>
        <v>16.190000000000001</v>
      </c>
      <c r="F52" s="401">
        <f>INDEX([5]MZ!E23:BL23,1,5*T!$A$4-4)</f>
        <v>22</v>
      </c>
      <c r="G52" s="402">
        <f>INDEX([5]MZ!F23:BM23,1,5*T!$A$4-4)</f>
        <v>10</v>
      </c>
      <c r="H52" s="403">
        <f t="shared" si="3"/>
        <v>0.20333333333332959</v>
      </c>
      <c r="I52" s="422">
        <f>INDEX([6]MZ!D23:BK23,1,5*T!$A$4-4)</f>
        <v>15.986666666666672</v>
      </c>
      <c r="J52" s="401">
        <f>INDEX([6]MZ!E23:BL23,1,5*T!$A$4-4)</f>
        <v>23.3</v>
      </c>
      <c r="K52" s="404">
        <f>INDEX([6]MZ!F23:BM23,1,5*T!$A$4-4)</f>
        <v>12</v>
      </c>
    </row>
    <row r="53" spans="1:11" ht="15" customHeight="1" x14ac:dyDescent="0.2">
      <c r="A53" s="292"/>
      <c r="B53" s="268"/>
      <c r="C53" s="845" t="s">
        <v>180</v>
      </c>
      <c r="D53" s="846"/>
      <c r="E53" s="415">
        <f>INDEX([5]MZ!D24:BK24,1,5*T!$A$4-4)</f>
        <v>16.746666666666666</v>
      </c>
      <c r="F53" s="401">
        <f>INDEX([5]MZ!E24:BL24,1,5*T!$A$4-4)</f>
        <v>22.2</v>
      </c>
      <c r="G53" s="402">
        <f>INDEX([5]MZ!F24:BM24,1,5*T!$A$4-4)</f>
        <v>11</v>
      </c>
      <c r="H53" s="403">
        <f t="shared" si="3"/>
        <v>0.16999999999999815</v>
      </c>
      <c r="I53" s="422">
        <f>INDEX([6]MZ!D24:BK24,1,5*T!$A$4-4)</f>
        <v>16.576666666666668</v>
      </c>
      <c r="J53" s="401">
        <f>INDEX([6]MZ!E24:BL24,1,5*T!$A$4-4)</f>
        <v>24.1</v>
      </c>
      <c r="K53" s="404">
        <f>INDEX([6]MZ!F24:BM24,1,5*T!$A$4-4)</f>
        <v>12.7</v>
      </c>
    </row>
    <row r="54" spans="1:11" ht="15" customHeight="1" x14ac:dyDescent="0.2">
      <c r="A54" s="292"/>
      <c r="B54" s="268"/>
      <c r="C54" s="842" t="s">
        <v>5</v>
      </c>
      <c r="D54" s="843"/>
      <c r="E54" s="416">
        <f>INDEX([5]MZ!D25:BK25,1,5*T!$A$4-4)</f>
        <v>16.746666666666666</v>
      </c>
      <c r="F54" s="405">
        <f>INDEX([5]MZ!E25:BL25,1,5*T!$A$4-4)</f>
        <v>22.2</v>
      </c>
      <c r="G54" s="406">
        <f>INDEX([5]MZ!F25:BM25,1,5*T!$A$4-4)</f>
        <v>11</v>
      </c>
      <c r="H54" s="407">
        <f t="shared" si="3"/>
        <v>0.16999999999999815</v>
      </c>
      <c r="I54" s="423">
        <f>INDEX([6]MZ!D25:BK25,1,5*T!$A$4-4)</f>
        <v>16.576666666666668</v>
      </c>
      <c r="J54" s="405">
        <f>INDEX([6]MZ!E25:BL25,1,5*T!$A$4-4)</f>
        <v>24.1</v>
      </c>
      <c r="K54" s="408">
        <f>INDEX([6]MZ!F25:BM25,1,5*T!$A$4-4)</f>
        <v>12.7</v>
      </c>
    </row>
    <row r="55" spans="1:11" ht="15" customHeight="1" x14ac:dyDescent="0.2">
      <c r="A55" s="292"/>
      <c r="B55" s="268"/>
      <c r="C55" s="257"/>
      <c r="D55" s="376"/>
      <c r="E55" s="417"/>
      <c r="F55" s="377"/>
      <c r="G55" s="396"/>
      <c r="H55" s="399"/>
      <c r="I55" s="424"/>
      <c r="J55" s="377"/>
      <c r="K55" s="393"/>
    </row>
    <row r="56" spans="1:11" ht="15" customHeight="1" x14ac:dyDescent="0.2">
      <c r="A56" s="830"/>
      <c r="B56" s="830"/>
      <c r="C56" s="830"/>
      <c r="D56" s="297"/>
      <c r="E56" s="418"/>
      <c r="F56" s="174"/>
      <c r="G56" s="397"/>
      <c r="H56" s="400"/>
      <c r="I56" s="425"/>
      <c r="J56" s="299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J1:K1"/>
    <mergeCell ref="A3:K3"/>
    <mergeCell ref="D4:E4"/>
    <mergeCell ref="H6:H9"/>
    <mergeCell ref="C8:D9"/>
    <mergeCell ref="E8:F8"/>
    <mergeCell ref="I8:J8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A35:B35"/>
    <mergeCell ref="B38:B42"/>
    <mergeCell ref="A43:B43"/>
    <mergeCell ref="E43:F43"/>
    <mergeCell ref="H44:H47"/>
    <mergeCell ref="C46:D48"/>
    <mergeCell ref="E46:F46"/>
    <mergeCell ref="C54:D54"/>
    <mergeCell ref="A56:C56"/>
    <mergeCell ref="I46:J46"/>
    <mergeCell ref="A49:B49"/>
    <mergeCell ref="C50:D50"/>
    <mergeCell ref="C51:D51"/>
    <mergeCell ref="C52:D52"/>
    <mergeCell ref="C53:D5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265</v>
      </c>
      <c r="K1" s="821"/>
    </row>
    <row r="2" spans="1:17" ht="6.75" customHeight="1" x14ac:dyDescent="0.2"/>
    <row r="3" spans="1:17" ht="30" customHeight="1" x14ac:dyDescent="0.2">
      <c r="A3" s="829" t="s">
        <v>229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Červen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Červen</v>
      </c>
      <c r="F7" s="265">
        <f>F4</f>
        <v>2015</v>
      </c>
      <c r="G7" s="265"/>
      <c r="H7" s="832"/>
      <c r="I7" s="280" t="str">
        <f>D4</f>
        <v>Červen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230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INDEX([2]Kraje!B3:AK3,1,3*T!$A$4-2)</f>
        <v>117</v>
      </c>
      <c r="E11" s="96">
        <f>INDEX([2]Kraje!C3:AL3,1,3*T!$A$4-2)</f>
        <v>7681.5380000000005</v>
      </c>
      <c r="F11" s="96">
        <f>INDEX([2]Kraje!D3:AM3,1,3*T!$A$4-2)</f>
        <v>81935.179999999993</v>
      </c>
      <c r="G11" s="334">
        <f>E11/$E$15</f>
        <v>0.7866420111965492</v>
      </c>
      <c r="H11" s="316">
        <f>(E11-I11)/I11</f>
        <v>0.24079712360694705</v>
      </c>
      <c r="I11" s="283">
        <f>INDEX([4]Kraje!C3:AL3,1,3*T!$A$4-2)</f>
        <v>6190.8090000000002</v>
      </c>
      <c r="J11" s="96">
        <f>INDEX([4]Kraje!D3:AM3,1,3*T!$A$4-2)</f>
        <v>65771.607999999993</v>
      </c>
      <c r="K11" s="352">
        <f>I11/$I$15</f>
        <v>0.66569298939460608</v>
      </c>
    </row>
    <row r="12" spans="1:17" ht="14.1" customHeight="1" x14ac:dyDescent="0.2">
      <c r="A12" s="95"/>
      <c r="B12" s="95"/>
      <c r="C12" s="257" t="s">
        <v>7</v>
      </c>
      <c r="D12" s="245">
        <f>INDEX([2]Kraje!B4:AK4,1,3*T!$A$4-2)</f>
        <v>310</v>
      </c>
      <c r="E12" s="96">
        <f>INDEX([2]Kraje!C4:AL4,1,3*T!$A$4-2)</f>
        <v>383.66899999999998</v>
      </c>
      <c r="F12" s="96">
        <f>INDEX([2]Kraje!D4:AM4,1,3*T!$A$4-2)</f>
        <v>4094.1061100000002</v>
      </c>
      <c r="G12" s="334">
        <f>E12/$E$15</f>
        <v>3.9290328810944998E-2</v>
      </c>
      <c r="H12" s="316">
        <f>(E12-I12)/I12</f>
        <v>-0.68116087759726962</v>
      </c>
      <c r="I12" s="283">
        <f>INDEX([4]Kraje!C4:AL4,1,3*T!$A$4-2)</f>
        <v>1203.3310000000001</v>
      </c>
      <c r="J12" s="96">
        <f>INDEX([4]Kraje!D4:AM4,1,3*T!$A$4-2)</f>
        <v>12785.172583</v>
      </c>
      <c r="K12" s="352">
        <f>I12/$I$15</f>
        <v>0.12939326841147913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INDEX([2]Kraje!B5:AK5,1,3*T!$A$4-2)</f>
        <v>7266</v>
      </c>
      <c r="E13" s="96">
        <f>INDEX([2]Kraje!C5:AL5,1,3*T!$A$4-2)</f>
        <v>548.90505200000007</v>
      </c>
      <c r="F13" s="96">
        <f>INDEX([2]Kraje!D5:AM5,1,3*T!$A$4-2)</f>
        <v>5857.5728280000003</v>
      </c>
      <c r="G13" s="334">
        <f>E13/$E$15</f>
        <v>5.6211630283053531E-2</v>
      </c>
      <c r="H13" s="316">
        <f t="shared" ref="H13:H15" si="0">(E13-I13)/I13</f>
        <v>-0.10572133791745456</v>
      </c>
      <c r="I13" s="283">
        <f>INDEX([4]Kraje!C5:AL5,1,3*T!$A$4-2)</f>
        <v>613.79643199999998</v>
      </c>
      <c r="J13" s="96">
        <f>INDEX([4]Kraje!D5:AM5,1,3*T!$A$4-2)</f>
        <v>6520.7969220000004</v>
      </c>
      <c r="K13" s="352">
        <f>I13/$I$15</f>
        <v>6.6001064109363253E-2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INDEX([2]Kraje!B6:AK6,1,3*T!$A$4-2)</f>
        <v>99713</v>
      </c>
      <c r="E14" s="96">
        <f>INDEX([2]Kraje!C6:AL6,1,3*T!$A$4-2)</f>
        <v>1150.860948</v>
      </c>
      <c r="F14" s="96">
        <f>INDEX([2]Kraje!D6:AM6,1,3*T!$A$4-2)</f>
        <v>12280.801171999999</v>
      </c>
      <c r="G14" s="334">
        <f>E14/$E$15</f>
        <v>0.11785602970945235</v>
      </c>
      <c r="H14" s="316">
        <f t="shared" si="0"/>
        <v>-0.10914392205825259</v>
      </c>
      <c r="I14" s="283">
        <f>INDEX([4]Kraje!C6:AL6,1,3*T!$A$4-2)</f>
        <v>1291.8595679999999</v>
      </c>
      <c r="J14" s="96">
        <f>INDEX([4]Kraje!D6:AM6,1,3*T!$A$4-2)</f>
        <v>13725.204078000001</v>
      </c>
      <c r="K14" s="352">
        <f>I14/$I$15</f>
        <v>0.13891267808455152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107406</v>
      </c>
      <c r="E15" s="251">
        <f>SUM(E11:E14)</f>
        <v>9764.973</v>
      </c>
      <c r="F15" s="252">
        <f>SUM(F11:F14)</f>
        <v>104167.66011</v>
      </c>
      <c r="G15" s="336">
        <f>SUM(G11:G14)</f>
        <v>1</v>
      </c>
      <c r="H15" s="318">
        <f t="shared" si="0"/>
        <v>5.0020129473807774E-2</v>
      </c>
      <c r="I15" s="286">
        <f>SUM(I11:I14)</f>
        <v>9299.7960000000003</v>
      </c>
      <c r="J15" s="252">
        <f>SUM(J11:J14)</f>
        <v>98802.781582999974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21" ht="12.95" customHeight="1" x14ac:dyDescent="0.2">
      <c r="A17" s="834" t="s">
        <v>231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21" ht="14.1" customHeight="1" x14ac:dyDescent="0.2">
      <c r="A18" s="95"/>
      <c r="B18" s="95"/>
      <c r="C18" s="257" t="s">
        <v>6</v>
      </c>
      <c r="D18" s="245">
        <f>INDEX([2]Kraje!B9:AK9,1,3*T!$A$4-2)</f>
        <v>190</v>
      </c>
      <c r="E18" s="96">
        <f>INDEX([2]Kraje!C9:AL9,1,3*T!$A$4-2)</f>
        <v>18522.3</v>
      </c>
      <c r="F18" s="96">
        <f>INDEX([2]Kraje!D9:AM9,1,3*T!$A$4-2)</f>
        <v>198473.52802000006</v>
      </c>
      <c r="G18" s="334">
        <f>E18/$E$22</f>
        <v>0.58998926556731623</v>
      </c>
      <c r="H18" s="316">
        <f>(E18-I18)/I18</f>
        <v>3.5812749204502753E-2</v>
      </c>
      <c r="I18" s="283">
        <f>INDEX([4]Kraje!C9:AL9,1,3*T!$A$4-2)</f>
        <v>17881.900000000001</v>
      </c>
      <c r="J18" s="96">
        <f>INDEX([4]Kraje!D9:AM9,1,3*T!$A$4-2)</f>
        <v>190408.27622699999</v>
      </c>
      <c r="K18" s="352">
        <f>I18/$I$22</f>
        <v>0.60333757334260063</v>
      </c>
      <c r="L18" s="284"/>
      <c r="M18" s="284"/>
      <c r="N18" s="284"/>
    </row>
    <row r="19" spans="1:21" ht="14.1" customHeight="1" x14ac:dyDescent="0.2">
      <c r="A19" s="95"/>
      <c r="B19" s="95"/>
      <c r="C19" s="257" t="s">
        <v>7</v>
      </c>
      <c r="D19" s="245">
        <f>INDEX([2]Kraje!B10:AK10,1,3*T!$A$4-2)</f>
        <v>929</v>
      </c>
      <c r="E19" s="96">
        <f>INDEX([2]Kraje!C10:AL10,1,3*T!$A$4-2)</f>
        <v>4084.4</v>
      </c>
      <c r="F19" s="96">
        <f>INDEX([2]Kraje!D10:AM10,1,3*T!$A$4-2)</f>
        <v>43765.689899999932</v>
      </c>
      <c r="G19" s="334">
        <f t="shared" ref="G19:G20" si="1">E19/$E$22</f>
        <v>0.13010005000907807</v>
      </c>
      <c r="H19" s="316">
        <f>(E19-I19)/I19</f>
        <v>8.7057195326431192E-2</v>
      </c>
      <c r="I19" s="283">
        <f>INDEX([4]Kraje!C10:AL10,1,3*T!$A$4-2)</f>
        <v>3757.3</v>
      </c>
      <c r="J19" s="96">
        <f>INDEX([4]Kraje!D10:AM10,1,3*T!$A$4-2)</f>
        <v>40007.593535999986</v>
      </c>
      <c r="K19" s="352">
        <f t="shared" ref="K19:K21" si="2">I19/$I$22</f>
        <v>0.12677177840834325</v>
      </c>
      <c r="L19" s="287"/>
      <c r="M19" s="287"/>
      <c r="N19" s="284"/>
    </row>
    <row r="20" spans="1:21" ht="14.1" customHeight="1" x14ac:dyDescent="0.2">
      <c r="A20" s="292"/>
      <c r="B20" s="268"/>
      <c r="C20" s="257" t="s">
        <v>8</v>
      </c>
      <c r="D20" s="245">
        <f>INDEX([2]Kraje!B11:AK11,1,3*T!$A$4-2)</f>
        <v>23822</v>
      </c>
      <c r="E20" s="96">
        <f>INDEX([2]Kraje!C11:AL11,1,3*T!$A$4-2)</f>
        <v>2354</v>
      </c>
      <c r="F20" s="96">
        <f>INDEX([2]Kraje!D11:AM11,1,3*T!$A$4-2)</f>
        <v>25224</v>
      </c>
      <c r="G20" s="334">
        <f t="shared" si="1"/>
        <v>7.4981764205604193E-2</v>
      </c>
      <c r="H20" s="316">
        <f t="shared" ref="H20:H22" si="3">(E20-I20)/I20</f>
        <v>8.7046871392288158E-2</v>
      </c>
      <c r="I20" s="283">
        <f>INDEX([4]Kraje!C11:AL11,1,3*T!$A$4-2)</f>
        <v>2165.5</v>
      </c>
      <c r="J20" s="96">
        <f>INDEX([4]Kraje!D11:AM11,1,3*T!$A$4-2)</f>
        <v>23058.2</v>
      </c>
      <c r="K20" s="352">
        <f>I20/$I$22</f>
        <v>7.3064244575431106E-2</v>
      </c>
      <c r="L20" s="284"/>
      <c r="M20" s="284"/>
      <c r="N20" s="284"/>
      <c r="O20" s="284"/>
      <c r="P20" s="284"/>
    </row>
    <row r="21" spans="1:21" ht="14.1" customHeight="1" x14ac:dyDescent="0.2">
      <c r="A21" s="292"/>
      <c r="B21" s="268"/>
      <c r="C21" s="257" t="s">
        <v>9</v>
      </c>
      <c r="D21" s="245">
        <f>INDEX([2]Kraje!B12:AK12,1,3*T!$A$4-2)</f>
        <v>361549</v>
      </c>
      <c r="E21" s="96">
        <f>INDEX([2]Kraje!C12:AL12,1,3*T!$A$4-2)</f>
        <v>6433.6</v>
      </c>
      <c r="F21" s="96">
        <f>INDEX([2]Kraje!D12:AM12,1,3*T!$A$4-2)</f>
        <v>68938</v>
      </c>
      <c r="G21" s="334">
        <f>E21/$E$22</f>
        <v>0.20492892021800135</v>
      </c>
      <c r="H21" s="316">
        <f t="shared" si="3"/>
        <v>0.10285244103126713</v>
      </c>
      <c r="I21" s="283">
        <f>INDEX([4]Kraje!C12:AL12,1,3*T!$A$4-2)</f>
        <v>5833.6</v>
      </c>
      <c r="J21" s="96">
        <f>INDEX([4]Kraje!D12:AM12,1,3*T!$A$4-2)</f>
        <v>62116.7</v>
      </c>
      <c r="K21" s="352">
        <f t="shared" si="2"/>
        <v>0.196826403673625</v>
      </c>
      <c r="L21" s="284"/>
      <c r="M21" s="284"/>
      <c r="N21" s="284"/>
      <c r="O21" s="284"/>
      <c r="P21" s="284"/>
    </row>
    <row r="22" spans="1:21" ht="14.1" customHeight="1" x14ac:dyDescent="0.2">
      <c r="A22" s="292"/>
      <c r="B22" s="268"/>
      <c r="C22" s="259" t="s">
        <v>2</v>
      </c>
      <c r="D22" s="253">
        <f>SUM(D18:D21)</f>
        <v>386490</v>
      </c>
      <c r="E22" s="251">
        <f>SUM(E18:E21)</f>
        <v>31394.300000000003</v>
      </c>
      <c r="F22" s="252">
        <f>SUM(F18:F21)</f>
        <v>336401.21791999997</v>
      </c>
      <c r="G22" s="336">
        <f>SUM(G18:G21)</f>
        <v>0.99999999999999989</v>
      </c>
      <c r="H22" s="318">
        <f t="shared" si="3"/>
        <v>5.9247662652716242E-2</v>
      </c>
      <c r="I22" s="286">
        <f>SUM(I18:I21)</f>
        <v>29638.300000000003</v>
      </c>
      <c r="J22" s="252">
        <f>SUM(J18:J21)</f>
        <v>315590.76976300002</v>
      </c>
      <c r="K22" s="354">
        <f>SUM(K18:K21)</f>
        <v>1</v>
      </c>
      <c r="L22" s="284"/>
      <c r="M22" s="284"/>
      <c r="N22" s="284"/>
      <c r="O22" s="284"/>
      <c r="P22" s="284"/>
    </row>
    <row r="23" spans="1:21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21" ht="12.95" customHeight="1" x14ac:dyDescent="0.2">
      <c r="A24" s="834" t="s">
        <v>232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21" ht="14.1" customHeight="1" x14ac:dyDescent="0.2">
      <c r="A25" s="95"/>
      <c r="B25" s="95"/>
      <c r="C25" s="257" t="s">
        <v>6</v>
      </c>
      <c r="D25" s="245">
        <f>INDEX([2]Kraje!B15:AK15,1,3*T!$A$4-2)</f>
        <v>50</v>
      </c>
      <c r="E25" s="96">
        <f>INDEX([2]Kraje!C15:AL15,1,3*T!$A$4-2)</f>
        <v>7098.6</v>
      </c>
      <c r="F25" s="96">
        <f>INDEX([2]Kraje!D15:AM15,1,3*T!$A$4-2)</f>
        <v>76064.390179999973</v>
      </c>
      <c r="G25" s="334">
        <f>E25/$E$29</f>
        <v>0.75720015360327686</v>
      </c>
      <c r="H25" s="316">
        <f>(E25-I25)/I25</f>
        <v>-0.14748940156364468</v>
      </c>
      <c r="I25" s="283">
        <f>INDEX([4]Kraje!C15:AL15,1,3*T!$A$4-2)</f>
        <v>8326.7000000000007</v>
      </c>
      <c r="J25" s="96">
        <f>INDEX([4]Kraje!D15:AM15,1,3*T!$A$4-2)</f>
        <v>88663.202013999995</v>
      </c>
      <c r="K25" s="352">
        <f>I25/$I$29</f>
        <v>0.80762553224508016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7" t="s">
        <v>7</v>
      </c>
      <c r="D26" s="245">
        <f>INDEX([2]Kraje!B16:AK16,1,3*T!$A$4-2)</f>
        <v>192</v>
      </c>
      <c r="E26" s="96">
        <f>INDEX([2]Kraje!C16:AL16,1,3*T!$A$4-2)</f>
        <v>919.3</v>
      </c>
      <c r="F26" s="96">
        <f>INDEX([2]Kraje!D16:AM16,1,3*T!$A$4-2)</f>
        <v>9851.0683600000011</v>
      </c>
      <c r="G26" s="334">
        <f t="shared" ref="G26:G28" si="4">E26/$E$29</f>
        <v>9.8060758629517408E-2</v>
      </c>
      <c r="H26" s="316">
        <f t="shared" ref="H26:H29" si="5">(E26-I26)/I26</f>
        <v>0.25828086504243075</v>
      </c>
      <c r="I26" s="283">
        <f>INDEX([4]Kraje!C16:AL16,1,3*T!$A$4-2)</f>
        <v>730.6</v>
      </c>
      <c r="J26" s="96">
        <f>INDEX([4]Kraje!D16:AM16,1,3*T!$A$4-2)</f>
        <v>7780.0178989999995</v>
      </c>
      <c r="K26" s="352">
        <f t="shared" ref="K26:K27" si="6">I26/$I$29</f>
        <v>7.0862552254585306E-2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2"/>
      <c r="B27" s="268"/>
      <c r="C27" s="257" t="s">
        <v>8</v>
      </c>
      <c r="D27" s="245">
        <f>INDEX([2]Kraje!B17:AK17,1,3*T!$A$4-2)</f>
        <v>5976</v>
      </c>
      <c r="E27" s="96">
        <f>INDEX([2]Kraje!C17:AL17,1,3*T!$A$4-2)</f>
        <v>565.20000000000005</v>
      </c>
      <c r="F27" s="96">
        <f>INDEX([2]Kraje!D17:AM17,1,3*T!$A$4-2)</f>
        <v>6055.9</v>
      </c>
      <c r="G27" s="334">
        <f t="shared" si="4"/>
        <v>6.0289286171438319E-2</v>
      </c>
      <c r="H27" s="316">
        <f t="shared" si="5"/>
        <v>7.0454545454545547E-2</v>
      </c>
      <c r="I27" s="283">
        <f>INDEX([4]Kraje!C17:AL17,1,3*T!$A$4-2)</f>
        <v>528</v>
      </c>
      <c r="J27" s="96">
        <f>INDEX([4]Kraje!D17:AM17,1,3*T!$A$4-2)</f>
        <v>5621.7</v>
      </c>
      <c r="K27" s="352">
        <f t="shared" si="6"/>
        <v>5.1211918410102711E-2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2"/>
      <c r="B28" s="268"/>
      <c r="C28" s="257" t="s">
        <v>9</v>
      </c>
      <c r="D28" s="245">
        <f>INDEX([2]Kraje!B18:AK18,1,3*T!$A$4-2)</f>
        <v>79911</v>
      </c>
      <c r="E28" s="96">
        <f>INDEX([2]Kraje!C18:AL18,1,3*T!$A$4-2)</f>
        <v>791.7</v>
      </c>
      <c r="F28" s="96">
        <f>INDEX([2]Kraje!D18:AM18,1,3*T!$A$4-2)</f>
        <v>8483.7999999999993</v>
      </c>
      <c r="G28" s="334">
        <f t="shared" si="4"/>
        <v>8.4449801595767371E-2</v>
      </c>
      <c r="H28" s="316">
        <f t="shared" si="5"/>
        <v>9.2301324503311383E-2</v>
      </c>
      <c r="I28" s="283">
        <f>INDEX([4]Kraje!C18:AL18,1,3*T!$A$4-2)</f>
        <v>724.8</v>
      </c>
      <c r="J28" s="96">
        <f>INDEX([4]Kraje!D18:AM18,1,3*T!$A$4-2)</f>
        <v>7718.2</v>
      </c>
      <c r="K28" s="352">
        <f>I28/$I$29</f>
        <v>7.0299997090231908E-2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2"/>
      <c r="B29" s="268"/>
      <c r="C29" s="259" t="s">
        <v>2</v>
      </c>
      <c r="D29" s="253">
        <f>SUM(D25:D28)</f>
        <v>86129</v>
      </c>
      <c r="E29" s="251">
        <f>SUM(E25:E28)</f>
        <v>9374.8000000000011</v>
      </c>
      <c r="F29" s="252">
        <f>SUM(F25:F28)</f>
        <v>100455.15853999997</v>
      </c>
      <c r="G29" s="336">
        <f>SUM(G25:G28)</f>
        <v>1</v>
      </c>
      <c r="H29" s="318">
        <f t="shared" si="5"/>
        <v>-9.0716869865471644E-2</v>
      </c>
      <c r="I29" s="286">
        <f>SUM(I25:I28)</f>
        <v>10310.1</v>
      </c>
      <c r="J29" s="252">
        <f>SUM(J25:J28)</f>
        <v>109783.11991299999</v>
      </c>
      <c r="K29" s="354">
        <f>SUM(K25:K28)</f>
        <v>1</v>
      </c>
    </row>
    <row r="30" spans="1:21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21" ht="12.95" customHeight="1" x14ac:dyDescent="0.2">
      <c r="A31" s="834" t="s">
        <v>233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21" ht="14.1" customHeight="1" x14ac:dyDescent="0.2">
      <c r="A32" s="95"/>
      <c r="B32" s="95"/>
      <c r="C32" s="257" t="s">
        <v>6</v>
      </c>
      <c r="D32" s="245">
        <f>INDEX([2]Kraje!B21:AK21,1,3*T!$A$4-2)</f>
        <v>81</v>
      </c>
      <c r="E32" s="96">
        <f>INDEX([2]Kraje!C21:AL21,1,3*T!$A$4-2)</f>
        <v>8427.2000000000007</v>
      </c>
      <c r="F32" s="96">
        <f>INDEX([2]Kraje!D21:AM21,1,3*T!$A$4-2)</f>
        <v>90300.002800000002</v>
      </c>
      <c r="G32" s="334">
        <f>E32/$E$36</f>
        <v>0.69205879937587256</v>
      </c>
      <c r="H32" s="316">
        <f>(E32-I32)/I32</f>
        <v>-2.5407949669823741E-2</v>
      </c>
      <c r="I32" s="283">
        <f>INDEX([4]Kraje!C21:AL21,1,3*T!$A$4-2)</f>
        <v>8646.9</v>
      </c>
      <c r="J32" s="96">
        <f>INDEX([4]Kraje!D21:AM21,1,3*T!$A$4-2)</f>
        <v>92072.988341000004</v>
      </c>
      <c r="K32" s="352">
        <f>I32/$I$36</f>
        <v>0.70470159653798192</v>
      </c>
    </row>
    <row r="33" spans="1:11" ht="14.1" customHeight="1" x14ac:dyDescent="0.2">
      <c r="A33" s="95"/>
      <c r="B33" s="95"/>
      <c r="C33" s="257" t="s">
        <v>7</v>
      </c>
      <c r="D33" s="245">
        <f>INDEX([2]Kraje!B22:AK22,1,3*T!$A$4-2)</f>
        <v>256</v>
      </c>
      <c r="E33" s="96">
        <f>INDEX([2]Kraje!C22:AL22,1,3*T!$A$4-2)</f>
        <v>1160.2</v>
      </c>
      <c r="F33" s="96">
        <f>INDEX([2]Kraje!D22:AM22,1,3*T!$A$4-2)</f>
        <v>12432.405669999998</v>
      </c>
      <c r="G33" s="334">
        <f t="shared" ref="G33:G35" si="7">E33/$E$36</f>
        <v>9.5277983082861131E-2</v>
      </c>
      <c r="H33" s="316">
        <f t="shared" ref="H33:H36" si="8">(E33-I33)/I33</f>
        <v>3.4138515019163873E-2</v>
      </c>
      <c r="I33" s="283">
        <f>INDEX([4]Kraje!C22:AL22,1,3*T!$A$4-2)</f>
        <v>1121.9000000000001</v>
      </c>
      <c r="J33" s="96">
        <f>INDEX([4]Kraje!D22:AM22,1,3*T!$A$4-2)</f>
        <v>11945.664476000004</v>
      </c>
      <c r="K33" s="352">
        <f t="shared" ref="K33:K35" si="9">I33/$I$36</f>
        <v>9.1432157322966848E-2</v>
      </c>
    </row>
    <row r="34" spans="1:11" ht="14.1" customHeight="1" x14ac:dyDescent="0.2">
      <c r="A34" s="292"/>
      <c r="B34" s="268"/>
      <c r="C34" s="257" t="s">
        <v>8</v>
      </c>
      <c r="D34" s="245">
        <f>INDEX([2]Kraje!B23:AK23,1,3*T!$A$4-2)</f>
        <v>9410</v>
      </c>
      <c r="E34" s="96">
        <f>INDEX([2]Kraje!C23:AL23,1,3*T!$A$4-2)</f>
        <v>886.8</v>
      </c>
      <c r="F34" s="96">
        <f>INDEX([2]Kraje!D23:AM23,1,3*T!$A$4-2)</f>
        <v>9502.6</v>
      </c>
      <c r="G34" s="334">
        <f t="shared" si="7"/>
        <v>7.2825819167282577E-2</v>
      </c>
      <c r="H34" s="316">
        <f t="shared" si="8"/>
        <v>1.9076074465639976E-2</v>
      </c>
      <c r="I34" s="283">
        <f>INDEX([4]Kraje!C23:AL23,1,3*T!$A$4-2)</f>
        <v>870.2</v>
      </c>
      <c r="J34" s="96">
        <f>INDEX([4]Kraje!D23:AM23,1,3*T!$A$4-2)</f>
        <v>9265.7999999999993</v>
      </c>
      <c r="K34" s="352">
        <f t="shared" si="9"/>
        <v>7.0919211429223417E-2</v>
      </c>
    </row>
    <row r="35" spans="1:11" ht="14.1" customHeight="1" x14ac:dyDescent="0.2">
      <c r="A35" s="292"/>
      <c r="B35" s="268"/>
      <c r="C35" s="257" t="s">
        <v>9</v>
      </c>
      <c r="D35" s="245">
        <f>INDEX([2]Kraje!B24:AK24,1,3*T!$A$4-2)</f>
        <v>108757</v>
      </c>
      <c r="E35" s="96">
        <f>INDEX([2]Kraje!C24:AL24,1,3*T!$A$4-2)</f>
        <v>1702.8</v>
      </c>
      <c r="F35" s="96">
        <f>INDEX([2]Kraje!D24:AM24,1,3*T!$A$4-2)</f>
        <v>18245.7</v>
      </c>
      <c r="G35" s="334">
        <f t="shared" si="7"/>
        <v>0.13983739837398373</v>
      </c>
      <c r="H35" s="316">
        <f t="shared" si="8"/>
        <v>4.3830074173971681E-2</v>
      </c>
      <c r="I35" s="283">
        <f>INDEX([4]Kraje!C24:AL24,1,3*T!$A$4-2)</f>
        <v>1631.3</v>
      </c>
      <c r="J35" s="96">
        <f>INDEX([4]Kraje!D24:AM24,1,3*T!$A$4-2)</f>
        <v>17370.2</v>
      </c>
      <c r="K35" s="352">
        <f t="shared" si="9"/>
        <v>0.1329470347098278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118504</v>
      </c>
      <c r="E36" s="251">
        <f>SUM(E32:E35)</f>
        <v>12177</v>
      </c>
      <c r="F36" s="252">
        <f>SUM(F32:F35)</f>
        <v>130480.70847</v>
      </c>
      <c r="G36" s="336">
        <f>SUM(G32:G35)</f>
        <v>1</v>
      </c>
      <c r="H36" s="318">
        <f t="shared" si="8"/>
        <v>-7.6037260702671722E-3</v>
      </c>
      <c r="I36" s="286">
        <f>SUM(I32:I35)</f>
        <v>12270.3</v>
      </c>
      <c r="J36" s="252">
        <f>SUM(J32:J35)</f>
        <v>130654.65281700001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234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INDEX([2]Kraje!B27:AK27,1,3*T!$A$4-2)</f>
        <v>93</v>
      </c>
      <c r="E39" s="96">
        <f>INDEX([2]Kraje!C27:AL27,1,3*T!$A$4-2)</f>
        <v>8580.2999999999993</v>
      </c>
      <c r="F39" s="96">
        <f>INDEX([2]Kraje!D27:AM27,1,3*T!$A$4-2)</f>
        <v>91941.500140000004</v>
      </c>
      <c r="G39" s="334">
        <f>E39/$E$43</f>
        <v>0.69472175666156577</v>
      </c>
      <c r="H39" s="316">
        <f>(E39-I39)/I39</f>
        <v>3.6493440603029462E-2</v>
      </c>
      <c r="I39" s="283">
        <f>INDEX([4]Kraje!C27:AL27,1,3*T!$A$4-2)</f>
        <v>8278.2000000000007</v>
      </c>
      <c r="J39" s="96">
        <f>INDEX([4]Kraje!D27:AM27,1,3*T!$A$4-2)</f>
        <v>88146.727846999987</v>
      </c>
      <c r="K39" s="352">
        <f>I39/$I$43</f>
        <v>0.71566771273698682</v>
      </c>
    </row>
    <row r="40" spans="1:11" ht="14.1" customHeight="1" x14ac:dyDescent="0.2">
      <c r="A40" s="95"/>
      <c r="B40" s="95"/>
      <c r="C40" s="257" t="s">
        <v>7</v>
      </c>
      <c r="D40" s="245">
        <f>INDEX([2]Kraje!B28:AK28,1,3*T!$A$4-2)</f>
        <v>303</v>
      </c>
      <c r="E40" s="96">
        <f>INDEX([2]Kraje!C28:AL28,1,3*T!$A$4-2)</f>
        <v>1597.9</v>
      </c>
      <c r="F40" s="96">
        <f>INDEX([2]Kraje!D28:AM28,1,3*T!$A$4-2)</f>
        <v>17122.144990000004</v>
      </c>
      <c r="G40" s="334">
        <f>E40/$E$43</f>
        <v>0.12937728225930517</v>
      </c>
      <c r="H40" s="316">
        <f t="shared" ref="H40:H43" si="10">(E40-I40)/I40</f>
        <v>0.22877576130421406</v>
      </c>
      <c r="I40" s="283">
        <f>INDEX([4]Kraje!C28:AL28,1,3*T!$A$4-2)</f>
        <v>1300.4000000000001</v>
      </c>
      <c r="J40" s="96">
        <f>INDEX([4]Kraje!D28:AM28,1,3*T!$A$4-2)</f>
        <v>13846.477171</v>
      </c>
      <c r="K40" s="352">
        <f t="shared" ref="K40:K41" si="11">I40/$I$43</f>
        <v>0.11242230118180011</v>
      </c>
    </row>
    <row r="41" spans="1:11" ht="14.1" customHeight="1" x14ac:dyDescent="0.2">
      <c r="A41" s="292"/>
      <c r="B41" s="268"/>
      <c r="C41" s="257" t="s">
        <v>8</v>
      </c>
      <c r="D41" s="245">
        <f>INDEX([2]Kraje!B29:AK29,1,3*T!$A$4-2)</f>
        <v>8532</v>
      </c>
      <c r="E41" s="96">
        <f>INDEX([2]Kraje!C29:AL29,1,3*T!$A$4-2)</f>
        <v>880.9</v>
      </c>
      <c r="F41" s="96">
        <f>INDEX([2]Kraje!D29:AM29,1,3*T!$A$4-2)</f>
        <v>9438.9</v>
      </c>
      <c r="G41" s="334">
        <f t="shared" ref="G41:G42" si="12">E41/$E$43</f>
        <v>7.132389257289061E-2</v>
      </c>
      <c r="H41" s="316">
        <f t="shared" si="10"/>
        <v>0.13095390935935294</v>
      </c>
      <c r="I41" s="283">
        <f>INDEX([4]Kraje!C29:AL29,1,3*T!$A$4-2)</f>
        <v>778.9</v>
      </c>
      <c r="J41" s="96">
        <f>INDEX([4]Kraje!D29:AM29,1,3*T!$A$4-2)</f>
        <v>8293.5</v>
      </c>
      <c r="K41" s="352">
        <f t="shared" si="11"/>
        <v>6.7337534905032373E-2</v>
      </c>
    </row>
    <row r="42" spans="1:11" ht="14.1" customHeight="1" x14ac:dyDescent="0.2">
      <c r="A42" s="292"/>
      <c r="B42" s="268"/>
      <c r="C42" s="257" t="s">
        <v>9</v>
      </c>
      <c r="D42" s="245">
        <f>INDEX([2]Kraje!B30:AK30,1,3*T!$A$4-2)</f>
        <v>83691</v>
      </c>
      <c r="E42" s="96">
        <f>INDEX([2]Kraje!C30:AL30,1,3*T!$A$4-2)</f>
        <v>1291.5999999999999</v>
      </c>
      <c r="F42" s="96">
        <f>INDEX([2]Kraje!D30:AM30,1,3*T!$A$4-2)</f>
        <v>13839.5</v>
      </c>
      <c r="G42" s="334">
        <f t="shared" si="12"/>
        <v>0.10457706850623852</v>
      </c>
      <c r="H42" s="316">
        <f t="shared" si="10"/>
        <v>6.7791005291005291E-2</v>
      </c>
      <c r="I42" s="283">
        <f>INDEX([4]Kraje!C30:AL30,1,3*T!$A$4-2)</f>
        <v>1209.5999999999999</v>
      </c>
      <c r="J42" s="96">
        <f>INDEX([4]Kraje!D30:AM30,1,3*T!$A$4-2)</f>
        <v>12879.6</v>
      </c>
      <c r="K42" s="352">
        <f>I42/$I$43</f>
        <v>0.10457245117618071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92619</v>
      </c>
      <c r="E43" s="251">
        <f>SUM(E39:E42)</f>
        <v>12350.699999999999</v>
      </c>
      <c r="F43" s="252">
        <f>SUM(F39:F42)</f>
        <v>132342.04512999998</v>
      </c>
      <c r="G43" s="336">
        <f>SUM(G39:G42)</f>
        <v>1</v>
      </c>
      <c r="H43" s="318">
        <f t="shared" si="10"/>
        <v>6.7743859740124882E-2</v>
      </c>
      <c r="I43" s="286">
        <f>SUM(I39:I42)</f>
        <v>11567.1</v>
      </c>
      <c r="J43" s="252">
        <f>SUM(J39:J42)</f>
        <v>123166.305018</v>
      </c>
      <c r="K43" s="354">
        <f>SUM(K39:K42)</f>
        <v>1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235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INDEX([2]Kraje!B33:AK33,1,3*T!$A$4-2)</f>
        <v>132</v>
      </c>
      <c r="E46" s="96">
        <f>INDEX([2]Kraje!C33:AL33,1,3*T!$A$4-2)</f>
        <v>38374</v>
      </c>
      <c r="F46" s="96">
        <f>INDEX([2]Kraje!D33:AM33,1,3*T!$A$4-2)</f>
        <v>411012.29661999986</v>
      </c>
      <c r="G46" s="334">
        <f>E46/$E$50</f>
        <v>0.83076752081319005</v>
      </c>
      <c r="H46" s="316">
        <f>(E46-I46)/I46</f>
        <v>9.190758024129296E-2</v>
      </c>
      <c r="I46" s="283">
        <f>INDEX([4]Kraje!C33:AL33,1,3*T!$A$4-2)</f>
        <v>35144</v>
      </c>
      <c r="J46" s="96">
        <f>INDEX([4]Kraje!D33:AM33,1,3*T!$A$4-2)</f>
        <v>374101.91829200002</v>
      </c>
      <c r="K46" s="352">
        <f>I46/$I$50</f>
        <v>0.82404392474882648</v>
      </c>
    </row>
    <row r="47" spans="1:11" ht="14.1" customHeight="1" x14ac:dyDescent="0.2">
      <c r="A47" s="95"/>
      <c r="B47" s="95"/>
      <c r="C47" s="257" t="s">
        <v>7</v>
      </c>
      <c r="D47" s="245">
        <f>INDEX([2]Kraje!B34:AK34,1,3*T!$A$4-2)</f>
        <v>481</v>
      </c>
      <c r="E47" s="96">
        <f>INDEX([2]Kraje!C34:AL34,1,3*T!$A$4-2)</f>
        <v>2385.4</v>
      </c>
      <c r="F47" s="96">
        <f>INDEX([2]Kraje!D34:AM34,1,3*T!$A$4-2)</f>
        <v>25542.542700000009</v>
      </c>
      <c r="G47" s="334">
        <f t="shared" ref="G47:G49" si="13">E47/$E$50</f>
        <v>5.1642071302126016E-2</v>
      </c>
      <c r="H47" s="316">
        <f t="shared" ref="H47:H50" si="14">(E47-I47)/I47</f>
        <v>4.8757968784348252E-2</v>
      </c>
      <c r="I47" s="283">
        <f>INDEX([4]Kraje!C34:AL34,1,3*T!$A$4-2)</f>
        <v>2274.5</v>
      </c>
      <c r="J47" s="96">
        <f>INDEX([4]Kraje!D34:AM34,1,3*T!$A$4-2)</f>
        <v>24207.988667000023</v>
      </c>
      <c r="K47" s="352">
        <f t="shared" ref="K47:K49" si="15">I47/$I$50</f>
        <v>5.3331661360152681E-2</v>
      </c>
    </row>
    <row r="48" spans="1:11" ht="14.1" customHeight="1" x14ac:dyDescent="0.2">
      <c r="A48" s="292"/>
      <c r="B48" s="268"/>
      <c r="C48" s="257" t="s">
        <v>8</v>
      </c>
      <c r="D48" s="245">
        <f>INDEX([2]Kraje!B35:AK35,1,3*T!$A$4-2)</f>
        <v>18001</v>
      </c>
      <c r="E48" s="96">
        <f>INDEX([2]Kraje!C35:AL35,1,3*T!$A$4-2)</f>
        <v>1644.921</v>
      </c>
      <c r="F48" s="96">
        <f>INDEX([2]Kraje!D35:AM35,1,3*T!$A$4-2)</f>
        <v>17609.057000000001</v>
      </c>
      <c r="G48" s="334">
        <f t="shared" si="13"/>
        <v>3.5611271723134247E-2</v>
      </c>
      <c r="H48" s="316">
        <f t="shared" si="14"/>
        <v>3.2779937615840186E-2</v>
      </c>
      <c r="I48" s="283">
        <f>INDEX([4]Kraje!C35:AL35,1,3*T!$A$4-2)</f>
        <v>1592.712</v>
      </c>
      <c r="J48" s="96">
        <f>INDEX([4]Kraje!D35:AM35,1,3*T!$A$4-2)</f>
        <v>16964.23</v>
      </c>
      <c r="K48" s="352">
        <f t="shared" si="15"/>
        <v>3.7345340526819738E-2</v>
      </c>
    </row>
    <row r="49" spans="1:11" ht="14.1" customHeight="1" x14ac:dyDescent="0.2">
      <c r="A49" s="292"/>
      <c r="B49" s="268"/>
      <c r="C49" s="257" t="s">
        <v>9</v>
      </c>
      <c r="D49" s="245">
        <f>INDEX([2]Kraje!B36:AK36,1,3*T!$A$4-2)</f>
        <v>366799</v>
      </c>
      <c r="E49" s="96">
        <f>INDEX([2]Kraje!C36:AL36,1,3*T!$A$4-2)</f>
        <v>3786.7</v>
      </c>
      <c r="F49" s="96">
        <f>INDEX([2]Kraje!D36:AM36,1,3*T!$A$4-2)</f>
        <v>40576.300000000003</v>
      </c>
      <c r="G49" s="334">
        <f t="shared" si="13"/>
        <v>8.1979136161549657E-2</v>
      </c>
      <c r="H49" s="316">
        <f t="shared" si="14"/>
        <v>4.1160296948034046E-2</v>
      </c>
      <c r="I49" s="283">
        <f>INDEX([4]Kraje!C36:AL36,1,3*T!$A$4-2)</f>
        <v>3637</v>
      </c>
      <c r="J49" s="96">
        <f>INDEX([4]Kraje!D36:AM36,1,3*T!$A$4-2)</f>
        <v>38727.599999999999</v>
      </c>
      <c r="K49" s="352">
        <f t="shared" si="15"/>
        <v>8.5279073364201055E-2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385413</v>
      </c>
      <c r="E50" s="251">
        <f>SUM(E46:E49)</f>
        <v>46191.021000000001</v>
      </c>
      <c r="F50" s="252">
        <f>SUM(F46:F49)</f>
        <v>494740.19631999981</v>
      </c>
      <c r="G50" s="336">
        <f>SUM(G46:G49)</f>
        <v>1</v>
      </c>
      <c r="H50" s="318">
        <f t="shared" si="14"/>
        <v>8.3070516531853697E-2</v>
      </c>
      <c r="I50" s="286">
        <f>SUM(I46:I49)</f>
        <v>42648.212</v>
      </c>
      <c r="J50" s="252">
        <f>SUM(J46:J49)</f>
        <v>454001.736959</v>
      </c>
      <c r="K50" s="354">
        <f>SUM(K46:K49)</f>
        <v>0.99999999999999989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236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INDEX([2]Kraje!B39:AK39,1,3*T!$A$4-2)</f>
        <v>110</v>
      </c>
      <c r="E53" s="96">
        <f>INDEX([2]Kraje!C39:AL39,1,3*T!$A$4-2)</f>
        <v>11157.1</v>
      </c>
      <c r="F53" s="96">
        <f>INDEX([2]Kraje!D39:AM39,1,3*T!$A$4-2)</f>
        <v>119552.77320999998</v>
      </c>
      <c r="G53" s="334">
        <f>E53/$E$57</f>
        <v>0.68075097318998856</v>
      </c>
      <c r="H53" s="316">
        <f>(E53-I53)/I53</f>
        <v>2.6789987115774006E-2</v>
      </c>
      <c r="I53" s="283">
        <f>INDEX([4]Kraje!C39:AL39,1,3*T!$A$4-2)</f>
        <v>10866</v>
      </c>
      <c r="J53" s="96">
        <f>INDEX([4]Kraje!D39:AM39,1,3*T!$A$4-2)</f>
        <v>115701.574245</v>
      </c>
      <c r="K53" s="352">
        <f>I53/$I$57</f>
        <v>0.68433880628034849</v>
      </c>
    </row>
    <row r="54" spans="1:11" ht="14.1" customHeight="1" x14ac:dyDescent="0.2">
      <c r="A54" s="95"/>
      <c r="B54" s="95"/>
      <c r="C54" s="257" t="s">
        <v>7</v>
      </c>
      <c r="D54" s="245">
        <f>INDEX([2]Kraje!B40:AK40,1,3*T!$A$4-2)</f>
        <v>374</v>
      </c>
      <c r="E54" s="96">
        <f>INDEX([2]Kraje!C40:AL40,1,3*T!$A$4-2)</f>
        <v>1627.7</v>
      </c>
      <c r="F54" s="96">
        <f>INDEX([2]Kraje!D40:AM40,1,3*T!$A$4-2)</f>
        <v>17441.859720000011</v>
      </c>
      <c r="G54" s="334">
        <f>E54/$E$57</f>
        <v>9.9314190879470868E-2</v>
      </c>
      <c r="H54" s="316">
        <f t="shared" ref="H54:H57" si="16">(E54-I54)/I54</f>
        <v>5.2165481577246313E-2</v>
      </c>
      <c r="I54" s="283">
        <f>INDEX([4]Kraje!C40:AL40,1,3*T!$A$4-2)</f>
        <v>1547</v>
      </c>
      <c r="J54" s="96">
        <f>INDEX([4]Kraje!D40:AM40,1,3*T!$A$4-2)</f>
        <v>16472.368089</v>
      </c>
      <c r="K54" s="352">
        <f t="shared" ref="K54:K55" si="17">I54/$I$57</f>
        <v>9.7429793237226128E-2</v>
      </c>
    </row>
    <row r="55" spans="1:11" ht="14.1" customHeight="1" x14ac:dyDescent="0.2">
      <c r="A55" s="292"/>
      <c r="B55" s="268"/>
      <c r="C55" s="257" t="s">
        <v>8</v>
      </c>
      <c r="D55" s="245">
        <f>INDEX([2]Kraje!B41:AK41,1,3*T!$A$4-2)</f>
        <v>12768</v>
      </c>
      <c r="E55" s="96">
        <f>INDEX([2]Kraje!C41:AL41,1,3*T!$A$4-2)</f>
        <v>1157.3</v>
      </c>
      <c r="F55" s="96">
        <f>INDEX([2]Kraje!D41:AM41,1,3*T!$A$4-2)</f>
        <v>12401.1</v>
      </c>
      <c r="G55" s="334">
        <f>E55/$E$57</f>
        <v>7.0612713095049226E-2</v>
      </c>
      <c r="H55" s="316">
        <f t="shared" si="16"/>
        <v>1.2599527517717965E-2</v>
      </c>
      <c r="I55" s="283">
        <f>INDEX([4]Kraje!C41:AL41,1,3*T!$A$4-2)</f>
        <v>1142.9000000000001</v>
      </c>
      <c r="J55" s="96">
        <f>INDEX([4]Kraje!D41:AM41,1,3*T!$A$4-2)</f>
        <v>12169.6</v>
      </c>
      <c r="K55" s="352">
        <f t="shared" si="17"/>
        <v>7.1979644919732216E-2</v>
      </c>
    </row>
    <row r="56" spans="1:11" ht="14.1" customHeight="1" x14ac:dyDescent="0.2">
      <c r="A56" s="292"/>
      <c r="B56" s="268"/>
      <c r="C56" s="257" t="s">
        <v>9</v>
      </c>
      <c r="D56" s="245">
        <f>INDEX([2]Kraje!B42:AK42,1,3*T!$A$4-2)</f>
        <v>174413</v>
      </c>
      <c r="E56" s="96">
        <f>INDEX([2]Kraje!C42:AL42,1,3*T!$A$4-2)</f>
        <v>2447.3000000000002</v>
      </c>
      <c r="F56" s="96">
        <f>INDEX([2]Kraje!D42:AM42,1,3*T!$A$4-2)</f>
        <v>26223.7</v>
      </c>
      <c r="G56" s="334">
        <f t="shared" ref="G56" si="18">E56/$E$57</f>
        <v>0.14932212283549123</v>
      </c>
      <c r="H56" s="316">
        <f t="shared" si="16"/>
        <v>5.3871328912238559E-2</v>
      </c>
      <c r="I56" s="283">
        <f>INDEX([4]Kraje!C42:AL42,1,3*T!$A$4-2)</f>
        <v>2322.1999999999998</v>
      </c>
      <c r="J56" s="96">
        <f>INDEX([4]Kraje!D42:AM42,1,3*T!$A$4-2)</f>
        <v>24727.4</v>
      </c>
      <c r="K56" s="352">
        <f>I56/$I$57</f>
        <v>0.14625175556269326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187665</v>
      </c>
      <c r="E57" s="251">
        <f>SUM(E53:E56)</f>
        <v>16389.400000000001</v>
      </c>
      <c r="F57" s="252">
        <f>SUM(F53:F56)</f>
        <v>175619.43293000001</v>
      </c>
      <c r="G57" s="336">
        <f>SUM(G53:G56)</f>
        <v>1</v>
      </c>
      <c r="H57" s="318">
        <f t="shared" si="16"/>
        <v>3.2201585832058177E-2</v>
      </c>
      <c r="I57" s="286">
        <f>SUM(I53:I56)</f>
        <v>15878.099999999999</v>
      </c>
      <c r="J57" s="252">
        <f>SUM(J53:J56)</f>
        <v>169070.94233399999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0:B10"/>
    <mergeCell ref="J1:K1"/>
    <mergeCell ref="A3:K3"/>
    <mergeCell ref="D4:E4"/>
    <mergeCell ref="H6:H9"/>
    <mergeCell ref="B8:C9"/>
    <mergeCell ref="D8:D9"/>
    <mergeCell ref="E8:F8"/>
    <mergeCell ref="I8:J8"/>
    <mergeCell ref="A17:B17"/>
    <mergeCell ref="A24:B24"/>
    <mergeCell ref="A31:B31"/>
    <mergeCell ref="A38:B38"/>
    <mergeCell ref="A52:B52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/>
      <c r="K1" s="821"/>
    </row>
    <row r="2" spans="1:17" ht="6.75" customHeight="1" x14ac:dyDescent="0.2"/>
    <row r="3" spans="1:17" ht="30" customHeight="1" x14ac:dyDescent="0.2">
      <c r="A3" s="829"/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/>
      <c r="E4" s="828"/>
      <c r="F4" s="223"/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'7'!E7</f>
        <v>Červen</v>
      </c>
      <c r="F7" s="265">
        <f>'7'!F7</f>
        <v>2015</v>
      </c>
      <c r="G7" s="265"/>
      <c r="H7" s="832"/>
      <c r="I7" s="280" t="str">
        <f>E7</f>
        <v>Červen</v>
      </c>
      <c r="J7" s="260">
        <f>F7-1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237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INDEX([2]Kraje!B45:AK45,1,3*T!$A$4-2)</f>
        <v>75</v>
      </c>
      <c r="E11" s="96">
        <f>INDEX([2]Kraje!C45:AL45,1,3*T!$A$4-2)</f>
        <v>10218.6</v>
      </c>
      <c r="F11" s="96">
        <f>INDEX([2]Kraje!D45:AM45,1,3*T!$A$4-2)</f>
        <v>109496.04415000003</v>
      </c>
      <c r="G11" s="334">
        <f>E11/$E$15</f>
        <v>0.69986576078023133</v>
      </c>
      <c r="H11" s="316">
        <f>(E11-I11)/I11</f>
        <v>0.10686741767764302</v>
      </c>
      <c r="I11" s="283">
        <f>INDEX([4]Kraje!C45:AL45,1,3*T!$A$4-2)</f>
        <v>9232</v>
      </c>
      <c r="J11" s="96">
        <f>INDEX([4]Kraje!D45:AM45,1,3*T!$A$4-2)</f>
        <v>98302.792000000001</v>
      </c>
      <c r="K11" s="352">
        <f>I11/$I$15</f>
        <v>0.68192226440738057</v>
      </c>
    </row>
    <row r="12" spans="1:17" ht="14.1" customHeight="1" x14ac:dyDescent="0.2">
      <c r="A12" s="95"/>
      <c r="B12" s="95"/>
      <c r="C12" s="257" t="s">
        <v>7</v>
      </c>
      <c r="D12" s="245">
        <f>INDEX([2]Kraje!B46:AK46,1,3*T!$A$4-2)</f>
        <v>284</v>
      </c>
      <c r="E12" s="96">
        <f>INDEX([2]Kraje!C46:AL46,1,3*T!$A$4-2)</f>
        <v>1457.3</v>
      </c>
      <c r="F12" s="96">
        <f>INDEX([2]Kraje!D46:AM46,1,3*T!$A$4-2)</f>
        <v>15615.346559999998</v>
      </c>
      <c r="G12" s="334">
        <f>E12/$E$15</f>
        <v>9.980959947400142E-2</v>
      </c>
      <c r="H12" s="316">
        <f>(E12-I12)/I12</f>
        <v>-6.6431774503523416E-2</v>
      </c>
      <c r="I12" s="283">
        <f>INDEX([4]Kraje!C46:AL46,1,3*T!$A$4-2)</f>
        <v>1561</v>
      </c>
      <c r="J12" s="96">
        <f>INDEX([4]Kraje!D46:AM46,1,3*T!$A$4-2)</f>
        <v>16621.464266999992</v>
      </c>
      <c r="K12" s="352">
        <f>I12/$I$15</f>
        <v>0.11530336381498278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INDEX([2]Kraje!B47:AK47,1,3*T!$A$4-2)</f>
        <v>10814</v>
      </c>
      <c r="E13" s="96">
        <f>INDEX([2]Kraje!C47:AL47,1,3*T!$A$4-2)</f>
        <v>966.8</v>
      </c>
      <c r="F13" s="96">
        <f>INDEX([2]Kraje!D47:AM47,1,3*T!$A$4-2)</f>
        <v>10360.1</v>
      </c>
      <c r="G13" s="334">
        <f>E13/$E$15</f>
        <v>6.621554983288587E-2</v>
      </c>
      <c r="H13" s="316">
        <f t="shared" ref="H13:H15" si="0">(E13-I13)/I13</f>
        <v>4.8362611147256457E-2</v>
      </c>
      <c r="I13" s="283">
        <f>INDEX([4]Kraje!C47:AL47,1,3*T!$A$4-2)</f>
        <v>922.2</v>
      </c>
      <c r="J13" s="96">
        <f>INDEX([4]Kraje!D47:AM47,1,3*T!$A$4-2)</f>
        <v>9819.7999999999993</v>
      </c>
      <c r="K13" s="352">
        <f>I13/$I$15</f>
        <v>6.8118361377435696E-2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INDEX([2]Kraje!B48:AK48,1,3*T!$A$4-2)</f>
        <v>125151</v>
      </c>
      <c r="E14" s="96">
        <f>INDEX([2]Kraje!C48:AL48,1,3*T!$A$4-2)</f>
        <v>1958.1</v>
      </c>
      <c r="F14" s="96">
        <f>INDEX([2]Kraje!D48:AM48,1,3*T!$A$4-2)</f>
        <v>20982</v>
      </c>
      <c r="G14" s="334">
        <f>E14/$E$15</f>
        <v>0.13410908991288148</v>
      </c>
      <c r="H14" s="316">
        <f t="shared" si="0"/>
        <v>7.4108612177728975E-2</v>
      </c>
      <c r="I14" s="283">
        <f>INDEX([4]Kraje!C48:AL48,1,3*T!$A$4-2)</f>
        <v>1823</v>
      </c>
      <c r="J14" s="96">
        <f>INDEX([4]Kraje!D48:AM48,1,3*T!$A$4-2)</f>
        <v>19411.2</v>
      </c>
      <c r="K14" s="352">
        <f>I14/$I$15</f>
        <v>0.13465601040020089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136324</v>
      </c>
      <c r="E15" s="251">
        <f>SUM(E11:E14)</f>
        <v>14600.8</v>
      </c>
      <c r="F15" s="252">
        <f>SUM(F11:F14)</f>
        <v>156453.49071000004</v>
      </c>
      <c r="G15" s="336">
        <f>SUM(G11:G14)</f>
        <v>1.0000000000000002</v>
      </c>
      <c r="H15" s="318">
        <f t="shared" si="0"/>
        <v>7.8489016265086822E-2</v>
      </c>
      <c r="I15" s="286">
        <f>SUM(I11:I14)</f>
        <v>13538.2</v>
      </c>
      <c r="J15" s="252">
        <f>SUM(J11:J14)</f>
        <v>144155.25626699999</v>
      </c>
      <c r="K15" s="354">
        <f>SUM(K11:K14)</f>
        <v>0.99999999999999989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16" ht="12.95" customHeight="1" x14ac:dyDescent="0.2">
      <c r="A17" s="834" t="s">
        <v>238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16" ht="14.1" customHeight="1" x14ac:dyDescent="0.2">
      <c r="A18" s="95"/>
      <c r="B18" s="95"/>
      <c r="C18" s="257" t="s">
        <v>6</v>
      </c>
      <c r="D18" s="245">
        <f>INDEX([2]Kraje!B51:AK51,1,3*T!$A$4-2)</f>
        <v>81</v>
      </c>
      <c r="E18" s="96">
        <f>INDEX([2]Kraje!C51:AL51,1,3*T!$A$4-2)</f>
        <v>10294.5</v>
      </c>
      <c r="F18" s="96">
        <f>INDEX([2]Kraje!D51:AM51,1,3*T!$A$4-2)</f>
        <v>110309.47094</v>
      </c>
      <c r="G18" s="334">
        <f>E18/$E$22</f>
        <v>0.69618583891255836</v>
      </c>
      <c r="H18" s="316">
        <f>(E18-I18)/I18</f>
        <v>-7.3752496805888024E-2</v>
      </c>
      <c r="I18" s="283">
        <f>INDEX([4]Kraje!C51:AL51,1,3*T!$A$4-2)</f>
        <v>11114.2</v>
      </c>
      <c r="J18" s="96">
        <f>INDEX([4]Kraje!D51:AM51,1,3*T!$A$4-2)</f>
        <v>118345.11036000002</v>
      </c>
      <c r="K18" s="352">
        <f>I18/$I$22</f>
        <v>0.73994034779366724</v>
      </c>
      <c r="L18" s="284"/>
      <c r="M18" s="284"/>
      <c r="N18" s="284"/>
    </row>
    <row r="19" spans="1:16" ht="14.1" customHeight="1" x14ac:dyDescent="0.2">
      <c r="A19" s="95"/>
      <c r="B19" s="95"/>
      <c r="C19" s="257" t="s">
        <v>7</v>
      </c>
      <c r="D19" s="245">
        <f>INDEX([2]Kraje!B52:AK52,1,3*T!$A$4-2)</f>
        <v>343</v>
      </c>
      <c r="E19" s="96">
        <f>INDEX([2]Kraje!C52:AL52,1,3*T!$A$4-2)</f>
        <v>1600.6</v>
      </c>
      <c r="F19" s="96">
        <f>INDEX([2]Kraje!D52:AM52,1,3*T!$A$4-2)</f>
        <v>17151.115439999994</v>
      </c>
      <c r="G19" s="334">
        <f t="shared" ref="G19:G20" si="1">E19/$E$22</f>
        <v>0.10824372759856631</v>
      </c>
      <c r="H19" s="316">
        <f>(E19-I19)/I19</f>
        <v>0.2474475878731198</v>
      </c>
      <c r="I19" s="283">
        <f>INDEX([4]Kraje!C52:AL52,1,3*T!$A$4-2)</f>
        <v>1283.0999999999999</v>
      </c>
      <c r="J19" s="96">
        <f>INDEX([4]Kraje!D52:AM52,1,3*T!$A$4-2)</f>
        <v>13662.267491000008</v>
      </c>
      <c r="K19" s="352">
        <f t="shared" ref="K19:K21" si="2">I19/$I$22</f>
        <v>8.5423823599904122E-2</v>
      </c>
      <c r="L19" s="287"/>
      <c r="M19" s="287"/>
      <c r="N19" s="284"/>
    </row>
    <row r="20" spans="1:16" ht="14.1" customHeight="1" x14ac:dyDescent="0.2">
      <c r="A20" s="292"/>
      <c r="B20" s="268"/>
      <c r="C20" s="257" t="s">
        <v>8</v>
      </c>
      <c r="D20" s="245">
        <f>INDEX([2]Kraje!B53:AK53,1,3*T!$A$4-2)</f>
        <v>11364</v>
      </c>
      <c r="E20" s="96">
        <f>INDEX([2]Kraje!C53:AL53,1,3*T!$A$4-2)</f>
        <v>1067.4000000000001</v>
      </c>
      <c r="F20" s="96">
        <f>INDEX([2]Kraje!D53:AM53,1,3*T!$A$4-2)</f>
        <v>11437.2</v>
      </c>
      <c r="G20" s="334">
        <f t="shared" si="1"/>
        <v>7.2185027388922712E-2</v>
      </c>
      <c r="H20" s="316">
        <f t="shared" ref="H20:H22" si="3">(E20-I20)/I20</f>
        <v>8.486634820611863E-2</v>
      </c>
      <c r="I20" s="283">
        <f>INDEX([4]Kraje!C53:AL53,1,3*T!$A$4-2)</f>
        <v>983.9</v>
      </c>
      <c r="J20" s="96">
        <f>INDEX([4]Kraje!D53:AM53,1,3*T!$A$4-2)</f>
        <v>10477.1</v>
      </c>
      <c r="K20" s="352">
        <f t="shared" si="2"/>
        <v>6.5504247556656278E-2</v>
      </c>
      <c r="L20" s="284"/>
      <c r="M20" s="284"/>
      <c r="N20" s="284"/>
      <c r="O20" s="284"/>
      <c r="P20" s="284"/>
    </row>
    <row r="21" spans="1:16" ht="14.1" customHeight="1" x14ac:dyDescent="0.2">
      <c r="A21" s="292"/>
      <c r="B21" s="268"/>
      <c r="C21" s="257" t="s">
        <v>9</v>
      </c>
      <c r="D21" s="245">
        <f>INDEX([2]Kraje!B54:AK54,1,3*T!$A$4-2)</f>
        <v>147419</v>
      </c>
      <c r="E21" s="96">
        <f>INDEX([2]Kraje!C54:AL54,1,3*T!$A$4-2)</f>
        <v>1824.5</v>
      </c>
      <c r="F21" s="96">
        <f>INDEX([2]Kraje!D54:AM54,1,3*T!$A$4-2)</f>
        <v>19549.900000000001</v>
      </c>
      <c r="G21" s="334">
        <f>E21/$E$22</f>
        <v>0.12338540609995266</v>
      </c>
      <c r="H21" s="316">
        <f t="shared" si="3"/>
        <v>0.11304294777940456</v>
      </c>
      <c r="I21" s="283">
        <f>INDEX([4]Kraje!C54:AL54,1,3*T!$A$4-2)</f>
        <v>1639.2</v>
      </c>
      <c r="J21" s="96">
        <f>INDEX([4]Kraje!D54:AM54,1,3*T!$A$4-2)</f>
        <v>17454.3</v>
      </c>
      <c r="K21" s="352">
        <f t="shared" si="2"/>
        <v>0.1091315810497723</v>
      </c>
      <c r="L21" s="284"/>
      <c r="M21" s="284"/>
      <c r="N21" s="284"/>
      <c r="O21" s="284"/>
      <c r="P21" s="284"/>
    </row>
    <row r="22" spans="1:16" ht="14.1" customHeight="1" x14ac:dyDescent="0.2">
      <c r="A22" s="292"/>
      <c r="B22" s="268"/>
      <c r="C22" s="259" t="s">
        <v>2</v>
      </c>
      <c r="D22" s="253">
        <f>SUM(D18:D21)</f>
        <v>159207</v>
      </c>
      <c r="E22" s="251">
        <f>SUM(E18:E21)</f>
        <v>14787</v>
      </c>
      <c r="F22" s="252">
        <f>SUM(F18:F21)</f>
        <v>158447.68638</v>
      </c>
      <c r="G22" s="336">
        <f>SUM(G18:G21)</f>
        <v>1</v>
      </c>
      <c r="H22" s="318">
        <f t="shared" si="3"/>
        <v>-1.5538867140688759E-2</v>
      </c>
      <c r="I22" s="286">
        <f>SUM(I18:I21)</f>
        <v>15020.400000000001</v>
      </c>
      <c r="J22" s="252">
        <f>SUM(J18:J21)</f>
        <v>159938.77785100002</v>
      </c>
      <c r="K22" s="354">
        <f>SUM(K18:K21)</f>
        <v>0.99999999999999989</v>
      </c>
      <c r="L22" s="284"/>
      <c r="M22" s="284"/>
      <c r="N22" s="284"/>
      <c r="O22" s="284"/>
      <c r="P22" s="284"/>
    </row>
    <row r="23" spans="1:16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16" ht="12.95" customHeight="1" x14ac:dyDescent="0.2">
      <c r="A24" s="834" t="s">
        <v>3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16" ht="14.1" customHeight="1" x14ac:dyDescent="0.2">
      <c r="A25" s="95"/>
      <c r="B25" s="95"/>
      <c r="C25" s="257" t="s">
        <v>6</v>
      </c>
      <c r="D25" s="245">
        <f>INDEX([2]Kraje!B57:AK57,1,3*T!$A$4-2)</f>
        <v>184</v>
      </c>
      <c r="E25" s="96">
        <f>INDEX([2]Kraje!C57:AL57,1,3*T!$A$4-2)</f>
        <v>8518.9257183214686</v>
      </c>
      <c r="F25" s="96">
        <f>INDEX([2]Kraje!D57:AM57,1,3*T!$A$4-2)</f>
        <v>90879.952000000005</v>
      </c>
      <c r="G25" s="334">
        <f>E25/$E$29</f>
        <v>0.38188398006366486</v>
      </c>
      <c r="H25" s="316">
        <f>(E25-I25)/I25</f>
        <v>-3.2158657570403329E-2</v>
      </c>
      <c r="I25" s="283">
        <f>INDEX([4]Kraje!C57:AL57,1,3*T!$A$4-2)</f>
        <v>8801.9857644603126</v>
      </c>
      <c r="J25" s="96">
        <f>INDEX([4]Kraje!D57:AM57,1,3*T!$A$4-2)</f>
        <v>93504.231</v>
      </c>
      <c r="K25" s="352">
        <f>I25/$I$29</f>
        <v>0.40414194276479087</v>
      </c>
      <c r="L25" s="287"/>
      <c r="N25" s="284"/>
      <c r="O25" s="284"/>
      <c r="P25" s="284"/>
    </row>
    <row r="26" spans="1:16" ht="14.1" customHeight="1" x14ac:dyDescent="0.2">
      <c r="A26" s="95"/>
      <c r="B26" s="95"/>
      <c r="C26" s="257" t="s">
        <v>7</v>
      </c>
      <c r="D26" s="245">
        <f>INDEX([2]Kraje!B58:AK58,1,3*T!$A$4-2)</f>
        <v>1618</v>
      </c>
      <c r="E26" s="96">
        <f>INDEX([2]Kraje!C58:AL58,1,3*T!$A$4-2)</f>
        <v>4273.9841119322391</v>
      </c>
      <c r="F26" s="96">
        <f>INDEX([2]Kraje!D58:AM58,1,3*T!$A$4-2)</f>
        <v>45594.786999999997</v>
      </c>
      <c r="G26" s="334">
        <f t="shared" ref="G26:G28" si="4">E26/$E$29</f>
        <v>0.19159294462249946</v>
      </c>
      <c r="H26" s="316">
        <f t="shared" ref="H26:H29" si="5">(E26-I26)/I26</f>
        <v>8.229255485125106E-2</v>
      </c>
      <c r="I26" s="283">
        <f>INDEX([4]Kraje!C58:AL58,1,3*T!$A$4-2)</f>
        <v>3949.0099906671262</v>
      </c>
      <c r="J26" s="96">
        <f>INDEX([4]Kraje!D58:AM58,1,3*T!$A$4-2)</f>
        <v>41950.665000000001</v>
      </c>
      <c r="K26" s="352">
        <f t="shared" ref="K26:K28" si="6">I26/$I$29</f>
        <v>0.18131824026230248</v>
      </c>
      <c r="L26" s="287"/>
      <c r="N26" s="284"/>
      <c r="O26" s="284"/>
      <c r="P26" s="284"/>
    </row>
    <row r="27" spans="1:16" ht="14.1" customHeight="1" x14ac:dyDescent="0.2">
      <c r="A27" s="292"/>
      <c r="B27" s="268"/>
      <c r="C27" s="257" t="s">
        <v>8</v>
      </c>
      <c r="D27" s="245">
        <f>INDEX([2]Kraje!B59:AK59,1,3*T!$A$4-2)</f>
        <v>38752</v>
      </c>
      <c r="E27" s="96">
        <f>INDEX([2]Kraje!C59:AL59,1,3*T!$A$4-2)</f>
        <v>3225.925359020102</v>
      </c>
      <c r="F27" s="96">
        <f>INDEX([2]Kraje!D59:AM59,1,3*T!$A$4-2)</f>
        <v>34414.114739402648</v>
      </c>
      <c r="G27" s="334">
        <f>E27/$E$29</f>
        <v>0.14461086482318072</v>
      </c>
      <c r="H27" s="316">
        <f t="shared" si="5"/>
        <v>7.6428941175165493E-2</v>
      </c>
      <c r="I27" s="283">
        <f>INDEX([4]Kraje!C59:AL59,1,3*T!$A$4-2)</f>
        <v>2996.8772072388497</v>
      </c>
      <c r="J27" s="96">
        <f>INDEX([4]Kraje!D59:AM59,1,3*T!$A$4-2)</f>
        <v>31836.078425766125</v>
      </c>
      <c r="K27" s="352">
        <f t="shared" si="6"/>
        <v>0.1376011969539116</v>
      </c>
    </row>
    <row r="28" spans="1:16" ht="14.1" customHeight="1" x14ac:dyDescent="0.2">
      <c r="A28" s="292"/>
      <c r="B28" s="268"/>
      <c r="C28" s="257" t="s">
        <v>9</v>
      </c>
      <c r="D28" s="245">
        <f>INDEX([2]Kraje!B60:AK60,1,3*T!$A$4-2)</f>
        <v>388890</v>
      </c>
      <c r="E28" s="96">
        <f>INDEX([2]Kraje!C60:AL60,1,3*T!$A$4-2)</f>
        <v>6288.792684776462</v>
      </c>
      <c r="F28" s="96">
        <f>INDEX([2]Kraje!D60:AM60,1,3*T!$A$4-2)</f>
        <v>67088.729260603039</v>
      </c>
      <c r="G28" s="334">
        <f t="shared" si="4"/>
        <v>0.28191221049065496</v>
      </c>
      <c r="H28" s="316">
        <f t="shared" si="5"/>
        <v>4.2646326174249315E-2</v>
      </c>
      <c r="I28" s="283">
        <f>INDEX([4]Kraje!C60:AL60,1,3*T!$A$4-2)</f>
        <v>6031.5684493434501</v>
      </c>
      <c r="J28" s="96">
        <f>INDEX([4]Kraje!D60:AM60,1,3*T!$A$4-2)</f>
        <v>64073.858521748436</v>
      </c>
      <c r="K28" s="352">
        <f t="shared" si="6"/>
        <v>0.27693862001899516</v>
      </c>
    </row>
    <row r="29" spans="1:16" ht="14.1" customHeight="1" x14ac:dyDescent="0.2">
      <c r="A29" s="292"/>
      <c r="B29" s="268"/>
      <c r="C29" s="259" t="s">
        <v>2</v>
      </c>
      <c r="D29" s="253">
        <f>SUM(D25:D28)</f>
        <v>429444</v>
      </c>
      <c r="E29" s="251">
        <f>SUM(E25:E28)</f>
        <v>22307.627874050271</v>
      </c>
      <c r="F29" s="252">
        <f>SUM(F25:F28)</f>
        <v>237977.58300000569</v>
      </c>
      <c r="G29" s="336">
        <f>SUM(G25:G28)</f>
        <v>1</v>
      </c>
      <c r="H29" s="318">
        <f t="shared" si="5"/>
        <v>2.4251607392306883E-2</v>
      </c>
      <c r="I29" s="286">
        <f>SUM(I25:I28)</f>
        <v>21779.441411709737</v>
      </c>
      <c r="J29" s="252">
        <f>SUM(J25:J28)</f>
        <v>231364.83294751454</v>
      </c>
      <c r="K29" s="354">
        <f>SUM(K25:K28)</f>
        <v>1</v>
      </c>
    </row>
    <row r="30" spans="1:16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16" ht="12.95" customHeight="1" x14ac:dyDescent="0.2">
      <c r="A31" s="834" t="s">
        <v>239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16" ht="14.1" customHeight="1" x14ac:dyDescent="0.2">
      <c r="A32" s="95"/>
      <c r="B32" s="95"/>
      <c r="C32" s="257" t="s">
        <v>6</v>
      </c>
      <c r="D32" s="245">
        <f>INDEX([2]Kraje!B63:AK63,1,3*T!$A$4-2)</f>
        <v>180</v>
      </c>
      <c r="E32" s="96">
        <f>INDEX([2]Kraje!C63:AL63,1,3*T!$A$4-2)</f>
        <v>37766.623999999996</v>
      </c>
      <c r="F32" s="96">
        <f>INDEX([2]Kraje!D63:AM63,1,3*T!$A$4-2)</f>
        <v>404676.19501000008</v>
      </c>
      <c r="G32" s="334">
        <f>E32/$E$36</f>
        <v>0.79909873409922194</v>
      </c>
      <c r="H32" s="316">
        <f>(E32-I32)/I32</f>
        <v>9.9818002726697316E-2</v>
      </c>
      <c r="I32" s="283">
        <f>INDEX([4]Kraje!C63:AL63,1,3*T!$A$4-2)</f>
        <v>34338.976000000002</v>
      </c>
      <c r="J32" s="96">
        <f>INDEX([4]Kraje!D63:AM63,1,3*T!$A$4-2)</f>
        <v>365611.58886299987</v>
      </c>
      <c r="K32" s="352">
        <f>I32/$I$36</f>
        <v>0.8052479909471858</v>
      </c>
    </row>
    <row r="33" spans="1:11" ht="14.1" customHeight="1" x14ac:dyDescent="0.2">
      <c r="A33" s="95"/>
      <c r="B33" s="95"/>
      <c r="C33" s="257" t="s">
        <v>7</v>
      </c>
      <c r="D33" s="245">
        <f>INDEX([2]Kraje!B64:AK64,1,3*T!$A$4-2)</f>
        <v>645</v>
      </c>
      <c r="E33" s="96">
        <f>INDEX([2]Kraje!C64:AL64,1,3*T!$A$4-2)</f>
        <v>3431.3</v>
      </c>
      <c r="F33" s="96">
        <f>INDEX([2]Kraje!D64:AM64,1,3*T!$A$4-2)</f>
        <v>36767.560639999974</v>
      </c>
      <c r="G33" s="334">
        <f t="shared" ref="G33:G35" si="7">E33/$E$36</f>
        <v>7.260239851766101E-2</v>
      </c>
      <c r="H33" s="316">
        <f t="shared" ref="H33:H36" si="8">(E33-I33)/I33</f>
        <v>0.29473247302090422</v>
      </c>
      <c r="I33" s="283">
        <f>INDEX([4]Kraje!C64:AL64,1,3*T!$A$4-2)</f>
        <v>2650.2</v>
      </c>
      <c r="J33" s="96">
        <f>INDEX([4]Kraje!D64:AM64,1,3*T!$A$4-2)</f>
        <v>28219.789007000025</v>
      </c>
      <c r="K33" s="352">
        <f t="shared" ref="K33:K35" si="9">I33/$I$36</f>
        <v>6.2147113111591663E-2</v>
      </c>
    </row>
    <row r="34" spans="1:11" ht="14.1" customHeight="1" x14ac:dyDescent="0.2">
      <c r="A34" s="292"/>
      <c r="B34" s="268"/>
      <c r="C34" s="257" t="s">
        <v>8</v>
      </c>
      <c r="D34" s="245">
        <f>INDEX([2]Kraje!B65:AK65,1,3*T!$A$4-2)</f>
        <v>17943</v>
      </c>
      <c r="E34" s="96">
        <f>INDEX([2]Kraje!C65:AL65,1,3*T!$A$4-2)</f>
        <v>1742.1</v>
      </c>
      <c r="F34" s="96">
        <f>INDEX([2]Kraje!D65:AM65,1,3*T!$A$4-2)</f>
        <v>18667.599999999999</v>
      </c>
      <c r="G34" s="334">
        <f t="shared" si="7"/>
        <v>3.6860851122786475E-2</v>
      </c>
      <c r="H34" s="316">
        <f t="shared" si="8"/>
        <v>6.8641884431358033E-2</v>
      </c>
      <c r="I34" s="283">
        <f>INDEX([4]Kraje!C65:AL65,1,3*T!$A$4-2)</f>
        <v>1630.2</v>
      </c>
      <c r="J34" s="96">
        <f>INDEX([4]Kraje!D65:AM65,1,3*T!$A$4-2)</f>
        <v>17358.400000000001</v>
      </c>
      <c r="K34" s="352">
        <f t="shared" si="9"/>
        <v>3.8228142704141849E-2</v>
      </c>
    </row>
    <row r="35" spans="1:11" ht="14.1" customHeight="1" x14ac:dyDescent="0.2">
      <c r="A35" s="292"/>
      <c r="B35" s="268"/>
      <c r="C35" s="257" t="s">
        <v>9</v>
      </c>
      <c r="D35" s="245">
        <f>INDEX([2]Kraje!B66:AK66,1,3*T!$A$4-2)</f>
        <v>234462</v>
      </c>
      <c r="E35" s="96">
        <f>INDEX([2]Kraje!C66:AL66,1,3*T!$A$4-2)</f>
        <v>4321.5</v>
      </c>
      <c r="F35" s="96">
        <f>INDEX([2]Kraje!D66:AM66,1,3*T!$A$4-2)</f>
        <v>46306.400000000001</v>
      </c>
      <c r="G35" s="334">
        <f t="shared" si="7"/>
        <v>9.1438016260330504E-2</v>
      </c>
      <c r="H35" s="316">
        <f t="shared" si="8"/>
        <v>7.3771306465238801E-2</v>
      </c>
      <c r="I35" s="283">
        <f>INDEX([4]Kraje!C66:AL66,1,3*T!$A$4-2)</f>
        <v>4024.6</v>
      </c>
      <c r="J35" s="96">
        <f>INDEX([4]Kraje!D66:AM66,1,3*T!$A$4-2)</f>
        <v>42854.7</v>
      </c>
      <c r="K35" s="352">
        <f t="shared" si="9"/>
        <v>9.4376753237080904E-2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253230</v>
      </c>
      <c r="E36" s="251">
        <f>SUM(E32:E35)</f>
        <v>47261.523999999998</v>
      </c>
      <c r="F36" s="252">
        <f>SUM(F32:F35)</f>
        <v>506417.75565000006</v>
      </c>
      <c r="G36" s="336">
        <f>SUM(G32:G35)</f>
        <v>1</v>
      </c>
      <c r="H36" s="318">
        <f t="shared" si="8"/>
        <v>0.10828136663429327</v>
      </c>
      <c r="I36" s="286">
        <f>SUM(I32:I35)</f>
        <v>42643.975999999995</v>
      </c>
      <c r="J36" s="252">
        <f>SUM(J32:J35)</f>
        <v>454044.47786999994</v>
      </c>
      <c r="K36" s="354">
        <f>SUM(K32:K35)</f>
        <v>1.0000000000000002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240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INDEX([2]Kraje!B69:AK69,1,3*T!$A$4-2)</f>
        <v>132</v>
      </c>
      <c r="E39" s="96">
        <f>INDEX([2]Kraje!C69:AL69,1,3*T!$A$4-2)</f>
        <v>38550.394</v>
      </c>
      <c r="F39" s="96">
        <f>INDEX([2]Kraje!D69:AM69,1,3*T!$A$4-2)</f>
        <v>413081.24091999978</v>
      </c>
      <c r="G39" s="334">
        <f>E39/$E$43</f>
        <v>0.88495069830504858</v>
      </c>
      <c r="H39" s="316">
        <f>(E39-I39)/I39</f>
        <v>-0.11813577225891204</v>
      </c>
      <c r="I39" s="283">
        <f>INDEX([4]Kraje!C69:AL69,1,3*T!$A$4-2)</f>
        <v>43714.659</v>
      </c>
      <c r="J39" s="96">
        <f>INDEX([4]Kraje!D69:AM69,1,3*T!$A$4-2)</f>
        <v>465476.72272299964</v>
      </c>
      <c r="K39" s="352">
        <f>I39/$I$43</f>
        <v>0.90632527091126813</v>
      </c>
    </row>
    <row r="40" spans="1:11" ht="14.1" customHeight="1" x14ac:dyDescent="0.2">
      <c r="A40" s="95"/>
      <c r="B40" s="95"/>
      <c r="C40" s="257" t="s">
        <v>7</v>
      </c>
      <c r="D40" s="245">
        <f>INDEX([2]Kraje!B70:AK70,1,3*T!$A$4-2)</f>
        <v>342</v>
      </c>
      <c r="E40" s="96">
        <f>INDEX([2]Kraje!C70:AL70,1,3*T!$A$4-2)</f>
        <v>1696.4</v>
      </c>
      <c r="F40" s="96">
        <f>INDEX([2]Kraje!D70:AM70,1,3*T!$A$4-2)</f>
        <v>18177.247430000003</v>
      </c>
      <c r="G40" s="334">
        <f t="shared" ref="G40:G41" si="10">E40/$E$43</f>
        <v>3.8942023902652834E-2</v>
      </c>
      <c r="H40" s="316">
        <f t="shared" ref="H40:H43" si="11">(E40-I40)/I40</f>
        <v>0.17090005521811164</v>
      </c>
      <c r="I40" s="283">
        <f>INDEX([4]Kraje!C70:AL70,1,3*T!$A$4-2)</f>
        <v>1448.8</v>
      </c>
      <c r="J40" s="96">
        <f>INDEX([4]Kraje!D70:AM70,1,3*T!$A$4-2)</f>
        <v>15426.971869999996</v>
      </c>
      <c r="K40" s="352">
        <f t="shared" ref="K40:K42" si="12">I40/$I$43</f>
        <v>3.0037613984275739E-2</v>
      </c>
    </row>
    <row r="41" spans="1:11" ht="14.1" customHeight="1" x14ac:dyDescent="0.2">
      <c r="A41" s="292"/>
      <c r="B41" s="268"/>
      <c r="C41" s="257" t="s">
        <v>8</v>
      </c>
      <c r="D41" s="245">
        <f>INDEX([2]Kraje!B71:AK71,1,3*T!$A$4-2)</f>
        <v>12344</v>
      </c>
      <c r="E41" s="96">
        <f>INDEX([2]Kraje!C71:AL71,1,3*T!$A$4-2)</f>
        <v>1022.4</v>
      </c>
      <c r="F41" s="96">
        <f>INDEX([2]Kraje!D71:AM71,1,3*T!$A$4-2)</f>
        <v>10955.2</v>
      </c>
      <c r="G41" s="334">
        <f t="shared" si="10"/>
        <v>2.3469892264838633E-2</v>
      </c>
      <c r="H41" s="316">
        <f t="shared" si="11"/>
        <v>7.7231061005162735E-2</v>
      </c>
      <c r="I41" s="283">
        <f>INDEX([4]Kraje!C71:AL71,1,3*T!$A$4-2)</f>
        <v>949.1</v>
      </c>
      <c r="J41" s="96">
        <f>INDEX([4]Kraje!D71:AM71,1,3*T!$A$4-2)</f>
        <v>10105.700000000001</v>
      </c>
      <c r="K41" s="352">
        <f t="shared" si="12"/>
        <v>1.9677456814243582E-2</v>
      </c>
    </row>
    <row r="42" spans="1:11" ht="14.1" customHeight="1" x14ac:dyDescent="0.2">
      <c r="A42" s="292"/>
      <c r="B42" s="268"/>
      <c r="C42" s="257" t="s">
        <v>9</v>
      </c>
      <c r="D42" s="245">
        <f>INDEX([2]Kraje!B72:AK72,1,3*T!$A$4-2)</f>
        <v>213906</v>
      </c>
      <c r="E42" s="96">
        <f>INDEX([2]Kraje!C72:AL72,1,3*T!$A$4-2)</f>
        <v>2293</v>
      </c>
      <c r="F42" s="96">
        <f>INDEX([2]Kraje!D72:AM72,1,3*T!$A$4-2)</f>
        <v>24570.2</v>
      </c>
      <c r="G42" s="334">
        <f>E42/$E$43</f>
        <v>5.2637385527459883E-2</v>
      </c>
      <c r="H42" s="316">
        <f t="shared" si="11"/>
        <v>8.1450738103098524E-2</v>
      </c>
      <c r="I42" s="283">
        <f>INDEX([4]Kraje!C72:AL72,1,3*T!$A$4-2)</f>
        <v>2120.3000000000002</v>
      </c>
      <c r="J42" s="96">
        <f>INDEX([4]Kraje!D72:AM72,1,3*T!$A$4-2)</f>
        <v>22576.9</v>
      </c>
      <c r="K42" s="352">
        <f t="shared" si="12"/>
        <v>4.3959658290212485E-2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226724</v>
      </c>
      <c r="E43" s="251">
        <f>SUM(E39:E42)</f>
        <v>43562.194000000003</v>
      </c>
      <c r="F43" s="252">
        <f>SUM(F39:F42)</f>
        <v>466783.88834999979</v>
      </c>
      <c r="G43" s="336">
        <f>SUM(G39:G42)</f>
        <v>0.99999999999999989</v>
      </c>
      <c r="H43" s="318">
        <f t="shared" si="11"/>
        <v>-9.6835748426192206E-2</v>
      </c>
      <c r="I43" s="286">
        <f>SUM(I39:I42)</f>
        <v>48232.859000000004</v>
      </c>
      <c r="J43" s="252">
        <f>SUM(J39:J42)</f>
        <v>513586.29459299968</v>
      </c>
      <c r="K43" s="354">
        <f>SUM(K39:K42)</f>
        <v>1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241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INDEX([2]Kraje!B75:AK75,1,3*T!$A$4-2)</f>
        <v>97</v>
      </c>
      <c r="E46" s="96">
        <f>INDEX([2]Kraje!C75:AL75,1,3*T!$A$4-2)</f>
        <v>7921.79</v>
      </c>
      <c r="F46" s="96">
        <f>INDEX([2]Kraje!D75:AM75,1,3*T!$A$4-2)</f>
        <v>84837.370260000011</v>
      </c>
      <c r="G46" s="334">
        <f>E46/$E$50</f>
        <v>0.60574267228452694</v>
      </c>
      <c r="H46" s="316">
        <f>(E46-I46)/I46</f>
        <v>-0.12701680223133452</v>
      </c>
      <c r="I46" s="283">
        <f>INDEX([4]Kraje!C75:AL75,1,3*T!$A$4-2)</f>
        <v>9074.39</v>
      </c>
      <c r="J46" s="96">
        <f>INDEX([4]Kraje!D75:AM75,1,3*T!$A$4-2)</f>
        <v>96602.644022999943</v>
      </c>
      <c r="K46" s="352">
        <f>I46/$I$50</f>
        <v>0.67026484590554025</v>
      </c>
    </row>
    <row r="47" spans="1:11" ht="14.1" customHeight="1" x14ac:dyDescent="0.2">
      <c r="A47" s="95"/>
      <c r="B47" s="95"/>
      <c r="C47" s="257" t="s">
        <v>7</v>
      </c>
      <c r="D47" s="245">
        <f>INDEX([2]Kraje!B76:AK76,1,3*T!$A$4-2)</f>
        <v>335</v>
      </c>
      <c r="E47" s="96">
        <f>INDEX([2]Kraje!C76:AL76,1,3*T!$A$4-2)</f>
        <v>1622.1860000000001</v>
      </c>
      <c r="F47" s="96">
        <f>INDEX([2]Kraje!D76:AM76,1,3*T!$A$4-2)</f>
        <v>17368.196120000001</v>
      </c>
      <c r="G47" s="334">
        <f t="shared" ref="G47:G49" si="13">E47/$E$50</f>
        <v>0.12404106680214291</v>
      </c>
      <c r="H47" s="316">
        <f t="shared" ref="H47:H50" si="14">(E47-I47)/I47</f>
        <v>0.14102973511731845</v>
      </c>
      <c r="I47" s="283">
        <f>INDEX([4]Kraje!C76:AL76,1,3*T!$A$4-2)</f>
        <v>1421.6860000000001</v>
      </c>
      <c r="J47" s="96">
        <f>INDEX([4]Kraje!D76:AM76,1,3*T!$A$4-2)</f>
        <v>15132.344330000002</v>
      </c>
      <c r="K47" s="352">
        <f t="shared" ref="K47:K49" si="15">I47/$I$50</f>
        <v>0.10501049081162085</v>
      </c>
    </row>
    <row r="48" spans="1:11" ht="14.1" customHeight="1" x14ac:dyDescent="0.2">
      <c r="A48" s="292"/>
      <c r="B48" s="268"/>
      <c r="C48" s="257" t="s">
        <v>8</v>
      </c>
      <c r="D48" s="245">
        <f>INDEX([2]Kraje!B77:AK77,1,3*T!$A$4-2)</f>
        <v>10003</v>
      </c>
      <c r="E48" s="96">
        <f>INDEX([2]Kraje!C77:AL77,1,3*T!$A$4-2)</f>
        <v>1203.790236</v>
      </c>
      <c r="F48" s="96">
        <f>INDEX([2]Kraje!D77:AM77,1,3*T!$A$4-2)</f>
        <v>12882.853955999999</v>
      </c>
      <c r="G48" s="334">
        <f t="shared" si="13"/>
        <v>9.20482762639077E-2</v>
      </c>
      <c r="H48" s="316">
        <f t="shared" si="14"/>
        <v>0.15492508316880813</v>
      </c>
      <c r="I48" s="283">
        <f>INDEX([4]Kraje!C77:AL77,1,3*T!$A$4-2)</f>
        <v>1042.310236</v>
      </c>
      <c r="J48" s="96">
        <f>INDEX([4]Kraje!D77:AM77,1,3*T!$A$4-2)</f>
        <v>11092.294972</v>
      </c>
      <c r="K48" s="352">
        <f t="shared" si="15"/>
        <v>7.6988525919462064E-2</v>
      </c>
    </row>
    <row r="49" spans="1:11" ht="14.1" customHeight="1" x14ac:dyDescent="0.2">
      <c r="A49" s="292"/>
      <c r="B49" s="268"/>
      <c r="C49" s="257" t="s">
        <v>9</v>
      </c>
      <c r="D49" s="245">
        <f>INDEX([2]Kraje!B78:AK78,1,3*T!$A$4-2)</f>
        <v>104903</v>
      </c>
      <c r="E49" s="96">
        <f>INDEX([2]Kraje!C78:AL78,1,3*T!$A$4-2)</f>
        <v>2330.0477639999999</v>
      </c>
      <c r="F49" s="96">
        <f>INDEX([2]Kraje!D78:AM78,1,3*T!$A$4-2)</f>
        <v>24932.544044000002</v>
      </c>
      <c r="G49" s="334">
        <f t="shared" si="13"/>
        <v>0.17816798464942227</v>
      </c>
      <c r="H49" s="316">
        <f t="shared" si="14"/>
        <v>0.16494946269842395</v>
      </c>
      <c r="I49" s="283">
        <f>INDEX([4]Kraje!C78:AL78,1,3*T!$A$4-2)</f>
        <v>2000.1277639999998</v>
      </c>
      <c r="J49" s="96">
        <f>INDEX([4]Kraje!D78:AM78,1,3*T!$A$4-2)</f>
        <v>21284.131028</v>
      </c>
      <c r="K49" s="352">
        <f t="shared" si="15"/>
        <v>0.14773613736337682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115338</v>
      </c>
      <c r="E50" s="251">
        <f>SUM(E46:E49)</f>
        <v>13077.814000000002</v>
      </c>
      <c r="F50" s="252">
        <f>SUM(F46:F49)</f>
        <v>140020.96438000002</v>
      </c>
      <c r="G50" s="336">
        <f>SUM(G46:G49)</f>
        <v>0.99999999999999978</v>
      </c>
      <c r="H50" s="318">
        <f t="shared" si="14"/>
        <v>-3.4028845410951095E-2</v>
      </c>
      <c r="I50" s="286">
        <f>SUM(I46:I49)</f>
        <v>13538.513999999999</v>
      </c>
      <c r="J50" s="252">
        <f>SUM(J46:J49)</f>
        <v>144111.41435299994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242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INDEX([2]Kraje!B81:AK81,1,3*T!$A$4-2)</f>
        <v>71</v>
      </c>
      <c r="E53" s="96">
        <f>INDEX([2]Kraje!C81:AL81,1,3*T!$A$4-2)</f>
        <v>9283</v>
      </c>
      <c r="F53" s="96">
        <f>INDEX([2]Kraje!D81:AM81,1,3*T!$A$4-2)</f>
        <v>99471.168440000009</v>
      </c>
      <c r="G53" s="334">
        <f>E53/$E$57</f>
        <v>0.66183285565584404</v>
      </c>
      <c r="H53" s="316">
        <f>(E53-I53)/I53</f>
        <v>-0.13224337941800579</v>
      </c>
      <c r="I53" s="283">
        <f>INDEX([4]Kraje!C81:AL81,1,3*T!$A$4-2)</f>
        <v>10697.7</v>
      </c>
      <c r="J53" s="96">
        <f>INDEX([4]Kraje!D81:AM81,1,3*T!$A$4-2)</f>
        <v>113909.74179100001</v>
      </c>
      <c r="K53" s="352">
        <f>I53/$I$57</f>
        <v>0.70306523482169847</v>
      </c>
    </row>
    <row r="54" spans="1:11" ht="14.1" customHeight="1" x14ac:dyDescent="0.2">
      <c r="A54" s="95"/>
      <c r="B54" s="95"/>
      <c r="C54" s="257" t="s">
        <v>7</v>
      </c>
      <c r="D54" s="245">
        <f>INDEX([2]Kraje!B82:AK82,1,3*T!$A$4-2)</f>
        <v>346</v>
      </c>
      <c r="E54" s="96">
        <f>INDEX([2]Kraje!C82:AL82,1,3*T!$A$4-2)</f>
        <v>1247.0999999999999</v>
      </c>
      <c r="F54" s="96">
        <f>INDEX([2]Kraje!D82:AM82,1,3*T!$A$4-2)</f>
        <v>13362.816539999994</v>
      </c>
      <c r="G54" s="334">
        <f t="shared" ref="G54:G56" si="16">E54/$E$57</f>
        <v>8.8912178637121947E-2</v>
      </c>
      <c r="H54" s="316">
        <f t="shared" ref="H54:H57" si="17">(E54-I54)/I54</f>
        <v>-7.4810982888978044E-3</v>
      </c>
      <c r="I54" s="283">
        <f>INDEX([4]Kraje!C82:AL82,1,3*T!$A$4-2)</f>
        <v>1256.5</v>
      </c>
      <c r="J54" s="96">
        <f>INDEX([4]Kraje!D82:AM82,1,3*T!$A$4-2)</f>
        <v>13379.153174000005</v>
      </c>
      <c r="K54" s="352">
        <f t="shared" ref="K54:K56" si="18">I54/$I$57</f>
        <v>8.2578635365869679E-2</v>
      </c>
    </row>
    <row r="55" spans="1:11" ht="14.1" customHeight="1" x14ac:dyDescent="0.2">
      <c r="A55" s="292"/>
      <c r="B55" s="268"/>
      <c r="C55" s="257" t="s">
        <v>8</v>
      </c>
      <c r="D55" s="245">
        <f>INDEX([2]Kraje!B83:AK83,1,3*T!$A$4-2)</f>
        <v>10392</v>
      </c>
      <c r="E55" s="96">
        <f>INDEX([2]Kraje!C83:AL83,1,3*T!$A$4-2)</f>
        <v>1073.5999999999999</v>
      </c>
      <c r="F55" s="96">
        <f>INDEX([2]Kraje!D83:AM83,1,3*T!$A$4-2)</f>
        <v>11504.2</v>
      </c>
      <c r="G55" s="334">
        <f t="shared" si="16"/>
        <v>7.6542470519456438E-2</v>
      </c>
      <c r="H55" s="316">
        <f t="shared" si="17"/>
        <v>6.6560699384065058E-2</v>
      </c>
      <c r="I55" s="283">
        <f>INDEX([4]Kraje!C83:AL83,1,3*T!$A$4-2)</f>
        <v>1006.6</v>
      </c>
      <c r="J55" s="96">
        <f>INDEX([4]Kraje!D83:AM83,1,3*T!$A$4-2)</f>
        <v>10718.8</v>
      </c>
      <c r="K55" s="352">
        <f t="shared" si="18"/>
        <v>6.6154917914273317E-2</v>
      </c>
    </row>
    <row r="56" spans="1:11" ht="14.1" customHeight="1" x14ac:dyDescent="0.2">
      <c r="A56" s="292"/>
      <c r="B56" s="268"/>
      <c r="C56" s="257" t="s">
        <v>9</v>
      </c>
      <c r="D56" s="245">
        <f>INDEX([2]Kraje!B84:AK84,1,3*T!$A$4-2)</f>
        <v>148063</v>
      </c>
      <c r="E56" s="96">
        <f>INDEX([2]Kraje!C84:AL84,1,3*T!$A$4-2)</f>
        <v>2422.5</v>
      </c>
      <c r="F56" s="96">
        <f>INDEX([2]Kraje!D84:AM84,1,3*T!$A$4-2)</f>
        <v>25958.400000000001</v>
      </c>
      <c r="G56" s="334">
        <f t="shared" si="16"/>
        <v>0.17271249518757753</v>
      </c>
      <c r="H56" s="316">
        <f t="shared" si="17"/>
        <v>7.4279379157427938E-2</v>
      </c>
      <c r="I56" s="283">
        <f>INDEX([4]Kraje!C84:AL84,1,3*T!$A$4-2)</f>
        <v>2255</v>
      </c>
      <c r="J56" s="96">
        <f>INDEX([4]Kraje!D84:AM84,1,3*T!$A$4-2)</f>
        <v>24011.9</v>
      </c>
      <c r="K56" s="352">
        <f t="shared" si="18"/>
        <v>0.14820121189815849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158872</v>
      </c>
      <c r="E57" s="251">
        <f>SUM(E53:E56)</f>
        <v>14026.2</v>
      </c>
      <c r="F57" s="252">
        <f>SUM(F53:F56)</f>
        <v>150296.58498000001</v>
      </c>
      <c r="G57" s="336">
        <f>SUM(G53:G56)</f>
        <v>1</v>
      </c>
      <c r="H57" s="318">
        <f t="shared" si="17"/>
        <v>-7.8181889877627225E-2</v>
      </c>
      <c r="I57" s="286">
        <f>SUM(I53:I56)</f>
        <v>15215.800000000001</v>
      </c>
      <c r="J57" s="252">
        <f>SUM(J53:J56)</f>
        <v>162019.594965</v>
      </c>
      <c r="K57" s="354">
        <f>SUM(K53:K56)</f>
        <v>0.99999999999999989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J1:K1"/>
    <mergeCell ref="A3:K3"/>
    <mergeCell ref="D4:E4"/>
    <mergeCell ref="H6:H9"/>
    <mergeCell ref="B8:C9"/>
    <mergeCell ref="D8:D9"/>
    <mergeCell ref="E8:F8"/>
    <mergeCell ref="I8:J8"/>
    <mergeCell ref="A52:B52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20</vt:i4>
      </vt:variant>
    </vt:vector>
  </HeadingPairs>
  <TitlesOfParts>
    <vt:vector size="39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  <vt:lpstr>'3'!OLE_LINK55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2015-08-04T12:30:10Z</cp:lastPrinted>
  <dcterms:created xsi:type="dcterms:W3CDTF">2010-02-15T08:19:53Z</dcterms:created>
  <dcterms:modified xsi:type="dcterms:W3CDTF">2015-08-04T12:34:07Z</dcterms:modified>
</cp:coreProperties>
</file>