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-15" windowWidth="14310" windowHeight="12855"/>
  </bookViews>
  <sheets>
    <sheet name="T" sheetId="87" r:id="rId1"/>
    <sheet name="1" sheetId="43" r:id="rId2"/>
    <sheet name="2" sheetId="74" r:id="rId3"/>
    <sheet name="3" sheetId="56" r:id="rId4"/>
    <sheet name="4" sheetId="82" r:id="rId5"/>
    <sheet name="5" sheetId="88" r:id="rId6"/>
    <sheet name="6" sheetId="93" r:id="rId7"/>
    <sheet name="7" sheetId="90" r:id="rId8"/>
    <sheet name="8" sheetId="91" r:id="rId9"/>
    <sheet name="9" sheetId="92" r:id="rId10"/>
    <sheet name="10" sheetId="8" r:id="rId11"/>
    <sheet name="11" sheetId="94" r:id="rId12"/>
    <sheet name="12" sheetId="96" r:id="rId13"/>
    <sheet name="13" sheetId="97" r:id="rId14"/>
    <sheet name="14" sheetId="63" r:id="rId15"/>
    <sheet name="15" sheetId="68" r:id="rId16"/>
    <sheet name="16" sheetId="98" r:id="rId17"/>
    <sheet name="17" sheetId="102" r:id="rId18"/>
    <sheet name="18" sheetId="103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'1'!$A$1:$C$32</definedName>
    <definedName name="_xlnm.Print_Area" localSheetId="10">'10'!$A$1:$P$42</definedName>
    <definedName name="_xlnm.Print_Area" localSheetId="11">'11'!$A$1:$P$37</definedName>
    <definedName name="_xlnm.Print_Area" localSheetId="12">'12'!$A$1:$P$49</definedName>
    <definedName name="_xlnm.Print_Area" localSheetId="13">'13'!$A$1:$P$38</definedName>
    <definedName name="_xlnm.Print_Area" localSheetId="14">'14'!$A$1:$Q$46</definedName>
    <definedName name="_xlnm.Print_Area" localSheetId="15">'15'!$A$1:$O$39</definedName>
    <definedName name="_xlnm.Print_Area" localSheetId="16">'16'!$A$1:$P$42</definedName>
    <definedName name="_xlnm.Print_Area" localSheetId="17">'17'!$A$1:$K$33</definedName>
    <definedName name="_xlnm.Print_Area" localSheetId="18">'18'!$A$1:$N$38</definedName>
    <definedName name="_xlnm.Print_Area" localSheetId="2">'2'!$A$1:$D$44</definedName>
    <definedName name="_xlnm.Print_Area" localSheetId="3">'3'!$A$1:$D$32</definedName>
    <definedName name="_xlnm.Print_Area" localSheetId="4">'4'!$A$1:$I$37</definedName>
    <definedName name="_xlnm.Print_Area" localSheetId="5">'5'!$A$1:$K$57</definedName>
    <definedName name="_xlnm.Print_Area" localSheetId="6">'6'!$A$1:$K$57</definedName>
    <definedName name="_xlnm.Print_Area" localSheetId="7">'7'!$A$1:$K$59</definedName>
    <definedName name="_xlnm.Print_Area" localSheetId="8">'8'!$A$1:$K$59</definedName>
    <definedName name="_xlnm.Print_Area" localSheetId="9">'9'!$A$1:$J$67</definedName>
    <definedName name="_xlnm.Print_Area" localSheetId="0">T!$A$1:$J$23</definedName>
    <definedName name="solver_eng" localSheetId="10" hidden="1">1</definedName>
    <definedName name="solver_neg" localSheetId="10" hidden="1">1</definedName>
    <definedName name="solver_num" localSheetId="10" hidden="1">0</definedName>
    <definedName name="solver_opt" localSheetId="10" hidden="1">'10'!$L$16</definedName>
    <definedName name="solver_typ" localSheetId="10" hidden="1">1</definedName>
    <definedName name="solver_val" localSheetId="10" hidden="1">0</definedName>
    <definedName name="solver_ver" localSheetId="10" hidden="1">3</definedName>
  </definedNames>
  <calcPr calcId="145621"/>
</workbook>
</file>

<file path=xl/calcChain.xml><?xml version="1.0" encoding="utf-8"?>
<calcChain xmlns="http://schemas.openxmlformats.org/spreadsheetml/2006/main">
  <c r="H15" i="82" l="1"/>
  <c r="E15" i="82"/>
  <c r="O14" i="98" l="1"/>
  <c r="N14" i="98"/>
  <c r="M14" i="98"/>
  <c r="L14" i="98"/>
  <c r="K14" i="98"/>
  <c r="O13" i="98"/>
  <c r="N13" i="98"/>
  <c r="M13" i="98"/>
  <c r="L13" i="98"/>
  <c r="K13" i="98"/>
  <c r="O12" i="98"/>
  <c r="N12" i="98"/>
  <c r="M12" i="98"/>
  <c r="L12" i="98"/>
  <c r="K12" i="98"/>
  <c r="F12" i="98"/>
  <c r="G12" i="98"/>
  <c r="H12" i="98"/>
  <c r="I12" i="98"/>
  <c r="J12" i="98"/>
  <c r="F13" i="98"/>
  <c r="G13" i="98"/>
  <c r="H13" i="98"/>
  <c r="I13" i="98"/>
  <c r="J13" i="98"/>
  <c r="F14" i="98"/>
  <c r="G14" i="98"/>
  <c r="H14" i="98"/>
  <c r="I14" i="98"/>
  <c r="J14" i="98"/>
  <c r="E14" i="98"/>
  <c r="E13" i="98"/>
  <c r="E12" i="98"/>
  <c r="U92" i="68" l="1"/>
  <c r="U93" i="68"/>
  <c r="U94" i="68"/>
  <c r="U95" i="68"/>
  <c r="U96" i="68"/>
  <c r="U97" i="68"/>
  <c r="U98" i="68"/>
  <c r="U99" i="68"/>
  <c r="U100" i="68"/>
  <c r="U101" i="68"/>
  <c r="U102" i="68"/>
  <c r="U103" i="68"/>
  <c r="U104" i="68"/>
  <c r="U105" i="68"/>
  <c r="U106" i="68"/>
  <c r="U107" i="68"/>
  <c r="U108" i="68"/>
  <c r="U109" i="68"/>
  <c r="U110" i="68"/>
  <c r="U111" i="68"/>
  <c r="U112" i="68"/>
  <c r="U113" i="68"/>
  <c r="U114" i="68"/>
  <c r="U115" i="68"/>
  <c r="U116" i="68"/>
  <c r="U117" i="68"/>
  <c r="U118" i="68"/>
  <c r="U119" i="68"/>
  <c r="U120" i="68"/>
  <c r="U121" i="68"/>
  <c r="U122" i="68"/>
  <c r="U123" i="68"/>
  <c r="U124" i="68"/>
  <c r="U125" i="68"/>
  <c r="U126" i="68"/>
  <c r="U127" i="68"/>
  <c r="U128" i="68"/>
  <c r="U129" i="68"/>
  <c r="U130" i="68"/>
  <c r="U131" i="68"/>
  <c r="U132" i="68"/>
  <c r="U133" i="68"/>
  <c r="U134" i="68"/>
  <c r="U135" i="68"/>
  <c r="U136" i="68"/>
  <c r="U137" i="68"/>
  <c r="U138" i="68"/>
  <c r="U139" i="68"/>
  <c r="U140" i="68"/>
  <c r="U141" i="68"/>
  <c r="U142" i="68"/>
  <c r="U143" i="68"/>
  <c r="U144" i="68"/>
  <c r="U145" i="68"/>
  <c r="U146" i="68"/>
  <c r="U147" i="68"/>
  <c r="U148" i="68"/>
  <c r="U149" i="68"/>
  <c r="U150" i="68"/>
  <c r="U151" i="68"/>
  <c r="U152" i="68"/>
  <c r="U153" i="68"/>
  <c r="U154" i="68"/>
  <c r="U155" i="68"/>
  <c r="U156" i="68"/>
  <c r="U157" i="68"/>
  <c r="U158" i="68"/>
  <c r="U159" i="68"/>
  <c r="U160" i="68"/>
  <c r="U161" i="68"/>
  <c r="U162" i="68"/>
  <c r="U163" i="68"/>
  <c r="U164" i="68"/>
  <c r="U165" i="68"/>
  <c r="U166" i="68"/>
  <c r="U167" i="68"/>
  <c r="U168" i="68"/>
  <c r="U169" i="68"/>
  <c r="U170" i="68"/>
  <c r="U171" i="68"/>
  <c r="U172" i="68"/>
  <c r="U173" i="68"/>
  <c r="U174" i="68"/>
  <c r="U175" i="68"/>
  <c r="U176" i="68"/>
  <c r="U177" i="68"/>
  <c r="U178" i="68"/>
  <c r="U179" i="68"/>
  <c r="U180" i="68"/>
  <c r="U181" i="68"/>
  <c r="U182" i="68"/>
  <c r="U183" i="68"/>
  <c r="U184" i="68"/>
  <c r="U185" i="68"/>
  <c r="U186" i="68"/>
  <c r="U187" i="68"/>
  <c r="U188" i="68"/>
  <c r="U189" i="68"/>
  <c r="U190" i="68"/>
  <c r="U191" i="68"/>
  <c r="U192" i="68"/>
  <c r="U193" i="68"/>
  <c r="U194" i="68"/>
  <c r="U195" i="68"/>
  <c r="U196" i="68"/>
  <c r="U197" i="68"/>
  <c r="U198" i="68"/>
  <c r="U199" i="68"/>
  <c r="U200" i="68"/>
  <c r="U201" i="68"/>
  <c r="U202" i="68"/>
  <c r="U203" i="68"/>
  <c r="U204" i="68"/>
  <c r="U205" i="68"/>
  <c r="U206" i="68"/>
  <c r="U207" i="68"/>
  <c r="U208" i="68"/>
  <c r="U209" i="68"/>
  <c r="U210" i="68"/>
  <c r="U211" i="68"/>
  <c r="U212" i="68"/>
  <c r="U213" i="68"/>
  <c r="U214" i="68"/>
  <c r="U215" i="68"/>
  <c r="U216" i="68"/>
  <c r="U217" i="68"/>
  <c r="U218" i="68"/>
  <c r="U219" i="68"/>
  <c r="U220" i="68"/>
  <c r="U221" i="68"/>
  <c r="U222" i="68"/>
  <c r="U223" i="68"/>
  <c r="U224" i="68"/>
  <c r="U225" i="68"/>
  <c r="U226" i="68"/>
  <c r="U227" i="68"/>
  <c r="U228" i="68"/>
  <c r="U229" i="68"/>
  <c r="U230" i="68"/>
  <c r="U231" i="68"/>
  <c r="U232" i="68"/>
  <c r="U233" i="68"/>
  <c r="U234" i="68"/>
  <c r="U235" i="68"/>
  <c r="U236" i="68"/>
  <c r="U237" i="68"/>
  <c r="U238" i="68"/>
  <c r="U239" i="68"/>
  <c r="U240" i="68"/>
  <c r="U241" i="68"/>
  <c r="U242" i="68"/>
  <c r="U243" i="68"/>
  <c r="U244" i="68"/>
  <c r="U245" i="68"/>
  <c r="U246" i="68"/>
  <c r="U247" i="68"/>
  <c r="U248" i="68"/>
  <c r="U249" i="68"/>
  <c r="U250" i="68"/>
  <c r="U251" i="68"/>
  <c r="U252" i="68"/>
  <c r="U253" i="68"/>
  <c r="U254" i="68"/>
  <c r="U255" i="68"/>
  <c r="U256" i="68"/>
  <c r="U257" i="68"/>
  <c r="U258" i="68"/>
  <c r="U259" i="68"/>
  <c r="U260" i="68"/>
  <c r="U261" i="68"/>
  <c r="U262" i="68"/>
  <c r="U263" i="68"/>
  <c r="U264" i="68"/>
  <c r="U265" i="68"/>
  <c r="U266" i="68"/>
  <c r="U267" i="68"/>
  <c r="U268" i="68"/>
  <c r="U269" i="68"/>
  <c r="U270" i="68"/>
  <c r="U271" i="68"/>
  <c r="U272" i="68"/>
  <c r="U273" i="68"/>
  <c r="U274" i="68"/>
  <c r="U275" i="68"/>
  <c r="U276" i="68"/>
  <c r="U277" i="68"/>
  <c r="U278" i="68"/>
  <c r="U279" i="68"/>
  <c r="U280" i="68"/>
  <c r="U281" i="68"/>
  <c r="U282" i="68"/>
  <c r="U283" i="68"/>
  <c r="U284" i="68"/>
  <c r="U285" i="68"/>
  <c r="U286" i="68"/>
  <c r="U287" i="68"/>
  <c r="U288" i="68"/>
  <c r="U289" i="68"/>
  <c r="U290" i="68"/>
  <c r="U291" i="68"/>
  <c r="U292" i="68"/>
  <c r="U293" i="68"/>
  <c r="U294" i="68"/>
  <c r="U295" i="68"/>
  <c r="U296" i="68"/>
  <c r="U297" i="68"/>
  <c r="U298" i="68"/>
  <c r="U299" i="68"/>
  <c r="U300" i="68"/>
  <c r="U301" i="68"/>
  <c r="U302" i="68"/>
  <c r="U303" i="68"/>
  <c r="U304" i="68"/>
  <c r="U305" i="68"/>
  <c r="U306" i="68"/>
  <c r="U307" i="68"/>
  <c r="U308" i="68"/>
  <c r="U309" i="68"/>
  <c r="U310" i="68"/>
  <c r="U311" i="68"/>
  <c r="U312" i="68"/>
  <c r="U313" i="68"/>
  <c r="U314" i="68"/>
  <c r="U315" i="68"/>
  <c r="U316" i="68"/>
  <c r="U317" i="68"/>
  <c r="U318" i="68"/>
  <c r="U319" i="68"/>
  <c r="U320" i="68"/>
  <c r="U321" i="68"/>
  <c r="U322" i="68"/>
  <c r="U323" i="68"/>
  <c r="U324" i="68"/>
  <c r="U325" i="68"/>
  <c r="U326" i="68"/>
  <c r="U327" i="68"/>
  <c r="U328" i="68"/>
  <c r="U329" i="68"/>
  <c r="U330" i="68"/>
  <c r="U331" i="68"/>
  <c r="U332" i="68"/>
  <c r="U333" i="68"/>
  <c r="U334" i="68"/>
  <c r="U335" i="68"/>
  <c r="U336" i="68"/>
  <c r="U337" i="68"/>
  <c r="U338" i="68"/>
  <c r="U339" i="68"/>
  <c r="U340" i="68"/>
  <c r="U341" i="68"/>
  <c r="U342" i="68"/>
  <c r="U343" i="68"/>
  <c r="U344" i="68"/>
  <c r="U345" i="68"/>
  <c r="U346" i="68"/>
  <c r="U347" i="68"/>
  <c r="U348" i="68"/>
  <c r="U349" i="68"/>
  <c r="U350" i="68"/>
  <c r="U351" i="68"/>
  <c r="U352" i="68"/>
  <c r="U353" i="68"/>
  <c r="U354" i="68"/>
  <c r="U355" i="68"/>
  <c r="U356" i="68"/>
  <c r="U357" i="68"/>
  <c r="U358" i="68"/>
  <c r="U359" i="68"/>
  <c r="U360" i="68"/>
  <c r="U361" i="68"/>
  <c r="U362" i="68"/>
  <c r="U363" i="68"/>
  <c r="U364" i="68"/>
  <c r="U365" i="68"/>
  <c r="U366" i="68"/>
  <c r="W3" i="68"/>
  <c r="W4" i="68"/>
  <c r="W5" i="68"/>
  <c r="W6" i="68"/>
  <c r="W7" i="68"/>
  <c r="W8" i="68"/>
  <c r="W9" i="68"/>
  <c r="W10" i="68"/>
  <c r="W11" i="68"/>
  <c r="W12" i="68"/>
  <c r="W13" i="68"/>
  <c r="W14" i="68"/>
  <c r="W15" i="68"/>
  <c r="W16" i="68"/>
  <c r="W17" i="68"/>
  <c r="W18" i="68"/>
  <c r="W19" i="68"/>
  <c r="W20" i="68"/>
  <c r="W21" i="68"/>
  <c r="W22" i="68"/>
  <c r="W23" i="68"/>
  <c r="W24" i="68"/>
  <c r="W25" i="68"/>
  <c r="W26" i="68"/>
  <c r="W27" i="68"/>
  <c r="W28" i="68"/>
  <c r="W29" i="68"/>
  <c r="W30" i="68"/>
  <c r="W31" i="68"/>
  <c r="W32" i="68"/>
  <c r="W33" i="68"/>
  <c r="W34" i="68"/>
  <c r="W35" i="68"/>
  <c r="W36" i="68"/>
  <c r="W37" i="68"/>
  <c r="W38" i="68"/>
  <c r="W39" i="68"/>
  <c r="W40" i="68"/>
  <c r="W41" i="68"/>
  <c r="W42" i="68"/>
  <c r="W43" i="68"/>
  <c r="W44" i="68"/>
  <c r="W45" i="68"/>
  <c r="W46" i="68"/>
  <c r="W47" i="68"/>
  <c r="W48" i="68"/>
  <c r="W49" i="68"/>
  <c r="W50" i="68"/>
  <c r="W51" i="68"/>
  <c r="W52" i="68"/>
  <c r="W53" i="68"/>
  <c r="W54" i="68"/>
  <c r="W55" i="68"/>
  <c r="W56" i="68"/>
  <c r="W57" i="68"/>
  <c r="W58" i="68"/>
  <c r="W59" i="68"/>
  <c r="W60" i="68"/>
  <c r="W61" i="68"/>
  <c r="W62" i="68"/>
  <c r="W63" i="68"/>
  <c r="W64" i="68"/>
  <c r="W65" i="68"/>
  <c r="W66" i="68"/>
  <c r="W67" i="68"/>
  <c r="W68" i="68"/>
  <c r="W69" i="68"/>
  <c r="W70" i="68"/>
  <c r="W71" i="68"/>
  <c r="W72" i="68"/>
  <c r="W73" i="68"/>
  <c r="W74" i="68"/>
  <c r="W75" i="68"/>
  <c r="W76" i="68"/>
  <c r="W77" i="68"/>
  <c r="W78" i="68"/>
  <c r="W79" i="68"/>
  <c r="W80" i="68"/>
  <c r="W81" i="68"/>
  <c r="W82" i="68"/>
  <c r="W83" i="68"/>
  <c r="W84" i="68"/>
  <c r="W85" i="68"/>
  <c r="W86" i="68"/>
  <c r="W87" i="68"/>
  <c r="W88" i="68"/>
  <c r="W89" i="68"/>
  <c r="W90" i="68"/>
  <c r="W91" i="68"/>
  <c r="W367" i="68"/>
  <c r="W2" i="68"/>
  <c r="A8" i="8" l="1"/>
  <c r="H8" i="8" s="1"/>
  <c r="A9" i="8"/>
  <c r="H9" i="8" s="1"/>
  <c r="A10" i="8"/>
  <c r="H10" i="8" s="1"/>
  <c r="A11" i="8"/>
  <c r="H11" i="8" s="1"/>
  <c r="A12" i="8"/>
  <c r="H12" i="8" s="1"/>
  <c r="A13" i="8"/>
  <c r="H13" i="8" s="1"/>
  <c r="A14" i="8"/>
  <c r="H14" i="8" s="1"/>
  <c r="A15" i="8"/>
  <c r="H15" i="8" s="1"/>
  <c r="A16" i="8"/>
  <c r="H16" i="8" s="1"/>
  <c r="A17" i="8"/>
  <c r="H17" i="8" s="1"/>
  <c r="A18" i="8"/>
  <c r="H18" i="8" s="1"/>
  <c r="A19" i="8"/>
  <c r="H19" i="8" s="1"/>
  <c r="A20" i="8"/>
  <c r="H20" i="8" s="1"/>
  <c r="A21" i="8"/>
  <c r="H21" i="8" s="1"/>
  <c r="A22" i="8"/>
  <c r="H22" i="8" s="1"/>
  <c r="A23" i="8"/>
  <c r="H23" i="8" s="1"/>
  <c r="A24" i="8"/>
  <c r="H24" i="8" s="1"/>
  <c r="A25" i="8"/>
  <c r="H25" i="8" s="1"/>
  <c r="A26" i="8"/>
  <c r="H26" i="8" s="1"/>
  <c r="A27" i="8"/>
  <c r="H27" i="8" s="1"/>
  <c r="A28" i="8"/>
  <c r="H28" i="8" s="1"/>
  <c r="A29" i="8"/>
  <c r="H29" i="8" s="1"/>
  <c r="A30" i="8"/>
  <c r="H30" i="8" s="1"/>
  <c r="A31" i="8"/>
  <c r="H31" i="8" s="1"/>
  <c r="A32" i="8"/>
  <c r="H32" i="8" s="1"/>
  <c r="A33" i="8"/>
  <c r="H33" i="8" s="1"/>
  <c r="A34" i="8"/>
  <c r="H34" i="8" s="1"/>
  <c r="A35" i="8"/>
  <c r="H35" i="8" s="1"/>
  <c r="A36" i="8"/>
  <c r="H36" i="8" s="1"/>
  <c r="A37" i="8"/>
  <c r="A38" i="8"/>
  <c r="H38" i="8" l="1"/>
  <c r="H37" i="8"/>
  <c r="C8" i="8"/>
  <c r="I8" i="8" s="1"/>
  <c r="C9" i="8"/>
  <c r="I9" i="8" s="1"/>
  <c r="D9" i="8"/>
  <c r="E9" i="8"/>
  <c r="J9" i="8" s="1"/>
  <c r="C10" i="8"/>
  <c r="I10" i="8" s="1"/>
  <c r="D10" i="8"/>
  <c r="E10" i="8"/>
  <c r="J10" i="8" s="1"/>
  <c r="C11" i="8"/>
  <c r="I11" i="8" s="1"/>
  <c r="D11" i="8"/>
  <c r="E11" i="8"/>
  <c r="J11" i="8" s="1"/>
  <c r="C12" i="8"/>
  <c r="I12" i="8" s="1"/>
  <c r="D12" i="8"/>
  <c r="E12" i="8"/>
  <c r="J12" i="8" s="1"/>
  <c r="C13" i="8"/>
  <c r="I13" i="8" s="1"/>
  <c r="D13" i="8"/>
  <c r="E13" i="8"/>
  <c r="J13" i="8" s="1"/>
  <c r="C14" i="8"/>
  <c r="I14" i="8" s="1"/>
  <c r="D14" i="8"/>
  <c r="E14" i="8"/>
  <c r="J14" i="8" s="1"/>
  <c r="C15" i="8"/>
  <c r="I15" i="8" s="1"/>
  <c r="D15" i="8"/>
  <c r="E15" i="8"/>
  <c r="J15" i="8" s="1"/>
  <c r="C16" i="8"/>
  <c r="I16" i="8" s="1"/>
  <c r="D16" i="8"/>
  <c r="E16" i="8"/>
  <c r="J16" i="8" s="1"/>
  <c r="C17" i="8"/>
  <c r="I17" i="8" s="1"/>
  <c r="D17" i="8"/>
  <c r="E17" i="8"/>
  <c r="J17" i="8" s="1"/>
  <c r="C18" i="8"/>
  <c r="I18" i="8" s="1"/>
  <c r="D18" i="8"/>
  <c r="E18" i="8"/>
  <c r="J18" i="8" s="1"/>
  <c r="C19" i="8"/>
  <c r="I19" i="8" s="1"/>
  <c r="D19" i="8"/>
  <c r="E19" i="8"/>
  <c r="J19" i="8" s="1"/>
  <c r="C20" i="8"/>
  <c r="I20" i="8" s="1"/>
  <c r="D20" i="8"/>
  <c r="E20" i="8"/>
  <c r="J20" i="8" s="1"/>
  <c r="C21" i="8"/>
  <c r="I21" i="8" s="1"/>
  <c r="D21" i="8"/>
  <c r="E21" i="8"/>
  <c r="J21" i="8" s="1"/>
  <c r="C22" i="8"/>
  <c r="I22" i="8" s="1"/>
  <c r="D22" i="8"/>
  <c r="E22" i="8"/>
  <c r="J22" i="8" s="1"/>
  <c r="C23" i="8"/>
  <c r="I23" i="8" s="1"/>
  <c r="D23" i="8"/>
  <c r="E23" i="8"/>
  <c r="J23" i="8" s="1"/>
  <c r="C24" i="8"/>
  <c r="I24" i="8" s="1"/>
  <c r="D24" i="8"/>
  <c r="E24" i="8"/>
  <c r="J24" i="8" s="1"/>
  <c r="C25" i="8"/>
  <c r="I25" i="8" s="1"/>
  <c r="D25" i="8"/>
  <c r="E25" i="8"/>
  <c r="J25" i="8" s="1"/>
  <c r="C26" i="8"/>
  <c r="I26" i="8" s="1"/>
  <c r="D26" i="8"/>
  <c r="E26" i="8"/>
  <c r="J26" i="8" s="1"/>
  <c r="C27" i="8"/>
  <c r="I27" i="8" s="1"/>
  <c r="D27" i="8"/>
  <c r="E27" i="8"/>
  <c r="J27" i="8" s="1"/>
  <c r="C28" i="8"/>
  <c r="I28" i="8" s="1"/>
  <c r="D28" i="8"/>
  <c r="E28" i="8"/>
  <c r="J28" i="8" s="1"/>
  <c r="C29" i="8"/>
  <c r="I29" i="8" s="1"/>
  <c r="D29" i="8"/>
  <c r="E29" i="8"/>
  <c r="J29" i="8" s="1"/>
  <c r="C30" i="8"/>
  <c r="I30" i="8" s="1"/>
  <c r="D30" i="8"/>
  <c r="E30" i="8"/>
  <c r="J30" i="8" s="1"/>
  <c r="C31" i="8"/>
  <c r="I31" i="8" s="1"/>
  <c r="D31" i="8"/>
  <c r="E31" i="8"/>
  <c r="J31" i="8" s="1"/>
  <c r="C32" i="8"/>
  <c r="I32" i="8" s="1"/>
  <c r="D32" i="8"/>
  <c r="E32" i="8"/>
  <c r="J32" i="8" s="1"/>
  <c r="C33" i="8"/>
  <c r="I33" i="8" s="1"/>
  <c r="D33" i="8"/>
  <c r="E33" i="8"/>
  <c r="J33" i="8" s="1"/>
  <c r="C34" i="8"/>
  <c r="I34" i="8" s="1"/>
  <c r="D34" i="8"/>
  <c r="E34" i="8"/>
  <c r="J34" i="8" s="1"/>
  <c r="C35" i="8"/>
  <c r="I35" i="8" s="1"/>
  <c r="D35" i="8"/>
  <c r="E35" i="8"/>
  <c r="J35" i="8" s="1"/>
  <c r="C36" i="8"/>
  <c r="I36" i="8" s="1"/>
  <c r="D36" i="8"/>
  <c r="E36" i="8"/>
  <c r="J36" i="8" s="1"/>
  <c r="C37" i="8"/>
  <c r="I37" i="8" s="1"/>
  <c r="D37" i="8"/>
  <c r="E37" i="8"/>
  <c r="J37" i="8" s="1"/>
  <c r="C38" i="8"/>
  <c r="I38" i="8" s="1"/>
  <c r="D38" i="8"/>
  <c r="E38" i="8"/>
  <c r="J38" i="8" s="1"/>
  <c r="E8" i="8"/>
  <c r="J8" i="8" s="1"/>
  <c r="D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8" i="8"/>
  <c r="T2" i="68" l="1"/>
  <c r="T358" i="68"/>
  <c r="T359" i="68"/>
  <c r="T360" i="68"/>
  <c r="T361" i="68"/>
  <c r="T362" i="68"/>
  <c r="T363" i="68"/>
  <c r="T364" i="68"/>
  <c r="T365" i="68"/>
  <c r="T366" i="68"/>
  <c r="S359" i="68"/>
  <c r="S360" i="68" s="1"/>
  <c r="O30" i="98"/>
  <c r="N30" i="98"/>
  <c r="M30" i="98"/>
  <c r="L30" i="98"/>
  <c r="K30" i="98"/>
  <c r="J30" i="98"/>
  <c r="I30" i="98"/>
  <c r="O29" i="98"/>
  <c r="N29" i="98"/>
  <c r="M29" i="98"/>
  <c r="L29" i="98"/>
  <c r="K29" i="98"/>
  <c r="J29" i="98"/>
  <c r="I29" i="98"/>
  <c r="H29" i="98"/>
  <c r="G29" i="98"/>
  <c r="F29" i="98"/>
  <c r="S361" i="68" l="1"/>
  <c r="E48" i="96"/>
  <c r="F48" i="96"/>
  <c r="G48" i="96"/>
  <c r="H48" i="96"/>
  <c r="I48" i="96"/>
  <c r="J48" i="96"/>
  <c r="K48" i="96"/>
  <c r="L48" i="96"/>
  <c r="M48" i="96"/>
  <c r="N48" i="96"/>
  <c r="O48" i="96"/>
  <c r="G47" i="96"/>
  <c r="H47" i="96"/>
  <c r="I47" i="96"/>
  <c r="J47" i="96"/>
  <c r="K47" i="96"/>
  <c r="L47" i="96"/>
  <c r="M47" i="96"/>
  <c r="N47" i="96"/>
  <c r="O47" i="96"/>
  <c r="S362" i="68" l="1"/>
  <c r="D48" i="96"/>
  <c r="S363" i="68" l="1"/>
  <c r="P48" i="96"/>
  <c r="S364" i="68" l="1"/>
  <c r="E22" i="97"/>
  <c r="F22" i="97"/>
  <c r="G22" i="97"/>
  <c r="H22" i="97"/>
  <c r="I22" i="97"/>
  <c r="J22" i="97"/>
  <c r="K22" i="97"/>
  <c r="L22" i="97"/>
  <c r="M22" i="97"/>
  <c r="N22" i="97"/>
  <c r="O22" i="97"/>
  <c r="D22" i="97"/>
  <c r="E18" i="97"/>
  <c r="F18" i="97"/>
  <c r="G18" i="97"/>
  <c r="H18" i="97"/>
  <c r="I18" i="97"/>
  <c r="J18" i="97"/>
  <c r="K18" i="97"/>
  <c r="L18" i="97"/>
  <c r="M18" i="97"/>
  <c r="N18" i="97"/>
  <c r="O18" i="97"/>
  <c r="D18" i="97"/>
  <c r="P18" i="97" l="1"/>
  <c r="P22" i="97"/>
  <c r="S365" i="68"/>
  <c r="S366" i="68" l="1"/>
  <c r="G11" i="63" l="1"/>
  <c r="H11" i="63"/>
  <c r="I11" i="63"/>
  <c r="J11" i="63"/>
  <c r="K11" i="63"/>
  <c r="L11" i="63"/>
  <c r="M11" i="63"/>
  <c r="B8" i="63"/>
  <c r="C8" i="63"/>
  <c r="D8" i="63"/>
  <c r="E8" i="63"/>
  <c r="F8" i="63"/>
  <c r="G8" i="63"/>
  <c r="H8" i="63"/>
  <c r="I8" i="63"/>
  <c r="J8" i="63"/>
  <c r="K8" i="63"/>
  <c r="L8" i="63"/>
  <c r="M8" i="63"/>
  <c r="B9" i="63"/>
  <c r="C9" i="63"/>
  <c r="D9" i="63"/>
  <c r="E9" i="63"/>
  <c r="F9" i="63"/>
  <c r="G9" i="63"/>
  <c r="H9" i="63"/>
  <c r="I9" i="63"/>
  <c r="J9" i="63"/>
  <c r="K9" i="63"/>
  <c r="L9" i="63"/>
  <c r="M9" i="63"/>
  <c r="B10" i="63"/>
  <c r="C10" i="63"/>
  <c r="D10" i="63"/>
  <c r="E10" i="63"/>
  <c r="F10" i="63"/>
  <c r="G10" i="63"/>
  <c r="H10" i="63"/>
  <c r="I10" i="63"/>
  <c r="J10" i="63"/>
  <c r="K10" i="63"/>
  <c r="L10" i="63"/>
  <c r="M10" i="63"/>
  <c r="C7" i="63"/>
  <c r="D7" i="63"/>
  <c r="E7" i="63"/>
  <c r="F7" i="63"/>
  <c r="G7" i="63"/>
  <c r="H7" i="63"/>
  <c r="I7" i="63"/>
  <c r="J7" i="63"/>
  <c r="K7" i="63"/>
  <c r="L7" i="63"/>
  <c r="M7" i="63"/>
  <c r="B7" i="63"/>
  <c r="F11" i="63" l="1"/>
  <c r="E11" i="63"/>
  <c r="D11" i="63"/>
  <c r="C11" i="63"/>
  <c r="B11" i="63"/>
  <c r="D19" i="98"/>
  <c r="E19" i="98"/>
  <c r="F19" i="98"/>
  <c r="G19" i="98"/>
  <c r="H19" i="98"/>
  <c r="I19" i="98"/>
  <c r="J19" i="98"/>
  <c r="K19" i="98"/>
  <c r="L19" i="98"/>
  <c r="M19" i="98"/>
  <c r="N19" i="98"/>
  <c r="O19" i="98"/>
  <c r="D18" i="98"/>
  <c r="E18" i="98"/>
  <c r="F18" i="98"/>
  <c r="G18" i="98"/>
  <c r="H18" i="98"/>
  <c r="I18" i="98"/>
  <c r="J18" i="98"/>
  <c r="K18" i="98"/>
  <c r="L18" i="98"/>
  <c r="M18" i="98"/>
  <c r="N18" i="98"/>
  <c r="O18" i="98"/>
  <c r="E17" i="98"/>
  <c r="E30" i="98" s="1"/>
  <c r="F17" i="98"/>
  <c r="F30" i="98" s="1"/>
  <c r="G17" i="98"/>
  <c r="G30" i="98" s="1"/>
  <c r="H17" i="98"/>
  <c r="H30" i="98" s="1"/>
  <c r="I17" i="98"/>
  <c r="J17" i="98"/>
  <c r="K17" i="98"/>
  <c r="L17" i="98"/>
  <c r="M17" i="98"/>
  <c r="N17" i="98"/>
  <c r="O17" i="98"/>
  <c r="D17" i="98"/>
  <c r="D14" i="98"/>
  <c r="D13" i="98"/>
  <c r="E29" i="98"/>
  <c r="E10" i="97" l="1"/>
  <c r="F10" i="97"/>
  <c r="G10" i="97"/>
  <c r="H10" i="97"/>
  <c r="I10" i="97"/>
  <c r="J10" i="97"/>
  <c r="K10" i="97"/>
  <c r="L10" i="97"/>
  <c r="M10" i="97"/>
  <c r="N10" i="97"/>
  <c r="O10" i="97"/>
  <c r="E11" i="97"/>
  <c r="F11" i="97"/>
  <c r="G11" i="97"/>
  <c r="H11" i="97"/>
  <c r="I11" i="97"/>
  <c r="J11" i="97"/>
  <c r="K11" i="97"/>
  <c r="L11" i="97"/>
  <c r="M11" i="97"/>
  <c r="N11" i="97"/>
  <c r="O11" i="97"/>
  <c r="I12" i="97"/>
  <c r="J12" i="97"/>
  <c r="K12" i="97"/>
  <c r="L12" i="97"/>
  <c r="M12" i="97"/>
  <c r="N12" i="97"/>
  <c r="O12" i="97"/>
  <c r="E15" i="97"/>
  <c r="F15" i="97"/>
  <c r="G15" i="97"/>
  <c r="H15" i="97"/>
  <c r="I15" i="97"/>
  <c r="J15" i="97"/>
  <c r="K15" i="97"/>
  <c r="L15" i="97"/>
  <c r="M15" i="97"/>
  <c r="N15" i="97"/>
  <c r="O15" i="97"/>
  <c r="E16" i="97"/>
  <c r="F16" i="97"/>
  <c r="G16" i="97"/>
  <c r="H16" i="97"/>
  <c r="I16" i="97"/>
  <c r="J16" i="97"/>
  <c r="K16" i="97"/>
  <c r="L16" i="97"/>
  <c r="M16" i="97"/>
  <c r="N16" i="97"/>
  <c r="O16" i="97"/>
  <c r="H17" i="97"/>
  <c r="I17" i="97"/>
  <c r="J17" i="97"/>
  <c r="K17" i="97"/>
  <c r="L17" i="97"/>
  <c r="M17" i="97"/>
  <c r="N17" i="97"/>
  <c r="O17" i="97"/>
  <c r="E19" i="97"/>
  <c r="F19" i="97"/>
  <c r="G19" i="97"/>
  <c r="H19" i="97"/>
  <c r="H21" i="97" s="1"/>
  <c r="I19" i="97"/>
  <c r="J19" i="97"/>
  <c r="K19" i="97"/>
  <c r="L19" i="97"/>
  <c r="M19" i="97"/>
  <c r="N19" i="97"/>
  <c r="O19" i="97"/>
  <c r="E20" i="97"/>
  <c r="F20" i="97"/>
  <c r="G20" i="97"/>
  <c r="H20" i="97"/>
  <c r="I20" i="97"/>
  <c r="J20" i="97"/>
  <c r="K20" i="97"/>
  <c r="L20" i="97"/>
  <c r="M20" i="97"/>
  <c r="N20" i="97"/>
  <c r="O20" i="97"/>
  <c r="I21" i="97"/>
  <c r="J21" i="97"/>
  <c r="K21" i="97"/>
  <c r="L21" i="97"/>
  <c r="M21" i="97"/>
  <c r="N21" i="97"/>
  <c r="O21" i="97"/>
  <c r="E25" i="97"/>
  <c r="F25" i="97"/>
  <c r="G25" i="97"/>
  <c r="H25" i="97"/>
  <c r="I25" i="97"/>
  <c r="J25" i="97"/>
  <c r="K25" i="97"/>
  <c r="L25" i="97"/>
  <c r="M25" i="97"/>
  <c r="N25" i="97"/>
  <c r="O25" i="97"/>
  <c r="E26" i="97"/>
  <c r="F26" i="97"/>
  <c r="G26" i="97"/>
  <c r="H26" i="97"/>
  <c r="I26" i="97"/>
  <c r="J26" i="97"/>
  <c r="K26" i="97"/>
  <c r="L26" i="97"/>
  <c r="M26" i="97"/>
  <c r="N26" i="97"/>
  <c r="O26" i="97"/>
  <c r="E29" i="97"/>
  <c r="F29" i="97"/>
  <c r="G29" i="97"/>
  <c r="H29" i="97"/>
  <c r="I29" i="97"/>
  <c r="J29" i="97"/>
  <c r="K29" i="97"/>
  <c r="L29" i="97"/>
  <c r="M29" i="97"/>
  <c r="N29" i="97"/>
  <c r="O29" i="97"/>
  <c r="E30" i="97"/>
  <c r="F30" i="97"/>
  <c r="G30" i="97"/>
  <c r="H30" i="97"/>
  <c r="I30" i="97"/>
  <c r="J30" i="97"/>
  <c r="K30" i="97"/>
  <c r="L30" i="97"/>
  <c r="M30" i="97"/>
  <c r="N30" i="97"/>
  <c r="O30" i="97"/>
  <c r="I33" i="97"/>
  <c r="J33" i="97"/>
  <c r="K33" i="97"/>
  <c r="L33" i="97"/>
  <c r="M33" i="97"/>
  <c r="N33" i="97"/>
  <c r="O33" i="97"/>
  <c r="I34" i="97"/>
  <c r="J34" i="97"/>
  <c r="K34" i="97"/>
  <c r="L34" i="97"/>
  <c r="M34" i="97"/>
  <c r="N34" i="97"/>
  <c r="O34" i="97"/>
  <c r="D30" i="97"/>
  <c r="D29" i="97"/>
  <c r="D26" i="97"/>
  <c r="D25" i="97"/>
  <c r="D20" i="97"/>
  <c r="D19" i="97"/>
  <c r="D16" i="97"/>
  <c r="D15" i="97"/>
  <c r="D11" i="97"/>
  <c r="D10" i="97"/>
  <c r="I9" i="97"/>
  <c r="J9" i="97"/>
  <c r="K9" i="97"/>
  <c r="L9" i="97"/>
  <c r="M9" i="97"/>
  <c r="N9" i="97"/>
  <c r="O9" i="97"/>
  <c r="E8" i="97"/>
  <c r="F8" i="97"/>
  <c r="G8" i="97"/>
  <c r="H8" i="97"/>
  <c r="I8" i="97"/>
  <c r="J8" i="97"/>
  <c r="K8" i="97"/>
  <c r="L8" i="97"/>
  <c r="M8" i="97"/>
  <c r="N8" i="97"/>
  <c r="O8" i="97"/>
  <c r="D8" i="97"/>
  <c r="E7" i="97"/>
  <c r="E9" i="97" s="1"/>
  <c r="F7" i="97"/>
  <c r="G7" i="97"/>
  <c r="G9" i="97" s="1"/>
  <c r="H7" i="97"/>
  <c r="H9" i="97" s="1"/>
  <c r="I7" i="97"/>
  <c r="J7" i="97"/>
  <c r="K7" i="97"/>
  <c r="L7" i="97"/>
  <c r="M7" i="97"/>
  <c r="N7" i="97"/>
  <c r="O7" i="97"/>
  <c r="D7" i="97"/>
  <c r="D9" i="97" s="1"/>
  <c r="P26" i="94"/>
  <c r="P25" i="94"/>
  <c r="P24" i="94"/>
  <c r="P23" i="94"/>
  <c r="P22" i="94"/>
  <c r="P21" i="94"/>
  <c r="H33" i="97" l="1"/>
  <c r="H12" i="97"/>
  <c r="H34" i="97" s="1"/>
  <c r="G12" i="97"/>
  <c r="G17" i="97"/>
  <c r="G33" i="97" s="1"/>
  <c r="G21" i="97"/>
  <c r="F9" i="97"/>
  <c r="F12" i="97"/>
  <c r="F17" i="97"/>
  <c r="F21" i="97"/>
  <c r="E17" i="97"/>
  <c r="E33" i="97" s="1"/>
  <c r="E21" i="97"/>
  <c r="E12" i="97"/>
  <c r="D17" i="97"/>
  <c r="D33" i="97" s="1"/>
  <c r="D12" i="97"/>
  <c r="D21" i="97"/>
  <c r="P32" i="96"/>
  <c r="P25" i="96"/>
  <c r="P18" i="96"/>
  <c r="P11" i="96"/>
  <c r="I40" i="96"/>
  <c r="J40" i="96"/>
  <c r="K40" i="96"/>
  <c r="L40" i="96"/>
  <c r="M40" i="96"/>
  <c r="N40" i="96"/>
  <c r="O40" i="96"/>
  <c r="I41" i="96"/>
  <c r="J41" i="96"/>
  <c r="K41" i="96"/>
  <c r="L41" i="96"/>
  <c r="M41" i="96"/>
  <c r="N41" i="96"/>
  <c r="O41" i="96"/>
  <c r="I42" i="96"/>
  <c r="J42" i="96"/>
  <c r="K42" i="96"/>
  <c r="L42" i="96"/>
  <c r="M42" i="96"/>
  <c r="N42" i="96"/>
  <c r="O42" i="96"/>
  <c r="E35" i="96"/>
  <c r="F35" i="96"/>
  <c r="G35" i="96"/>
  <c r="H35" i="96"/>
  <c r="I35" i="96"/>
  <c r="J35" i="96"/>
  <c r="K35" i="96"/>
  <c r="L35" i="96"/>
  <c r="M35" i="96"/>
  <c r="N35" i="96"/>
  <c r="O35" i="96"/>
  <c r="E36" i="96"/>
  <c r="F36" i="96"/>
  <c r="G36" i="96"/>
  <c r="H36" i="96"/>
  <c r="I36" i="96"/>
  <c r="J36" i="96"/>
  <c r="K36" i="96"/>
  <c r="L36" i="96"/>
  <c r="M36" i="96"/>
  <c r="N36" i="96"/>
  <c r="O36" i="96"/>
  <c r="I37" i="96"/>
  <c r="J37" i="96"/>
  <c r="K37" i="96"/>
  <c r="L37" i="96"/>
  <c r="M37" i="96"/>
  <c r="N37" i="96"/>
  <c r="O37" i="96"/>
  <c r="E28" i="96"/>
  <c r="F28" i="96"/>
  <c r="G28" i="96"/>
  <c r="H28" i="96"/>
  <c r="I28" i="96"/>
  <c r="J28" i="96"/>
  <c r="K28" i="96"/>
  <c r="L28" i="96"/>
  <c r="M28" i="96"/>
  <c r="N28" i="96"/>
  <c r="O28" i="96"/>
  <c r="E29" i="96"/>
  <c r="F29" i="96"/>
  <c r="G29" i="96"/>
  <c r="H29" i="96"/>
  <c r="I29" i="96"/>
  <c r="J29" i="96"/>
  <c r="K29" i="96"/>
  <c r="L29" i="96"/>
  <c r="M29" i="96"/>
  <c r="N29" i="96"/>
  <c r="O29" i="96"/>
  <c r="I30" i="96"/>
  <c r="J30" i="96"/>
  <c r="K30" i="96"/>
  <c r="L30" i="96"/>
  <c r="M30" i="96"/>
  <c r="N30" i="96"/>
  <c r="O30" i="96"/>
  <c r="E31" i="96"/>
  <c r="F31" i="96"/>
  <c r="G31" i="96"/>
  <c r="H31" i="96"/>
  <c r="I31" i="96"/>
  <c r="J31" i="96"/>
  <c r="K31" i="96"/>
  <c r="L31" i="96"/>
  <c r="M31" i="96"/>
  <c r="N31" i="96"/>
  <c r="O31" i="96"/>
  <c r="I32" i="96"/>
  <c r="J32" i="96"/>
  <c r="K32" i="96"/>
  <c r="L32" i="96"/>
  <c r="M32" i="96"/>
  <c r="N32" i="96"/>
  <c r="O32" i="96"/>
  <c r="E21" i="96"/>
  <c r="F21" i="96"/>
  <c r="G21" i="96"/>
  <c r="H21" i="96"/>
  <c r="I21" i="96"/>
  <c r="J21" i="96"/>
  <c r="K21" i="96"/>
  <c r="L21" i="96"/>
  <c r="M21" i="96"/>
  <c r="N21" i="96"/>
  <c r="O21" i="96"/>
  <c r="E22" i="96"/>
  <c r="F22" i="96"/>
  <c r="G22" i="96"/>
  <c r="H22" i="96"/>
  <c r="I22" i="96"/>
  <c r="J22" i="96"/>
  <c r="K22" i="96"/>
  <c r="L22" i="96"/>
  <c r="M22" i="96"/>
  <c r="N22" i="96"/>
  <c r="O22" i="96"/>
  <c r="I23" i="96"/>
  <c r="J23" i="96"/>
  <c r="K23" i="96"/>
  <c r="L23" i="96"/>
  <c r="M23" i="96"/>
  <c r="N23" i="96"/>
  <c r="O23" i="96"/>
  <c r="E24" i="96"/>
  <c r="F24" i="96"/>
  <c r="G24" i="96"/>
  <c r="H24" i="96"/>
  <c r="I24" i="96"/>
  <c r="J24" i="96"/>
  <c r="K24" i="96"/>
  <c r="L24" i="96"/>
  <c r="M24" i="96"/>
  <c r="N24" i="96"/>
  <c r="O24" i="96"/>
  <c r="I25" i="96"/>
  <c r="J25" i="96"/>
  <c r="K25" i="96"/>
  <c r="L25" i="96"/>
  <c r="M25" i="96"/>
  <c r="N25" i="96"/>
  <c r="O25" i="96"/>
  <c r="E14" i="96"/>
  <c r="F14" i="96"/>
  <c r="G14" i="96"/>
  <c r="H14" i="96"/>
  <c r="I14" i="96"/>
  <c r="J14" i="96"/>
  <c r="K14" i="96"/>
  <c r="L14" i="96"/>
  <c r="M14" i="96"/>
  <c r="N14" i="96"/>
  <c r="O14" i="96"/>
  <c r="E15" i="96"/>
  <c r="F15" i="96"/>
  <c r="G15" i="96"/>
  <c r="H15" i="96"/>
  <c r="I15" i="96"/>
  <c r="J15" i="96"/>
  <c r="K15" i="96"/>
  <c r="L15" i="96"/>
  <c r="M15" i="96"/>
  <c r="N15" i="96"/>
  <c r="O15" i="96"/>
  <c r="I16" i="96"/>
  <c r="J16" i="96"/>
  <c r="K16" i="96"/>
  <c r="L16" i="96"/>
  <c r="M16" i="96"/>
  <c r="N16" i="96"/>
  <c r="O16" i="96"/>
  <c r="E17" i="96"/>
  <c r="F17" i="96"/>
  <c r="G17" i="96"/>
  <c r="H17" i="96"/>
  <c r="I17" i="96"/>
  <c r="J17" i="96"/>
  <c r="K17" i="96"/>
  <c r="L17" i="96"/>
  <c r="M17" i="96"/>
  <c r="N17" i="96"/>
  <c r="O17" i="96"/>
  <c r="I18" i="96"/>
  <c r="J18" i="96"/>
  <c r="K18" i="96"/>
  <c r="L18" i="96"/>
  <c r="M18" i="96"/>
  <c r="N18" i="96"/>
  <c r="O18" i="96"/>
  <c r="E10" i="96"/>
  <c r="F10" i="96"/>
  <c r="G10" i="96"/>
  <c r="H10" i="96"/>
  <c r="I10" i="96"/>
  <c r="J10" i="96"/>
  <c r="K10" i="96"/>
  <c r="L10" i="96"/>
  <c r="M10" i="96"/>
  <c r="N10" i="96"/>
  <c r="O10" i="96"/>
  <c r="I11" i="96"/>
  <c r="J11" i="96"/>
  <c r="K11" i="96"/>
  <c r="L11" i="96"/>
  <c r="M11" i="96"/>
  <c r="N11" i="96"/>
  <c r="O11" i="96"/>
  <c r="I9" i="96"/>
  <c r="J9" i="96"/>
  <c r="K9" i="96"/>
  <c r="L9" i="96"/>
  <c r="M9" i="96"/>
  <c r="N9" i="96"/>
  <c r="O9" i="96"/>
  <c r="E8" i="96"/>
  <c r="F8" i="96"/>
  <c r="G8" i="96"/>
  <c r="H8" i="96"/>
  <c r="I8" i="96"/>
  <c r="J8" i="96"/>
  <c r="K8" i="96"/>
  <c r="L8" i="96"/>
  <c r="M8" i="96"/>
  <c r="N8" i="96"/>
  <c r="O8" i="96"/>
  <c r="E7" i="96"/>
  <c r="F7" i="96"/>
  <c r="G7" i="96"/>
  <c r="H7" i="96"/>
  <c r="I7" i="96"/>
  <c r="J7" i="96"/>
  <c r="K7" i="96"/>
  <c r="L7" i="96"/>
  <c r="M7" i="96"/>
  <c r="N7" i="96"/>
  <c r="O7" i="96"/>
  <c r="M31" i="94"/>
  <c r="N31" i="94"/>
  <c r="O31" i="94"/>
  <c r="M32" i="94"/>
  <c r="N32" i="94"/>
  <c r="O32" i="94"/>
  <c r="M33" i="94"/>
  <c r="N33" i="94"/>
  <c r="O33" i="94"/>
  <c r="M34" i="94"/>
  <c r="N34" i="94"/>
  <c r="O34" i="94"/>
  <c r="D31" i="94"/>
  <c r="E31" i="94"/>
  <c r="F31" i="94"/>
  <c r="G31" i="94"/>
  <c r="D32" i="94"/>
  <c r="E32" i="94"/>
  <c r="F32" i="94"/>
  <c r="G32" i="94"/>
  <c r="D33" i="94"/>
  <c r="E33" i="94"/>
  <c r="F33" i="94"/>
  <c r="G33" i="94"/>
  <c r="D34" i="94"/>
  <c r="E34" i="94"/>
  <c r="F34" i="94"/>
  <c r="G34" i="94"/>
  <c r="D30" i="94"/>
  <c r="E30" i="94"/>
  <c r="F30" i="94"/>
  <c r="G30" i="94"/>
  <c r="H30" i="94"/>
  <c r="I30" i="94"/>
  <c r="J30" i="94"/>
  <c r="K30" i="94"/>
  <c r="L30" i="94"/>
  <c r="M30" i="94"/>
  <c r="N30" i="94"/>
  <c r="O30" i="94"/>
  <c r="E29" i="94"/>
  <c r="F29" i="94"/>
  <c r="G29" i="94"/>
  <c r="H29" i="94"/>
  <c r="I29" i="94"/>
  <c r="J29" i="94"/>
  <c r="K29" i="94"/>
  <c r="L29" i="94"/>
  <c r="M29" i="94"/>
  <c r="N29" i="94"/>
  <c r="O29" i="94"/>
  <c r="D29" i="94"/>
  <c r="D22" i="94"/>
  <c r="E22" i="94"/>
  <c r="F22" i="94"/>
  <c r="G22" i="94"/>
  <c r="H22" i="94"/>
  <c r="I22" i="94"/>
  <c r="J22" i="94"/>
  <c r="K22" i="94"/>
  <c r="L22" i="94"/>
  <c r="M22" i="94"/>
  <c r="N22" i="94"/>
  <c r="O22" i="94"/>
  <c r="D23" i="94"/>
  <c r="E23" i="94"/>
  <c r="F23" i="94"/>
  <c r="G23" i="94"/>
  <c r="H23" i="94"/>
  <c r="I23" i="94"/>
  <c r="J23" i="94"/>
  <c r="K23" i="94"/>
  <c r="L23" i="94"/>
  <c r="M23" i="94"/>
  <c r="N23" i="94"/>
  <c r="O23" i="94"/>
  <c r="D24" i="94"/>
  <c r="E24" i="94"/>
  <c r="F24" i="94"/>
  <c r="G24" i="94"/>
  <c r="H24" i="94"/>
  <c r="I24" i="94"/>
  <c r="J24" i="94"/>
  <c r="K24" i="94"/>
  <c r="L24" i="94"/>
  <c r="M24" i="94"/>
  <c r="N24" i="94"/>
  <c r="O24" i="94"/>
  <c r="D25" i="94"/>
  <c r="E25" i="94"/>
  <c r="F25" i="94"/>
  <c r="G25" i="94"/>
  <c r="H25" i="94"/>
  <c r="I25" i="94"/>
  <c r="J25" i="94"/>
  <c r="K25" i="94"/>
  <c r="L25" i="94"/>
  <c r="M25" i="94"/>
  <c r="N25" i="94"/>
  <c r="O25" i="94"/>
  <c r="D26" i="94"/>
  <c r="E26" i="94"/>
  <c r="F26" i="94"/>
  <c r="G26" i="94"/>
  <c r="H26" i="94"/>
  <c r="I26" i="94"/>
  <c r="J26" i="94"/>
  <c r="K26" i="94"/>
  <c r="L26" i="94"/>
  <c r="M26" i="94"/>
  <c r="N26" i="94"/>
  <c r="O26" i="94"/>
  <c r="E21" i="94"/>
  <c r="F21" i="94"/>
  <c r="G21" i="94"/>
  <c r="H21" i="94"/>
  <c r="I21" i="94"/>
  <c r="J21" i="94"/>
  <c r="K21" i="94"/>
  <c r="L21" i="94"/>
  <c r="M21" i="94"/>
  <c r="N21" i="94"/>
  <c r="O21" i="94"/>
  <c r="D21" i="94"/>
  <c r="D15" i="94"/>
  <c r="E15" i="94"/>
  <c r="F15" i="94"/>
  <c r="G15" i="94"/>
  <c r="H15" i="94"/>
  <c r="I15" i="94"/>
  <c r="J15" i="94"/>
  <c r="K15" i="94"/>
  <c r="L15" i="94"/>
  <c r="M15" i="94"/>
  <c r="N15" i="94"/>
  <c r="O15" i="94"/>
  <c r="D16" i="94"/>
  <c r="E16" i="94"/>
  <c r="F16" i="94"/>
  <c r="G16" i="94"/>
  <c r="H16" i="94"/>
  <c r="I16" i="94"/>
  <c r="J16" i="94"/>
  <c r="K16" i="94"/>
  <c r="L16" i="94"/>
  <c r="M16" i="94"/>
  <c r="N16" i="94"/>
  <c r="O16" i="94"/>
  <c r="D17" i="94"/>
  <c r="E17" i="94"/>
  <c r="F17" i="94"/>
  <c r="G17" i="94"/>
  <c r="H17" i="94"/>
  <c r="I17" i="94"/>
  <c r="J17" i="94"/>
  <c r="K17" i="94"/>
  <c r="L17" i="94"/>
  <c r="M17" i="94"/>
  <c r="N17" i="94"/>
  <c r="O17" i="94"/>
  <c r="D18" i="94"/>
  <c r="E18" i="94"/>
  <c r="F18" i="94"/>
  <c r="G18" i="94"/>
  <c r="H18" i="94"/>
  <c r="I18" i="94"/>
  <c r="J18" i="94"/>
  <c r="K18" i="94"/>
  <c r="L18" i="94"/>
  <c r="M18" i="94"/>
  <c r="N18" i="94"/>
  <c r="O18" i="94"/>
  <c r="E14" i="94"/>
  <c r="F14" i="94"/>
  <c r="G14" i="94"/>
  <c r="H14" i="94"/>
  <c r="I14" i="94"/>
  <c r="J14" i="94"/>
  <c r="K14" i="94"/>
  <c r="L14" i="94"/>
  <c r="M14" i="94"/>
  <c r="N14" i="94"/>
  <c r="O14" i="94"/>
  <c r="D14" i="94"/>
  <c r="E8" i="94"/>
  <c r="F8" i="94"/>
  <c r="G8" i="94"/>
  <c r="H8" i="94"/>
  <c r="I8" i="94"/>
  <c r="J8" i="94"/>
  <c r="K8" i="94"/>
  <c r="L8" i="94"/>
  <c r="M8" i="94"/>
  <c r="N8" i="94"/>
  <c r="O8" i="94"/>
  <c r="E9" i="94"/>
  <c r="F9" i="94"/>
  <c r="G9" i="94"/>
  <c r="H9" i="94"/>
  <c r="I9" i="94"/>
  <c r="J9" i="94"/>
  <c r="K9" i="94"/>
  <c r="L9" i="94"/>
  <c r="M9" i="94"/>
  <c r="N9" i="94"/>
  <c r="O9" i="94"/>
  <c r="E10" i="94"/>
  <c r="F10" i="94"/>
  <c r="G10" i="94"/>
  <c r="H10" i="94"/>
  <c r="I10" i="94"/>
  <c r="J10" i="94"/>
  <c r="K10" i="94"/>
  <c r="L10" i="94"/>
  <c r="M10" i="94"/>
  <c r="N10" i="94"/>
  <c r="O10" i="94"/>
  <c r="E11" i="94"/>
  <c r="F11" i="94"/>
  <c r="G11" i="94"/>
  <c r="H11" i="94"/>
  <c r="I11" i="94"/>
  <c r="J11" i="94"/>
  <c r="K11" i="94"/>
  <c r="L11" i="94"/>
  <c r="M11" i="94"/>
  <c r="N11" i="94"/>
  <c r="O11" i="94"/>
  <c r="E7" i="94"/>
  <c r="F7" i="94"/>
  <c r="G7" i="94"/>
  <c r="H7" i="94"/>
  <c r="I7" i="94"/>
  <c r="J7" i="94"/>
  <c r="K7" i="94"/>
  <c r="L7" i="94"/>
  <c r="M7" i="94"/>
  <c r="N7" i="94"/>
  <c r="O7" i="94"/>
  <c r="D7" i="94"/>
  <c r="G34" i="97" l="1"/>
  <c r="H41" i="96"/>
  <c r="H40" i="96"/>
  <c r="H9" i="96" s="1"/>
  <c r="H42" i="96"/>
  <c r="H32" i="96" s="1"/>
  <c r="G42" i="96"/>
  <c r="G32" i="96" s="1"/>
  <c r="G41" i="96"/>
  <c r="G40" i="96"/>
  <c r="F34" i="97"/>
  <c r="F33" i="97"/>
  <c r="F41" i="96"/>
  <c r="F42" i="96"/>
  <c r="F40" i="96"/>
  <c r="F16" i="96" s="1"/>
  <c r="E34" i="97"/>
  <c r="E40" i="96"/>
  <c r="E30" i="96" s="1"/>
  <c r="E41" i="96"/>
  <c r="E42" i="96"/>
  <c r="E25" i="96" s="1"/>
  <c r="D34" i="97"/>
  <c r="H30" i="96" l="1"/>
  <c r="H37" i="96"/>
  <c r="G25" i="96"/>
  <c r="G18" i="96"/>
  <c r="H23" i="96"/>
  <c r="H16" i="96"/>
  <c r="G11" i="96"/>
  <c r="H25" i="96"/>
  <c r="H11" i="96"/>
  <c r="H18" i="96"/>
  <c r="G37" i="96"/>
  <c r="G23" i="96"/>
  <c r="G9" i="96"/>
  <c r="G16" i="96"/>
  <c r="G30" i="96"/>
  <c r="F9" i="96"/>
  <c r="F11" i="96"/>
  <c r="F32" i="96"/>
  <c r="F25" i="96"/>
  <c r="F23" i="96"/>
  <c r="F37" i="96"/>
  <c r="F30" i="96"/>
  <c r="F18" i="96"/>
  <c r="E9" i="96"/>
  <c r="E37" i="96"/>
  <c r="E18" i="96"/>
  <c r="E16" i="96"/>
  <c r="E23" i="96"/>
  <c r="E32" i="96"/>
  <c r="E11" i="96"/>
  <c r="G16" i="82"/>
  <c r="D16" i="82"/>
  <c r="G15" i="82"/>
  <c r="D15" i="82"/>
  <c r="D8" i="94" l="1"/>
  <c r="D9" i="94"/>
  <c r="D10" i="94"/>
  <c r="D11" i="94"/>
  <c r="D29" i="68" l="1"/>
  <c r="E29" i="68"/>
  <c r="F29" i="68"/>
  <c r="G29" i="68"/>
  <c r="H29" i="68"/>
  <c r="I29" i="68"/>
  <c r="J29" i="68"/>
  <c r="K29" i="68"/>
  <c r="L29" i="68"/>
  <c r="M29" i="68"/>
  <c r="N29" i="68"/>
  <c r="O29" i="68"/>
  <c r="D30" i="68"/>
  <c r="E30" i="68"/>
  <c r="F30" i="68"/>
  <c r="G30" i="68"/>
  <c r="H30" i="68"/>
  <c r="I30" i="68"/>
  <c r="J30" i="68"/>
  <c r="K30" i="68"/>
  <c r="L30" i="68"/>
  <c r="M30" i="68"/>
  <c r="N30" i="68"/>
  <c r="O30" i="68"/>
  <c r="D65" i="92" l="1"/>
  <c r="E65" i="92"/>
  <c r="F65" i="92"/>
  <c r="D52" i="92"/>
  <c r="E52" i="92"/>
  <c r="F52" i="92"/>
  <c r="D53" i="92"/>
  <c r="E53" i="92"/>
  <c r="F53" i="92"/>
  <c r="D54" i="92"/>
  <c r="E54" i="92"/>
  <c r="F54" i="92"/>
  <c r="D55" i="92"/>
  <c r="E55" i="92"/>
  <c r="F55" i="92"/>
  <c r="D56" i="92"/>
  <c r="E56" i="92"/>
  <c r="F56" i="92"/>
  <c r="D57" i="92"/>
  <c r="E57" i="92"/>
  <c r="F57" i="92"/>
  <c r="D58" i="92"/>
  <c r="E58" i="92"/>
  <c r="F58" i="92"/>
  <c r="D59" i="92"/>
  <c r="E59" i="92"/>
  <c r="F59" i="92"/>
  <c r="D60" i="92"/>
  <c r="E60" i="92"/>
  <c r="F60" i="92"/>
  <c r="D61" i="92"/>
  <c r="E61" i="92"/>
  <c r="F61" i="92"/>
  <c r="D62" i="92"/>
  <c r="E62" i="92"/>
  <c r="F62" i="92"/>
  <c r="D63" i="92"/>
  <c r="E63" i="92"/>
  <c r="F63" i="92"/>
  <c r="D64" i="92"/>
  <c r="E64" i="92"/>
  <c r="F64" i="92"/>
  <c r="F50" i="93" l="1"/>
  <c r="G50" i="93"/>
  <c r="F51" i="93"/>
  <c r="G51" i="93"/>
  <c r="F52" i="93"/>
  <c r="G52" i="93"/>
  <c r="F53" i="93"/>
  <c r="G53" i="93"/>
  <c r="F54" i="93"/>
  <c r="G54" i="93"/>
  <c r="E51" i="93"/>
  <c r="E52" i="93"/>
  <c r="E53" i="93"/>
  <c r="E54" i="93"/>
  <c r="E50" i="93"/>
  <c r="J50" i="88"/>
  <c r="I50" i="88"/>
  <c r="J48" i="88"/>
  <c r="I48" i="88"/>
  <c r="J47" i="88"/>
  <c r="I47" i="88"/>
  <c r="J43" i="88"/>
  <c r="I43" i="88"/>
  <c r="I39" i="88"/>
  <c r="J39" i="88"/>
  <c r="I40" i="88"/>
  <c r="J40" i="88"/>
  <c r="I41" i="88"/>
  <c r="J41" i="88"/>
  <c r="J38" i="88"/>
  <c r="I38" i="88"/>
  <c r="J34" i="88"/>
  <c r="I34" i="88"/>
  <c r="I30" i="88"/>
  <c r="J30" i="88"/>
  <c r="I31" i="88"/>
  <c r="J31" i="88"/>
  <c r="I32" i="88"/>
  <c r="J32" i="88"/>
  <c r="J29" i="88"/>
  <c r="I29" i="88"/>
  <c r="J16" i="88"/>
  <c r="I16" i="88"/>
  <c r="I12" i="88"/>
  <c r="J12" i="88"/>
  <c r="I13" i="88"/>
  <c r="J13" i="88"/>
  <c r="I14" i="88"/>
  <c r="J14" i="88"/>
  <c r="J11" i="88"/>
  <c r="I11" i="88"/>
  <c r="D32" i="68" l="1"/>
  <c r="E32" i="68"/>
  <c r="F32" i="68"/>
  <c r="G32" i="68"/>
  <c r="H32" i="68"/>
  <c r="I32" i="68"/>
  <c r="J32" i="68"/>
  <c r="K32" i="68"/>
  <c r="L32" i="68"/>
  <c r="M32" i="68"/>
  <c r="N32" i="68"/>
  <c r="O32" i="68"/>
  <c r="D33" i="68"/>
  <c r="E33" i="68"/>
  <c r="F33" i="68"/>
  <c r="G33" i="68"/>
  <c r="H33" i="68"/>
  <c r="I33" i="68"/>
  <c r="J33" i="68"/>
  <c r="K33" i="68"/>
  <c r="L33" i="68"/>
  <c r="M33" i="68"/>
  <c r="N33" i="68"/>
  <c r="O33" i="68"/>
  <c r="D34" i="68"/>
  <c r="E34" i="68"/>
  <c r="F34" i="68"/>
  <c r="G34" i="68"/>
  <c r="H34" i="68"/>
  <c r="I34" i="68"/>
  <c r="J34" i="68"/>
  <c r="K34" i="68"/>
  <c r="L34" i="68"/>
  <c r="M34" i="68"/>
  <c r="N34" i="68"/>
  <c r="O34" i="68"/>
  <c r="E31" i="68"/>
  <c r="F31" i="68"/>
  <c r="G31" i="68"/>
  <c r="H31" i="68"/>
  <c r="I31" i="68"/>
  <c r="J31" i="68"/>
  <c r="K31" i="68"/>
  <c r="L31" i="68"/>
  <c r="M31" i="68"/>
  <c r="N31" i="68"/>
  <c r="O31" i="68"/>
  <c r="D31" i="68"/>
  <c r="D11" i="88" l="1"/>
  <c r="P7" i="63" s="1"/>
  <c r="H52" i="92" l="1"/>
  <c r="I52" i="92"/>
  <c r="J52" i="92"/>
  <c r="H53" i="92"/>
  <c r="I53" i="92"/>
  <c r="J53" i="92"/>
  <c r="H54" i="92"/>
  <c r="I54" i="92"/>
  <c r="J54" i="92"/>
  <c r="H55" i="92"/>
  <c r="I55" i="92"/>
  <c r="J55" i="92"/>
  <c r="H56" i="92"/>
  <c r="I56" i="92"/>
  <c r="J56" i="92"/>
  <c r="H57" i="92"/>
  <c r="I57" i="92"/>
  <c r="J57" i="92"/>
  <c r="H58" i="92"/>
  <c r="I58" i="92"/>
  <c r="J58" i="92"/>
  <c r="H59" i="92"/>
  <c r="I59" i="92"/>
  <c r="J59" i="92"/>
  <c r="H60" i="92"/>
  <c r="I60" i="92"/>
  <c r="J60" i="92"/>
  <c r="H61" i="92"/>
  <c r="I61" i="92"/>
  <c r="J61" i="92"/>
  <c r="H62" i="92"/>
  <c r="I62" i="92"/>
  <c r="J62" i="92"/>
  <c r="H63" i="92"/>
  <c r="I63" i="92"/>
  <c r="J63" i="92"/>
  <c r="H64" i="92"/>
  <c r="I64" i="92"/>
  <c r="J64" i="92"/>
  <c r="H65" i="92"/>
  <c r="I65" i="92"/>
  <c r="J65" i="92"/>
  <c r="I51" i="92"/>
  <c r="J51" i="92"/>
  <c r="H51" i="92"/>
  <c r="I54" i="91" l="1"/>
  <c r="J54" i="91"/>
  <c r="I55" i="91"/>
  <c r="J55" i="91"/>
  <c r="I56" i="91"/>
  <c r="J56" i="91"/>
  <c r="J53" i="91"/>
  <c r="I53" i="91"/>
  <c r="I47" i="91"/>
  <c r="J47" i="91"/>
  <c r="I48" i="91"/>
  <c r="J48" i="91"/>
  <c r="I49" i="91"/>
  <c r="J49" i="91"/>
  <c r="J46" i="91"/>
  <c r="I46" i="91"/>
  <c r="I40" i="91"/>
  <c r="J40" i="91"/>
  <c r="I41" i="91"/>
  <c r="J41" i="91"/>
  <c r="I42" i="91"/>
  <c r="J42" i="91"/>
  <c r="J39" i="91"/>
  <c r="I39" i="91"/>
  <c r="I33" i="91"/>
  <c r="J33" i="91"/>
  <c r="I34" i="91"/>
  <c r="J34" i="91"/>
  <c r="I35" i="91"/>
  <c r="J35" i="91"/>
  <c r="J32" i="91"/>
  <c r="I32" i="91"/>
  <c r="I26" i="91"/>
  <c r="J26" i="91"/>
  <c r="I27" i="91"/>
  <c r="J27" i="91"/>
  <c r="I28" i="91"/>
  <c r="J28" i="91"/>
  <c r="J25" i="91"/>
  <c r="I25" i="91"/>
  <c r="E25" i="91"/>
  <c r="I19" i="91"/>
  <c r="J19" i="91"/>
  <c r="I20" i="91"/>
  <c r="J20" i="91"/>
  <c r="I21" i="91"/>
  <c r="J21" i="91"/>
  <c r="J18" i="91"/>
  <c r="I18" i="91"/>
  <c r="E18" i="91"/>
  <c r="I12" i="91"/>
  <c r="J12" i="91"/>
  <c r="I13" i="91"/>
  <c r="J13" i="91"/>
  <c r="I14" i="91"/>
  <c r="J14" i="91"/>
  <c r="J11" i="91"/>
  <c r="I11" i="91"/>
  <c r="E11" i="91"/>
  <c r="I54" i="90"/>
  <c r="J54" i="90"/>
  <c r="I55" i="90"/>
  <c r="J55" i="90"/>
  <c r="I56" i="90"/>
  <c r="J56" i="90"/>
  <c r="J53" i="90"/>
  <c r="I53" i="90"/>
  <c r="E53" i="90"/>
  <c r="I47" i="90"/>
  <c r="J47" i="90"/>
  <c r="I48" i="90"/>
  <c r="J48" i="90"/>
  <c r="I49" i="90"/>
  <c r="J49" i="90"/>
  <c r="J46" i="90"/>
  <c r="I46" i="90"/>
  <c r="E46" i="90"/>
  <c r="I40" i="90"/>
  <c r="J40" i="90"/>
  <c r="I41" i="90"/>
  <c r="J41" i="90"/>
  <c r="I42" i="90"/>
  <c r="J42" i="90"/>
  <c r="J39" i="90"/>
  <c r="I39" i="90"/>
  <c r="E39" i="90"/>
  <c r="I33" i="90"/>
  <c r="J33" i="90"/>
  <c r="I34" i="90"/>
  <c r="J34" i="90"/>
  <c r="I35" i="90"/>
  <c r="J35" i="90"/>
  <c r="J32" i="90"/>
  <c r="I32" i="90"/>
  <c r="E32" i="90"/>
  <c r="I26" i="90"/>
  <c r="J26" i="90"/>
  <c r="I27" i="90"/>
  <c r="J27" i="90"/>
  <c r="I28" i="90"/>
  <c r="J28" i="90"/>
  <c r="J25" i="90"/>
  <c r="I25" i="90"/>
  <c r="I19" i="90"/>
  <c r="J19" i="90"/>
  <c r="I20" i="90"/>
  <c r="J20" i="90"/>
  <c r="I21" i="90"/>
  <c r="J21" i="90"/>
  <c r="J18" i="90"/>
  <c r="I18" i="90"/>
  <c r="I12" i="90"/>
  <c r="J12" i="90"/>
  <c r="I13" i="90"/>
  <c r="J13" i="90"/>
  <c r="I14" i="90"/>
  <c r="J14" i="90"/>
  <c r="J11" i="90"/>
  <c r="I11" i="90"/>
  <c r="D54" i="91"/>
  <c r="E54" i="91"/>
  <c r="F54" i="91"/>
  <c r="D55" i="91"/>
  <c r="E55" i="91"/>
  <c r="F55" i="91"/>
  <c r="D56" i="91"/>
  <c r="E56" i="91"/>
  <c r="F56" i="91"/>
  <c r="E53" i="91"/>
  <c r="F53" i="91"/>
  <c r="D53" i="91"/>
  <c r="D47" i="91"/>
  <c r="E47" i="91"/>
  <c r="F47" i="91"/>
  <c r="D48" i="91"/>
  <c r="E48" i="91"/>
  <c r="F48" i="91"/>
  <c r="D49" i="91"/>
  <c r="E49" i="91"/>
  <c r="F49" i="91"/>
  <c r="E46" i="91"/>
  <c r="F46" i="91"/>
  <c r="D46" i="91"/>
  <c r="D40" i="91"/>
  <c r="E40" i="91"/>
  <c r="F40" i="91"/>
  <c r="D41" i="91"/>
  <c r="E41" i="91"/>
  <c r="F41" i="91"/>
  <c r="D42" i="91"/>
  <c r="E42" i="91"/>
  <c r="F42" i="91"/>
  <c r="D39" i="91"/>
  <c r="D33" i="91"/>
  <c r="E33" i="91"/>
  <c r="F33" i="91"/>
  <c r="D34" i="91"/>
  <c r="E34" i="91"/>
  <c r="F34" i="91"/>
  <c r="D35" i="91"/>
  <c r="E35" i="91"/>
  <c r="F35" i="91"/>
  <c r="D32" i="91"/>
  <c r="D26" i="91"/>
  <c r="E26" i="91"/>
  <c r="F26" i="91"/>
  <c r="D27" i="91"/>
  <c r="E27" i="91"/>
  <c r="F27" i="91"/>
  <c r="D28" i="91"/>
  <c r="E28" i="91"/>
  <c r="F28" i="91"/>
  <c r="F25" i="91"/>
  <c r="D25" i="91"/>
  <c r="D19" i="91"/>
  <c r="E19" i="91"/>
  <c r="F19" i="91"/>
  <c r="D20" i="91"/>
  <c r="E20" i="91"/>
  <c r="F20" i="91"/>
  <c r="D21" i="91"/>
  <c r="E21" i="91"/>
  <c r="F21" i="91"/>
  <c r="F18" i="91"/>
  <c r="D18" i="91"/>
  <c r="D12" i="91"/>
  <c r="E12" i="91"/>
  <c r="F12" i="91"/>
  <c r="D13" i="91"/>
  <c r="E13" i="91"/>
  <c r="F13" i="91"/>
  <c r="D14" i="91"/>
  <c r="E14" i="91"/>
  <c r="F14" i="91"/>
  <c r="F11" i="91"/>
  <c r="D11" i="91"/>
  <c r="D54" i="90"/>
  <c r="E54" i="90"/>
  <c r="F54" i="90"/>
  <c r="D55" i="90"/>
  <c r="E55" i="90"/>
  <c r="F55" i="90"/>
  <c r="D56" i="90"/>
  <c r="E56" i="90"/>
  <c r="F56" i="90"/>
  <c r="F53" i="90"/>
  <c r="D53" i="90"/>
  <c r="D47" i="90"/>
  <c r="E47" i="90"/>
  <c r="F47" i="90"/>
  <c r="D48" i="90"/>
  <c r="E48" i="90"/>
  <c r="F48" i="90"/>
  <c r="D49" i="90"/>
  <c r="E49" i="90"/>
  <c r="F49" i="90"/>
  <c r="F46" i="90"/>
  <c r="D46" i="90"/>
  <c r="D40" i="90"/>
  <c r="E40" i="90"/>
  <c r="F40" i="90"/>
  <c r="D41" i="90"/>
  <c r="E41" i="90"/>
  <c r="F41" i="90"/>
  <c r="D42" i="90"/>
  <c r="E42" i="90"/>
  <c r="F42" i="90"/>
  <c r="F39" i="90"/>
  <c r="D39" i="90"/>
  <c r="D33" i="90"/>
  <c r="E33" i="90"/>
  <c r="F33" i="90"/>
  <c r="D34" i="90"/>
  <c r="E34" i="90"/>
  <c r="F34" i="90"/>
  <c r="D35" i="90"/>
  <c r="E35" i="90"/>
  <c r="F35" i="90"/>
  <c r="F32" i="90"/>
  <c r="D32" i="90"/>
  <c r="D26" i="90"/>
  <c r="E26" i="90"/>
  <c r="F26" i="90"/>
  <c r="D27" i="90"/>
  <c r="E27" i="90"/>
  <c r="F27" i="90"/>
  <c r="D28" i="90"/>
  <c r="E28" i="90"/>
  <c r="F28" i="90"/>
  <c r="E25" i="90"/>
  <c r="F25" i="90"/>
  <c r="D25" i="90"/>
  <c r="D19" i="90"/>
  <c r="E19" i="90"/>
  <c r="F19" i="90"/>
  <c r="D20" i="90"/>
  <c r="E20" i="90"/>
  <c r="F20" i="90"/>
  <c r="D21" i="90"/>
  <c r="E21" i="90"/>
  <c r="F21" i="90"/>
  <c r="E18" i="90"/>
  <c r="F18" i="90"/>
  <c r="D18" i="90"/>
  <c r="D12" i="90"/>
  <c r="E12" i="90"/>
  <c r="F12" i="90"/>
  <c r="D13" i="90"/>
  <c r="E13" i="90"/>
  <c r="F13" i="90"/>
  <c r="D14" i="90"/>
  <c r="E14" i="90"/>
  <c r="F14" i="90"/>
  <c r="E11" i="90"/>
  <c r="F11" i="90"/>
  <c r="D11" i="90"/>
  <c r="J43" i="90" l="1"/>
  <c r="I15" i="92" s="1"/>
  <c r="J50" i="90"/>
  <c r="I16" i="92" s="1"/>
  <c r="J36" i="90"/>
  <c r="I14" i="92" s="1"/>
  <c r="J22" i="90"/>
  <c r="I12" i="92" s="1"/>
  <c r="I43" i="90"/>
  <c r="H15" i="92" s="1"/>
  <c r="J29" i="90"/>
  <c r="I13" i="92" s="1"/>
  <c r="I36" i="90"/>
  <c r="H14" i="92" s="1"/>
  <c r="I50" i="90"/>
  <c r="H16" i="92" s="1"/>
  <c r="I29" i="90"/>
  <c r="H13" i="92" s="1"/>
  <c r="I22" i="90"/>
  <c r="H12" i="92" s="1"/>
  <c r="K54" i="93"/>
  <c r="J54" i="93"/>
  <c r="I54" i="93"/>
  <c r="K53" i="93"/>
  <c r="J53" i="93"/>
  <c r="I53" i="93"/>
  <c r="K52" i="93"/>
  <c r="J52" i="93"/>
  <c r="I52" i="93"/>
  <c r="K51" i="93"/>
  <c r="J51" i="93"/>
  <c r="I51" i="93"/>
  <c r="K50" i="93"/>
  <c r="J50" i="93"/>
  <c r="I50" i="93"/>
  <c r="F48" i="88"/>
  <c r="E48" i="88"/>
  <c r="D48" i="88"/>
  <c r="D47" i="88"/>
  <c r="F43" i="88"/>
  <c r="E43" i="88"/>
  <c r="F41" i="88"/>
  <c r="E41" i="88"/>
  <c r="D41" i="88"/>
  <c r="F40" i="88"/>
  <c r="E40" i="88"/>
  <c r="D40" i="88"/>
  <c r="F39" i="88"/>
  <c r="E39" i="88"/>
  <c r="D39" i="88"/>
  <c r="F38" i="88"/>
  <c r="E38" i="88"/>
  <c r="D38" i="88"/>
  <c r="F34" i="88"/>
  <c r="E34" i="88"/>
  <c r="F32" i="88"/>
  <c r="E32" i="88"/>
  <c r="D32" i="88"/>
  <c r="F31" i="88"/>
  <c r="E31" i="88"/>
  <c r="D31" i="88"/>
  <c r="F30" i="88"/>
  <c r="E30" i="88"/>
  <c r="D30" i="88"/>
  <c r="F29" i="88"/>
  <c r="E29" i="88"/>
  <c r="D29" i="88"/>
  <c r="J25" i="88"/>
  <c r="I25" i="88"/>
  <c r="F25" i="88"/>
  <c r="E25" i="88"/>
  <c r="J23" i="88"/>
  <c r="I23" i="88"/>
  <c r="F23" i="88"/>
  <c r="E23" i="88"/>
  <c r="D23" i="88"/>
  <c r="J22" i="88"/>
  <c r="I22" i="88"/>
  <c r="F22" i="88"/>
  <c r="E22" i="88"/>
  <c r="D22" i="88"/>
  <c r="J21" i="88"/>
  <c r="I21" i="88"/>
  <c r="F21" i="88"/>
  <c r="E21" i="88"/>
  <c r="D21" i="88"/>
  <c r="J20" i="88"/>
  <c r="I20" i="88"/>
  <c r="F20" i="88"/>
  <c r="E20" i="88"/>
  <c r="D20" i="88"/>
  <c r="F14" i="88"/>
  <c r="E14" i="88"/>
  <c r="D14" i="88"/>
  <c r="F13" i="88"/>
  <c r="E13" i="88"/>
  <c r="D13" i="88"/>
  <c r="F12" i="88"/>
  <c r="E12" i="88"/>
  <c r="D12" i="88"/>
  <c r="I26" i="92"/>
  <c r="H26" i="92"/>
  <c r="H50" i="93" l="1"/>
  <c r="H12" i="88"/>
  <c r="I15" i="88"/>
  <c r="D15" i="88"/>
  <c r="D17" i="88" s="1"/>
  <c r="G21" i="82"/>
  <c r="I21" i="82" s="1"/>
  <c r="D21" i="82"/>
  <c r="F21" i="82" s="1"/>
  <c r="H20" i="82"/>
  <c r="G20" i="82"/>
  <c r="E20" i="82"/>
  <c r="D20" i="82"/>
  <c r="I16" i="82"/>
  <c r="F16" i="82"/>
  <c r="H22" i="82"/>
  <c r="I22" i="82" s="1"/>
  <c r="E17" i="82"/>
  <c r="D17" i="82"/>
  <c r="H12" i="82"/>
  <c r="G12" i="82"/>
  <c r="E12" i="82"/>
  <c r="D12" i="82"/>
  <c r="H11" i="82"/>
  <c r="G11" i="82"/>
  <c r="G13" i="82" s="1"/>
  <c r="E11" i="82"/>
  <c r="D11" i="82"/>
  <c r="D13" i="82" s="1"/>
  <c r="H8" i="82"/>
  <c r="G8" i="82"/>
  <c r="E8" i="82"/>
  <c r="D8" i="82"/>
  <c r="H7" i="82"/>
  <c r="G7" i="82"/>
  <c r="E7" i="82"/>
  <c r="D7" i="82"/>
  <c r="H54" i="93"/>
  <c r="H53" i="93"/>
  <c r="H52" i="93"/>
  <c r="H51" i="93"/>
  <c r="H48" i="88"/>
  <c r="D49" i="88"/>
  <c r="D51" i="88" s="1"/>
  <c r="H43" i="88"/>
  <c r="H41" i="88"/>
  <c r="J42" i="88"/>
  <c r="J44" i="88" s="1"/>
  <c r="J13" i="93" s="1"/>
  <c r="D42" i="88"/>
  <c r="D44" i="88" s="1"/>
  <c r="H34" i="88"/>
  <c r="H32" i="88"/>
  <c r="H31" i="88"/>
  <c r="H30" i="88"/>
  <c r="J33" i="88"/>
  <c r="J35" i="88" s="1"/>
  <c r="J12" i="93" s="1"/>
  <c r="I33" i="88"/>
  <c r="E33" i="88"/>
  <c r="D33" i="88"/>
  <c r="D35" i="88" s="1"/>
  <c r="H25" i="88"/>
  <c r="H21" i="88"/>
  <c r="H20" i="88"/>
  <c r="H14" i="88"/>
  <c r="H13" i="88"/>
  <c r="J15" i="88"/>
  <c r="J17" i="88" s="1"/>
  <c r="H9" i="82" l="1"/>
  <c r="D9" i="82"/>
  <c r="E9" i="82"/>
  <c r="G17" i="82"/>
  <c r="E22" i="82"/>
  <c r="E23" i="82" s="1"/>
  <c r="F8" i="82"/>
  <c r="G9" i="82"/>
  <c r="I8" i="82"/>
  <c r="H22" i="88"/>
  <c r="F33" i="88"/>
  <c r="F35" i="88" s="1"/>
  <c r="F12" i="93" s="1"/>
  <c r="F42" i="88"/>
  <c r="F44" i="88" s="1"/>
  <c r="F13" i="93" s="1"/>
  <c r="H39" i="88"/>
  <c r="J49" i="88"/>
  <c r="J51" i="88" s="1"/>
  <c r="J14" i="93" s="1"/>
  <c r="F24" i="88"/>
  <c r="F26" i="88" s="1"/>
  <c r="F11" i="93" s="1"/>
  <c r="E42" i="88"/>
  <c r="E44" i="88" s="1"/>
  <c r="E13" i="93" s="1"/>
  <c r="I11" i="82"/>
  <c r="I12" i="82"/>
  <c r="D24" i="88"/>
  <c r="D26" i="88" s="1"/>
  <c r="J24" i="88"/>
  <c r="J26" i="88" s="1"/>
  <c r="J11" i="93" s="1"/>
  <c r="H23" i="88"/>
  <c r="H29" i="88"/>
  <c r="I42" i="88"/>
  <c r="I44" i="88" s="1"/>
  <c r="H40" i="88"/>
  <c r="H13" i="82"/>
  <c r="F11" i="82"/>
  <c r="F12" i="82"/>
  <c r="F20" i="82"/>
  <c r="I17" i="88"/>
  <c r="I35" i="88"/>
  <c r="E35" i="88"/>
  <c r="E12" i="93" s="1"/>
  <c r="H33" i="88"/>
  <c r="E24" i="88"/>
  <c r="I24" i="88"/>
  <c r="H38" i="88"/>
  <c r="I49" i="88"/>
  <c r="H23" i="82"/>
  <c r="F22" i="82"/>
  <c r="E13" i="82"/>
  <c r="I7" i="82"/>
  <c r="I15" i="82"/>
  <c r="I17" i="82" s="1"/>
  <c r="I20" i="82"/>
  <c r="F7" i="82"/>
  <c r="F15" i="82"/>
  <c r="F17" i="82" s="1"/>
  <c r="H17" i="82"/>
  <c r="F9" i="82" l="1"/>
  <c r="J15" i="93"/>
  <c r="I9" i="82"/>
  <c r="F13" i="82"/>
  <c r="I13" i="82"/>
  <c r="H42" i="88"/>
  <c r="K40" i="88"/>
  <c r="I13" i="93"/>
  <c r="H13" i="93" s="1"/>
  <c r="K32" i="88"/>
  <c r="I12" i="93"/>
  <c r="H12" i="93" s="1"/>
  <c r="G33" i="88"/>
  <c r="H44" i="88"/>
  <c r="G41" i="88"/>
  <c r="G38" i="88"/>
  <c r="G42" i="88"/>
  <c r="G39" i="88"/>
  <c r="K30" i="88"/>
  <c r="H35" i="88"/>
  <c r="G30" i="88"/>
  <c r="K29" i="88"/>
  <c r="K39" i="88"/>
  <c r="K33" i="88"/>
  <c r="K43" i="88"/>
  <c r="K34" i="88"/>
  <c r="I26" i="88"/>
  <c r="I11" i="93" s="1"/>
  <c r="I51" i="88"/>
  <c r="G29" i="88"/>
  <c r="K38" i="88"/>
  <c r="E26" i="88"/>
  <c r="H24" i="88"/>
  <c r="G43" i="88"/>
  <c r="K42" i="88"/>
  <c r="K41" i="88"/>
  <c r="K14" i="88"/>
  <c r="K13" i="88"/>
  <c r="K12" i="88"/>
  <c r="K11" i="88"/>
  <c r="G40" i="88"/>
  <c r="G34" i="88"/>
  <c r="G31" i="88"/>
  <c r="K16" i="88"/>
  <c r="K31" i="88"/>
  <c r="G32" i="88"/>
  <c r="K15" i="88"/>
  <c r="K17" i="88" l="1"/>
  <c r="I14" i="93"/>
  <c r="I15" i="93" s="1"/>
  <c r="K13" i="93" s="1"/>
  <c r="K48" i="88"/>
  <c r="K47" i="88"/>
  <c r="K44" i="88"/>
  <c r="G35" i="88"/>
  <c r="G24" i="88"/>
  <c r="E11" i="93"/>
  <c r="K49" i="88"/>
  <c r="G44" i="88"/>
  <c r="K35" i="88"/>
  <c r="K23" i="88"/>
  <c r="K22" i="88"/>
  <c r="K21" i="88"/>
  <c r="K20" i="88"/>
  <c r="K25" i="88"/>
  <c r="K50" i="88"/>
  <c r="H26" i="88"/>
  <c r="G23" i="88"/>
  <c r="G22" i="88"/>
  <c r="G21" i="88"/>
  <c r="G20" i="88"/>
  <c r="G25" i="88"/>
  <c r="K24" i="88"/>
  <c r="P19" i="98"/>
  <c r="P18" i="98"/>
  <c r="P17" i="98"/>
  <c r="P14" i="98"/>
  <c r="P13" i="98"/>
  <c r="P9" i="98"/>
  <c r="K51" i="88" l="1"/>
  <c r="K11" i="93"/>
  <c r="K14" i="93"/>
  <c r="K12" i="93"/>
  <c r="G26" i="88"/>
  <c r="H11" i="93"/>
  <c r="K26" i="88"/>
  <c r="E28" i="98"/>
  <c r="F28" i="98"/>
  <c r="G28" i="98"/>
  <c r="H28" i="98"/>
  <c r="I28" i="98"/>
  <c r="J28" i="98"/>
  <c r="K28" i="98"/>
  <c r="L28" i="98"/>
  <c r="M28" i="98"/>
  <c r="N28" i="98"/>
  <c r="O28" i="98"/>
  <c r="D30" i="98"/>
  <c r="D28" i="98"/>
  <c r="P8" i="98"/>
  <c r="P7" i="98"/>
  <c r="A3" i="98"/>
  <c r="K15" i="93" l="1"/>
  <c r="P9" i="97"/>
  <c r="P10" i="97"/>
  <c r="P8" i="97"/>
  <c r="P11" i="97"/>
  <c r="P12" i="97"/>
  <c r="P15" i="97"/>
  <c r="P16" i="97"/>
  <c r="P17" i="97"/>
  <c r="P19" i="97"/>
  <c r="P20" i="97"/>
  <c r="P21" i="97"/>
  <c r="P25" i="97"/>
  <c r="P26" i="97"/>
  <c r="P29" i="97"/>
  <c r="P30" i="97"/>
  <c r="P33" i="97"/>
  <c r="P34" i="97"/>
  <c r="P7" i="97"/>
  <c r="A3" i="97"/>
  <c r="A3" i="96"/>
  <c r="D24" i="96" l="1"/>
  <c r="D15" i="96"/>
  <c r="D21" i="96"/>
  <c r="D17" i="96"/>
  <c r="D31" i="96"/>
  <c r="D22" i="96"/>
  <c r="D14" i="96"/>
  <c r="D29" i="96"/>
  <c r="D10" i="96"/>
  <c r="D28" i="96"/>
  <c r="P8" i="94"/>
  <c r="P10" i="94"/>
  <c r="P11" i="94"/>
  <c r="P14" i="94"/>
  <c r="P15" i="94"/>
  <c r="P17" i="94"/>
  <c r="P18" i="94"/>
  <c r="P7" i="94"/>
  <c r="D42" i="96" l="1"/>
  <c r="D32" i="96" s="1"/>
  <c r="P21" i="96"/>
  <c r="P9" i="94"/>
  <c r="P15" i="96"/>
  <c r="P10" i="96"/>
  <c r="P31" i="96"/>
  <c r="P29" i="96"/>
  <c r="P24" i="96"/>
  <c r="P22" i="96"/>
  <c r="P17" i="96"/>
  <c r="P14" i="96"/>
  <c r="P28" i="96"/>
  <c r="P16" i="94"/>
  <c r="A3" i="94"/>
  <c r="D25" i="96" l="1"/>
  <c r="P42" i="96"/>
  <c r="D11" i="96"/>
  <c r="D18" i="96"/>
  <c r="B25" i="94"/>
  <c r="B18" i="94"/>
  <c r="B11" i="94"/>
  <c r="B24" i="94"/>
  <c r="B17" i="94"/>
  <c r="B10" i="94"/>
  <c r="A29" i="94"/>
  <c r="B15" i="94"/>
  <c r="A21" i="94"/>
  <c r="B14" i="94"/>
  <c r="B22" i="94"/>
  <c r="B21" i="94"/>
  <c r="B7" i="94"/>
  <c r="B8" i="94"/>
  <c r="C4" i="92"/>
  <c r="A27" i="68" l="1"/>
  <c r="P8" i="63"/>
  <c r="P9" i="63"/>
  <c r="P10" i="63"/>
  <c r="P11" i="63"/>
  <c r="A3" i="63"/>
  <c r="I3" i="8"/>
  <c r="A3" i="8"/>
  <c r="H7" i="92"/>
  <c r="D7" i="92"/>
  <c r="D23" i="93"/>
  <c r="E23" i="93"/>
  <c r="F23" i="93"/>
  <c r="D24" i="93"/>
  <c r="E24" i="93"/>
  <c r="F24" i="93"/>
  <c r="D25" i="93"/>
  <c r="F25" i="93"/>
  <c r="F22" i="93"/>
  <c r="E22" i="93"/>
  <c r="D22" i="93"/>
  <c r="F36" i="93"/>
  <c r="F37" i="93"/>
  <c r="F35" i="93"/>
  <c r="E36" i="93"/>
  <c r="E37" i="93"/>
  <c r="E38" i="93"/>
  <c r="E35" i="93"/>
  <c r="S2" i="68" l="1"/>
  <c r="U1" i="68"/>
  <c r="V1" i="68"/>
  <c r="G52" i="92"/>
  <c r="G53" i="92"/>
  <c r="G54" i="92"/>
  <c r="G55" i="92"/>
  <c r="G56" i="92"/>
  <c r="G57" i="92"/>
  <c r="G58" i="92"/>
  <c r="G59" i="92"/>
  <c r="G60" i="92"/>
  <c r="G61" i="92"/>
  <c r="G62" i="92"/>
  <c r="G63" i="92"/>
  <c r="G64" i="92"/>
  <c r="G65" i="92"/>
  <c r="F4" i="93"/>
  <c r="J7" i="93" s="1"/>
  <c r="D4" i="93"/>
  <c r="I7" i="93" s="1"/>
  <c r="I45" i="93" s="1"/>
  <c r="S3" i="68" l="1"/>
  <c r="V2" i="68"/>
  <c r="E7" i="93"/>
  <c r="E33" i="93" s="1"/>
  <c r="J45" i="93"/>
  <c r="F21" i="93"/>
  <c r="F7" i="93"/>
  <c r="E20" i="93" l="1"/>
  <c r="E45" i="93"/>
  <c r="V3" i="68"/>
  <c r="T3" i="68"/>
  <c r="S4" i="68"/>
  <c r="F33" i="93"/>
  <c r="E21" i="93"/>
  <c r="F45" i="93"/>
  <c r="T4" i="68" l="1"/>
  <c r="V4" i="68"/>
  <c r="S5" i="68"/>
  <c r="E4" i="92"/>
  <c r="E7" i="92" s="1"/>
  <c r="D10" i="92" s="1"/>
  <c r="H46" i="92"/>
  <c r="S6" i="68" l="1"/>
  <c r="T5" i="68"/>
  <c r="V5" i="68"/>
  <c r="E46" i="92"/>
  <c r="I7" i="92"/>
  <c r="K42" i="90"/>
  <c r="K28" i="90"/>
  <c r="K20" i="90"/>
  <c r="T6" i="68" l="1"/>
  <c r="S7" i="68"/>
  <c r="V6" i="68"/>
  <c r="I46" i="92"/>
  <c r="H10" i="92"/>
  <c r="D46" i="92"/>
  <c r="D32" i="92"/>
  <c r="J57" i="91"/>
  <c r="I24" i="92" s="1"/>
  <c r="I57" i="91"/>
  <c r="F57" i="91"/>
  <c r="E24" i="92" s="1"/>
  <c r="E57" i="91"/>
  <c r="G53" i="91" s="1"/>
  <c r="D57" i="91"/>
  <c r="H56" i="91"/>
  <c r="H55" i="91"/>
  <c r="H54" i="91"/>
  <c r="H53" i="91"/>
  <c r="J50" i="91"/>
  <c r="I23" i="92" s="1"/>
  <c r="I50" i="91"/>
  <c r="F50" i="91"/>
  <c r="E23" i="92" s="1"/>
  <c r="E50" i="91"/>
  <c r="D50" i="91"/>
  <c r="H49" i="91"/>
  <c r="H48" i="91"/>
  <c r="H47" i="91"/>
  <c r="H46" i="91"/>
  <c r="J43" i="91"/>
  <c r="I22" i="92" s="1"/>
  <c r="I43" i="91"/>
  <c r="K39" i="91" s="1"/>
  <c r="D43" i="91"/>
  <c r="H42" i="91"/>
  <c r="H41" i="91"/>
  <c r="H40" i="91"/>
  <c r="J36" i="91"/>
  <c r="I21" i="92" s="1"/>
  <c r="I36" i="91"/>
  <c r="K33" i="91" s="1"/>
  <c r="D36" i="91"/>
  <c r="H35" i="91"/>
  <c r="H34" i="91"/>
  <c r="H33" i="91"/>
  <c r="J29" i="91"/>
  <c r="I20" i="92" s="1"/>
  <c r="I29" i="91"/>
  <c r="F29" i="91"/>
  <c r="E20" i="92" s="1"/>
  <c r="E29" i="91"/>
  <c r="D29" i="91"/>
  <c r="H28" i="91"/>
  <c r="H27" i="91"/>
  <c r="H26" i="91"/>
  <c r="H25" i="91"/>
  <c r="J22" i="91"/>
  <c r="I19" i="92" s="1"/>
  <c r="I22" i="91"/>
  <c r="K19" i="91" s="1"/>
  <c r="F22" i="91"/>
  <c r="E19" i="92" s="1"/>
  <c r="E22" i="91"/>
  <c r="G19" i="91" s="1"/>
  <c r="D22" i="91"/>
  <c r="H21" i="91"/>
  <c r="H20" i="91"/>
  <c r="H19" i="91"/>
  <c r="H18" i="91"/>
  <c r="J15" i="91"/>
  <c r="I18" i="92" s="1"/>
  <c r="I15" i="91"/>
  <c r="K11" i="91" s="1"/>
  <c r="F15" i="91"/>
  <c r="E18" i="92" s="1"/>
  <c r="E15" i="91"/>
  <c r="D18" i="92" s="1"/>
  <c r="D15" i="91"/>
  <c r="H14" i="91"/>
  <c r="H13" i="91"/>
  <c r="H12" i="91"/>
  <c r="H11" i="91"/>
  <c r="K47" i="90"/>
  <c r="K48" i="90"/>
  <c r="K49" i="90"/>
  <c r="K46" i="90"/>
  <c r="K40" i="90"/>
  <c r="K41" i="90"/>
  <c r="K39" i="90"/>
  <c r="K33" i="90"/>
  <c r="K34" i="90"/>
  <c r="K35" i="90"/>
  <c r="K32" i="90"/>
  <c r="K26" i="90"/>
  <c r="K27" i="90"/>
  <c r="K25" i="90"/>
  <c r="K19" i="90"/>
  <c r="K21" i="90"/>
  <c r="K18" i="90"/>
  <c r="H19" i="90"/>
  <c r="H12" i="90"/>
  <c r="H11" i="90"/>
  <c r="H53" i="90"/>
  <c r="H54" i="90"/>
  <c r="H55" i="90"/>
  <c r="H56" i="90"/>
  <c r="J57" i="90"/>
  <c r="I17" i="92" s="1"/>
  <c r="I57" i="90"/>
  <c r="F57" i="90"/>
  <c r="E17" i="92" s="1"/>
  <c r="E57" i="90"/>
  <c r="D57" i="90"/>
  <c r="F50" i="90"/>
  <c r="E16" i="92" s="1"/>
  <c r="E50" i="90"/>
  <c r="D50" i="90"/>
  <c r="H49" i="90"/>
  <c r="H48" i="90"/>
  <c r="H47" i="90"/>
  <c r="H46" i="90"/>
  <c r="F43" i="90"/>
  <c r="E15" i="92" s="1"/>
  <c r="E43" i="90"/>
  <c r="D43" i="90"/>
  <c r="H42" i="90"/>
  <c r="H41" i="90"/>
  <c r="H40" i="90"/>
  <c r="H39" i="90"/>
  <c r="F36" i="90"/>
  <c r="E14" i="92" s="1"/>
  <c r="E36" i="90"/>
  <c r="D36" i="90"/>
  <c r="H35" i="90"/>
  <c r="H34" i="90"/>
  <c r="H33" i="90"/>
  <c r="H32" i="90"/>
  <c r="F29" i="90"/>
  <c r="E13" i="92" s="1"/>
  <c r="E29" i="90"/>
  <c r="D29" i="90"/>
  <c r="H28" i="90"/>
  <c r="H27" i="90"/>
  <c r="H26" i="90"/>
  <c r="H25" i="90"/>
  <c r="F22" i="90"/>
  <c r="E12" i="92" s="1"/>
  <c r="E22" i="90"/>
  <c r="D22" i="90"/>
  <c r="H21" i="90"/>
  <c r="H20" i="90"/>
  <c r="H18" i="90"/>
  <c r="J15" i="90"/>
  <c r="I11" i="92" s="1"/>
  <c r="I15" i="90"/>
  <c r="H11" i="92" s="1"/>
  <c r="F15" i="90"/>
  <c r="E11" i="92" s="1"/>
  <c r="E15" i="90"/>
  <c r="D11" i="92" s="1"/>
  <c r="D15" i="90"/>
  <c r="H14" i="90"/>
  <c r="H13" i="90"/>
  <c r="F4" i="90"/>
  <c r="J7" i="90" s="1"/>
  <c r="D4" i="90"/>
  <c r="I7" i="90" s="1"/>
  <c r="K21" i="91" l="1"/>
  <c r="T7" i="68"/>
  <c r="S8" i="68"/>
  <c r="V7" i="68"/>
  <c r="H24" i="92"/>
  <c r="K53" i="91"/>
  <c r="K40" i="91"/>
  <c r="G18" i="91"/>
  <c r="K42" i="91"/>
  <c r="K56" i="90"/>
  <c r="H17" i="92"/>
  <c r="G14" i="91"/>
  <c r="K34" i="91"/>
  <c r="H21" i="92"/>
  <c r="K54" i="91"/>
  <c r="I25" i="92"/>
  <c r="K41" i="91"/>
  <c r="H22" i="92"/>
  <c r="K48" i="91"/>
  <c r="H23" i="92"/>
  <c r="G54" i="91"/>
  <c r="G56" i="91"/>
  <c r="G40" i="90"/>
  <c r="D15" i="92"/>
  <c r="K27" i="91"/>
  <c r="H20" i="92"/>
  <c r="G46" i="91"/>
  <c r="D23" i="92"/>
  <c r="H57" i="91"/>
  <c r="G32" i="90"/>
  <c r="D14" i="92"/>
  <c r="G21" i="91"/>
  <c r="D19" i="92"/>
  <c r="G11" i="92"/>
  <c r="G21" i="90"/>
  <c r="D12" i="92"/>
  <c r="G48" i="90"/>
  <c r="D16" i="92"/>
  <c r="G16" i="92" s="1"/>
  <c r="K18" i="91"/>
  <c r="H19" i="92"/>
  <c r="G26" i="90"/>
  <c r="D13" i="92"/>
  <c r="G13" i="92" s="1"/>
  <c r="G53" i="90"/>
  <c r="D17" i="92"/>
  <c r="K14" i="91"/>
  <c r="H18" i="92"/>
  <c r="G27" i="91"/>
  <c r="D20" i="92"/>
  <c r="G55" i="91"/>
  <c r="D24" i="92"/>
  <c r="K55" i="91"/>
  <c r="K56" i="91"/>
  <c r="K49" i="91"/>
  <c r="K47" i="91"/>
  <c r="K46" i="91"/>
  <c r="K35" i="91"/>
  <c r="K32" i="91"/>
  <c r="K26" i="91"/>
  <c r="K28" i="91"/>
  <c r="K25" i="91"/>
  <c r="G28" i="91"/>
  <c r="K20" i="91"/>
  <c r="G20" i="91"/>
  <c r="H22" i="91"/>
  <c r="K12" i="91"/>
  <c r="K13" i="91"/>
  <c r="G47" i="90"/>
  <c r="K54" i="90"/>
  <c r="K22" i="90"/>
  <c r="K53" i="90"/>
  <c r="K55" i="90"/>
  <c r="G49" i="91"/>
  <c r="G48" i="91"/>
  <c r="G47" i="91"/>
  <c r="H50" i="91"/>
  <c r="G25" i="91"/>
  <c r="G26" i="91"/>
  <c r="H29" i="91"/>
  <c r="G11" i="91"/>
  <c r="G13" i="91"/>
  <c r="H57" i="90"/>
  <c r="G55" i="90"/>
  <c r="G54" i="90"/>
  <c r="G56" i="90"/>
  <c r="G49" i="90"/>
  <c r="G46" i="90"/>
  <c r="H50" i="90"/>
  <c r="G42" i="90"/>
  <c r="G41" i="90"/>
  <c r="H43" i="90"/>
  <c r="G39" i="90"/>
  <c r="G35" i="90"/>
  <c r="H36" i="90"/>
  <c r="G34" i="90"/>
  <c r="G33" i="90"/>
  <c r="G27" i="90"/>
  <c r="G25" i="90"/>
  <c r="H29" i="90"/>
  <c r="G28" i="90"/>
  <c r="G19" i="90"/>
  <c r="H22" i="90"/>
  <c r="G18" i="90"/>
  <c r="G20" i="90"/>
  <c r="G11" i="90"/>
  <c r="G14" i="90"/>
  <c r="H15" i="90"/>
  <c r="G12" i="91"/>
  <c r="H15" i="91"/>
  <c r="K50" i="90"/>
  <c r="K43" i="90"/>
  <c r="K36" i="90"/>
  <c r="K29" i="90"/>
  <c r="K13" i="90"/>
  <c r="K11" i="90"/>
  <c r="K14" i="90"/>
  <c r="F7" i="90"/>
  <c r="F7" i="91" s="1"/>
  <c r="J7" i="91" s="1"/>
  <c r="E7" i="90"/>
  <c r="E7" i="91" s="1"/>
  <c r="I7" i="91" s="1"/>
  <c r="K12" i="90"/>
  <c r="G13" i="90"/>
  <c r="G12" i="90"/>
  <c r="F4" i="88"/>
  <c r="G22" i="91" l="1"/>
  <c r="K22" i="91"/>
  <c r="T8" i="68"/>
  <c r="V8" i="68"/>
  <c r="S9" i="68"/>
  <c r="K36" i="91"/>
  <c r="K43" i="91"/>
  <c r="K57" i="91"/>
  <c r="G57" i="91"/>
  <c r="G29" i="91"/>
  <c r="G20" i="92"/>
  <c r="G17" i="92"/>
  <c r="G12" i="92"/>
  <c r="G43" i="90"/>
  <c r="K29" i="91"/>
  <c r="G19" i="92"/>
  <c r="G14" i="92"/>
  <c r="G15" i="92"/>
  <c r="K15" i="91"/>
  <c r="H25" i="92"/>
  <c r="G18" i="92"/>
  <c r="K50" i="91"/>
  <c r="G15" i="91"/>
  <c r="G57" i="90"/>
  <c r="K57" i="90"/>
  <c r="K15" i="90"/>
  <c r="G50" i="91"/>
  <c r="G50" i="90"/>
  <c r="G36" i="90"/>
  <c r="G29" i="90"/>
  <c r="G22" i="90"/>
  <c r="G15" i="90"/>
  <c r="G23" i="92"/>
  <c r="I27" i="92"/>
  <c r="J7" i="88"/>
  <c r="D4" i="88"/>
  <c r="I7" i="88" s="1"/>
  <c r="T9" i="68" l="1"/>
  <c r="S10" i="68"/>
  <c r="V9" i="68"/>
  <c r="J13" i="92"/>
  <c r="J15" i="92"/>
  <c r="J23" i="92"/>
  <c r="J12" i="92"/>
  <c r="J21" i="92"/>
  <c r="J16" i="92"/>
  <c r="J22" i="92"/>
  <c r="J14" i="92"/>
  <c r="J17" i="92"/>
  <c r="J24" i="92"/>
  <c r="J11" i="92"/>
  <c r="H27" i="92"/>
  <c r="J19" i="92"/>
  <c r="J18" i="92"/>
  <c r="J20" i="92"/>
  <c r="E7" i="88"/>
  <c r="G24" i="92"/>
  <c r="F7" i="88"/>
  <c r="T10" i="68" l="1"/>
  <c r="S11" i="68"/>
  <c r="V10" i="68"/>
  <c r="J25" i="92"/>
  <c r="T11" i="68" l="1"/>
  <c r="V11" i="68"/>
  <c r="S12" i="68"/>
  <c r="D3" i="82"/>
  <c r="E3" i="82"/>
  <c r="T12" i="68" l="1"/>
  <c r="V12" i="68"/>
  <c r="S13" i="68"/>
  <c r="A31" i="68"/>
  <c r="T13" i="68" l="1"/>
  <c r="V13" i="68"/>
  <c r="S14" i="68"/>
  <c r="T1" i="68"/>
  <c r="A2" i="68"/>
  <c r="T14" i="68" l="1"/>
  <c r="S15" i="68"/>
  <c r="V14" i="68"/>
  <c r="D41" i="8"/>
  <c r="C40" i="8"/>
  <c r="E40" i="8" s="1"/>
  <c r="C39" i="8"/>
  <c r="T15" i="68" l="1"/>
  <c r="S16" i="68"/>
  <c r="V15" i="68"/>
  <c r="E39" i="8"/>
  <c r="D39" i="8"/>
  <c r="T16" i="68" l="1"/>
  <c r="V16" i="68"/>
  <c r="S17" i="68"/>
  <c r="T17" i="68" l="1"/>
  <c r="S18" i="68"/>
  <c r="V17" i="68"/>
  <c r="D40" i="8"/>
  <c r="T18" i="68" l="1"/>
  <c r="S19" i="68"/>
  <c r="V18" i="68"/>
  <c r="T19" i="68" l="1"/>
  <c r="S20" i="68"/>
  <c r="V19" i="68"/>
  <c r="F30" i="82"/>
  <c r="F29" i="82"/>
  <c r="F28" i="82"/>
  <c r="F27" i="82"/>
  <c r="T20" i="68" l="1"/>
  <c r="S21" i="68"/>
  <c r="V20" i="68"/>
  <c r="F31" i="82"/>
  <c r="T21" i="68" l="1"/>
  <c r="S22" i="68"/>
  <c r="V21" i="68"/>
  <c r="T22" i="68" l="1"/>
  <c r="V22" i="68"/>
  <c r="S23" i="68"/>
  <c r="E42" i="8"/>
  <c r="D42" i="8"/>
  <c r="C42" i="8"/>
  <c r="C41" i="8"/>
  <c r="E41" i="8" l="1"/>
  <c r="K7" i="8"/>
  <c r="T23" i="68"/>
  <c r="S24" i="68"/>
  <c r="V23" i="68"/>
  <c r="K8" i="8" l="1"/>
  <c r="L7" i="8"/>
  <c r="T24" i="68"/>
  <c r="S25" i="68"/>
  <c r="V24" i="68"/>
  <c r="K9" i="8" l="1"/>
  <c r="L8" i="8"/>
  <c r="T25" i="68"/>
  <c r="S26" i="68"/>
  <c r="V25" i="68"/>
  <c r="N8" i="63"/>
  <c r="Q8" i="63" s="1"/>
  <c r="N9" i="63"/>
  <c r="Q9" i="63" s="1"/>
  <c r="N10" i="63"/>
  <c r="N7" i="63"/>
  <c r="Q7" i="63" s="1"/>
  <c r="K10" i="8" l="1"/>
  <c r="L9" i="8"/>
  <c r="T26" i="68"/>
  <c r="S27" i="68"/>
  <c r="V26" i="68"/>
  <c r="N11" i="63"/>
  <c r="Q10" i="63"/>
  <c r="K11" i="8" l="1"/>
  <c r="L11" i="8" s="1"/>
  <c r="L10" i="8"/>
  <c r="T27" i="68"/>
  <c r="S28" i="68"/>
  <c r="V27" i="68"/>
  <c r="Q11" i="63"/>
  <c r="K12" i="8" l="1"/>
  <c r="L12" i="8" s="1"/>
  <c r="T28" i="68"/>
  <c r="V28" i="68"/>
  <c r="S29" i="68"/>
  <c r="K13" i="8" l="1"/>
  <c r="L13" i="8" s="1"/>
  <c r="T29" i="68"/>
  <c r="S30" i="68"/>
  <c r="V29" i="68"/>
  <c r="K14" i="8" l="1"/>
  <c r="L14" i="8" s="1"/>
  <c r="T30" i="68"/>
  <c r="V30" i="68"/>
  <c r="S31" i="68"/>
  <c r="K15" i="8" l="1"/>
  <c r="L15" i="8" s="1"/>
  <c r="T31" i="68"/>
  <c r="S32" i="68"/>
  <c r="V31" i="68"/>
  <c r="K16" i="8" l="1"/>
  <c r="L16" i="8" s="1"/>
  <c r="T32" i="68"/>
  <c r="V32" i="68"/>
  <c r="S33" i="68"/>
  <c r="K17" i="8" l="1"/>
  <c r="L17" i="8" s="1"/>
  <c r="T33" i="68"/>
  <c r="S34" i="68"/>
  <c r="V33" i="68"/>
  <c r="K18" i="8" l="1"/>
  <c r="L18" i="8" s="1"/>
  <c r="T34" i="68"/>
  <c r="S35" i="68"/>
  <c r="V34" i="68"/>
  <c r="K19" i="8" l="1"/>
  <c r="L19" i="8" s="1"/>
  <c r="T35" i="68"/>
  <c r="S36" i="68"/>
  <c r="V35" i="68"/>
  <c r="K20" i="8" l="1"/>
  <c r="L20" i="8" s="1"/>
  <c r="T36" i="68"/>
  <c r="S37" i="68"/>
  <c r="V36" i="68"/>
  <c r="K21" i="8" l="1"/>
  <c r="L21" i="8" s="1"/>
  <c r="T37" i="68"/>
  <c r="S38" i="68"/>
  <c r="V37" i="68"/>
  <c r="K22" i="8" l="1"/>
  <c r="L22" i="8" s="1"/>
  <c r="T38" i="68"/>
  <c r="V38" i="68"/>
  <c r="S39" i="68"/>
  <c r="K23" i="8" l="1"/>
  <c r="L23" i="8" s="1"/>
  <c r="T39" i="68"/>
  <c r="S40" i="68"/>
  <c r="V39" i="68"/>
  <c r="K24" i="8" l="1"/>
  <c r="L24" i="8" s="1"/>
  <c r="T40" i="68"/>
  <c r="V40" i="68"/>
  <c r="S41" i="68"/>
  <c r="K25" i="8" l="1"/>
  <c r="L25" i="8" s="1"/>
  <c r="T41" i="68"/>
  <c r="S42" i="68"/>
  <c r="V41" i="68"/>
  <c r="K26" i="8" l="1"/>
  <c r="L26" i="8" s="1"/>
  <c r="T42" i="68"/>
  <c r="S43" i="68"/>
  <c r="V42" i="68"/>
  <c r="K27" i="8" l="1"/>
  <c r="L27" i="8" s="1"/>
  <c r="T43" i="68"/>
  <c r="S44" i="68"/>
  <c r="V43" i="68"/>
  <c r="K28" i="8" l="1"/>
  <c r="L28" i="8" s="1"/>
  <c r="T44" i="68"/>
  <c r="V44" i="68"/>
  <c r="S45" i="68"/>
  <c r="K29" i="8" l="1"/>
  <c r="L29" i="8" s="1"/>
  <c r="T45" i="68"/>
  <c r="S46" i="68"/>
  <c r="V45" i="68"/>
  <c r="K30" i="8" l="1"/>
  <c r="L30" i="8" s="1"/>
  <c r="T46" i="68"/>
  <c r="V46" i="68"/>
  <c r="S47" i="68"/>
  <c r="K31" i="8" l="1"/>
  <c r="L31" i="8" s="1"/>
  <c r="T47" i="68"/>
  <c r="S48" i="68"/>
  <c r="V47" i="68"/>
  <c r="K32" i="8" l="1"/>
  <c r="L32" i="8" s="1"/>
  <c r="T48" i="68"/>
  <c r="V48" i="68"/>
  <c r="S49" i="68"/>
  <c r="K33" i="8" l="1"/>
  <c r="L33" i="8" s="1"/>
  <c r="T49" i="68"/>
  <c r="S50" i="68"/>
  <c r="V49" i="68"/>
  <c r="K34" i="8" l="1"/>
  <c r="L34" i="8" s="1"/>
  <c r="T50" i="68"/>
  <c r="S51" i="68"/>
  <c r="V50" i="68"/>
  <c r="K35" i="8" l="1"/>
  <c r="L35" i="8" s="1"/>
  <c r="T51" i="68"/>
  <c r="S52" i="68"/>
  <c r="V51" i="68"/>
  <c r="K36" i="8" l="1"/>
  <c r="L36" i="8" s="1"/>
  <c r="T52" i="68"/>
  <c r="S53" i="68"/>
  <c r="V52" i="68"/>
  <c r="K37" i="8" l="1"/>
  <c r="L37" i="8" s="1"/>
  <c r="T53" i="68"/>
  <c r="S54" i="68"/>
  <c r="V53" i="68"/>
  <c r="K38" i="8" l="1"/>
  <c r="L38" i="8" s="1"/>
  <c r="N6" i="8"/>
  <c r="T54" i="68"/>
  <c r="V54" i="68"/>
  <c r="S55" i="68"/>
  <c r="N7" i="8" l="1"/>
  <c r="O7" i="8" s="1"/>
  <c r="T55" i="68"/>
  <c r="S56" i="68"/>
  <c r="V55" i="68"/>
  <c r="N8" i="8" l="1"/>
  <c r="O8" i="8" s="1"/>
  <c r="T56" i="68"/>
  <c r="V56" i="68"/>
  <c r="S57" i="68"/>
  <c r="N9" i="8" l="1"/>
  <c r="O9" i="8" s="1"/>
  <c r="T57" i="68"/>
  <c r="S58" i="68"/>
  <c r="V57" i="68"/>
  <c r="N10" i="8" l="1"/>
  <c r="O10" i="8" s="1"/>
  <c r="T58" i="68"/>
  <c r="S59" i="68"/>
  <c r="V58" i="68"/>
  <c r="N11" i="8" l="1"/>
  <c r="O11" i="8" s="1"/>
  <c r="T59" i="68"/>
  <c r="V59" i="68"/>
  <c r="S60" i="68"/>
  <c r="N12" i="8" l="1"/>
  <c r="O12" i="8" s="1"/>
  <c r="T60" i="68"/>
  <c r="V60" i="68"/>
  <c r="S61" i="68"/>
  <c r="N13" i="8" l="1"/>
  <c r="O13" i="8" s="1"/>
  <c r="T61" i="68"/>
  <c r="S62" i="68"/>
  <c r="V61" i="68"/>
  <c r="N14" i="8" l="1"/>
  <c r="O14" i="8" s="1"/>
  <c r="T62" i="68"/>
  <c r="V62" i="68"/>
  <c r="S63" i="68"/>
  <c r="N15" i="8" l="1"/>
  <c r="O15" i="8" s="1"/>
  <c r="T63" i="68"/>
  <c r="S64" i="68"/>
  <c r="V63" i="68"/>
  <c r="N16" i="8" l="1"/>
  <c r="O16" i="8" s="1"/>
  <c r="T64" i="68"/>
  <c r="V64" i="68"/>
  <c r="S65" i="68"/>
  <c r="N17" i="8" l="1"/>
  <c r="O17" i="8" s="1"/>
  <c r="T65" i="68"/>
  <c r="S66" i="68"/>
  <c r="V65" i="68"/>
  <c r="N18" i="8" l="1"/>
  <c r="O18" i="8" s="1"/>
  <c r="T66" i="68"/>
  <c r="S67" i="68"/>
  <c r="V66" i="68"/>
  <c r="N19" i="8" l="1"/>
  <c r="O19" i="8" s="1"/>
  <c r="T67" i="68"/>
  <c r="S68" i="68"/>
  <c r="V67" i="68"/>
  <c r="N20" i="8" l="1"/>
  <c r="O20" i="8" s="1"/>
  <c r="T68" i="68"/>
  <c r="S69" i="68"/>
  <c r="V68" i="68"/>
  <c r="N21" i="8" l="1"/>
  <c r="O21" i="8" s="1"/>
  <c r="T69" i="68"/>
  <c r="S70" i="68"/>
  <c r="V69" i="68"/>
  <c r="N22" i="8" l="1"/>
  <c r="O22" i="8" s="1"/>
  <c r="T70" i="68"/>
  <c r="V70" i="68"/>
  <c r="S71" i="68"/>
  <c r="N23" i="8" l="1"/>
  <c r="O23" i="8" s="1"/>
  <c r="T71" i="68"/>
  <c r="S72" i="68"/>
  <c r="V71" i="68"/>
  <c r="N24" i="8" l="1"/>
  <c r="O24" i="8" s="1"/>
  <c r="T72" i="68"/>
  <c r="S73" i="68"/>
  <c r="V72" i="68"/>
  <c r="N25" i="8" l="1"/>
  <c r="O25" i="8" s="1"/>
  <c r="T73" i="68"/>
  <c r="S74" i="68"/>
  <c r="V73" i="68"/>
  <c r="N26" i="8" l="1"/>
  <c r="O26" i="8" s="1"/>
  <c r="T74" i="68"/>
  <c r="S75" i="68"/>
  <c r="V74" i="68"/>
  <c r="N27" i="8" l="1"/>
  <c r="O27" i="8" s="1"/>
  <c r="T75" i="68"/>
  <c r="S76" i="68"/>
  <c r="V75" i="68"/>
  <c r="N28" i="8" l="1"/>
  <c r="O28" i="8" s="1"/>
  <c r="T76" i="68"/>
  <c r="S77" i="68"/>
  <c r="V76" i="68"/>
  <c r="N29" i="8" l="1"/>
  <c r="O29" i="8" s="1"/>
  <c r="T77" i="68"/>
  <c r="S78" i="68"/>
  <c r="V77" i="68"/>
  <c r="N30" i="8" l="1"/>
  <c r="O30" i="8" s="1"/>
  <c r="T78" i="68"/>
  <c r="V78" i="68"/>
  <c r="S79" i="68"/>
  <c r="N31" i="8" l="1"/>
  <c r="T79" i="68"/>
  <c r="S80" i="68"/>
  <c r="V79" i="68"/>
  <c r="N32" i="8" l="1"/>
  <c r="O31" i="8"/>
  <c r="T80" i="68"/>
  <c r="S81" i="68"/>
  <c r="V80" i="68"/>
  <c r="N33" i="8" l="1"/>
  <c r="O33" i="8" s="1"/>
  <c r="O32" i="8"/>
  <c r="T81" i="68"/>
  <c r="S82" i="68"/>
  <c r="V81" i="68"/>
  <c r="N34" i="8" l="1"/>
  <c r="O34" i="8" s="1"/>
  <c r="T82" i="68"/>
  <c r="S83" i="68"/>
  <c r="V82" i="68"/>
  <c r="N35" i="8" l="1"/>
  <c r="T83" i="68"/>
  <c r="S84" i="68"/>
  <c r="V83" i="68"/>
  <c r="N36" i="8" l="1"/>
  <c r="O36" i="8" s="1"/>
  <c r="O35" i="8"/>
  <c r="T84" i="68"/>
  <c r="S85" i="68"/>
  <c r="V84" i="68"/>
  <c r="N37" i="8" l="1"/>
  <c r="O37" i="8" s="1"/>
  <c r="T85" i="68"/>
  <c r="S86" i="68"/>
  <c r="V85" i="68"/>
  <c r="N38" i="8" l="1"/>
  <c r="O38" i="8" s="1"/>
  <c r="T86" i="68"/>
  <c r="V86" i="68"/>
  <c r="S87" i="68"/>
  <c r="T87" i="68" l="1"/>
  <c r="S88" i="68"/>
  <c r="V87" i="68"/>
  <c r="T88" i="68" l="1"/>
  <c r="S89" i="68"/>
  <c r="V88" i="68"/>
  <c r="T89" i="68" l="1"/>
  <c r="S90" i="68"/>
  <c r="V89" i="68"/>
  <c r="T90" i="68" l="1"/>
  <c r="S91" i="68"/>
  <c r="V90" i="68"/>
  <c r="T91" i="68" l="1"/>
  <c r="S92" i="68"/>
  <c r="V91" i="68"/>
  <c r="T92" i="68" l="1"/>
  <c r="S93" i="68"/>
  <c r="V92" i="68"/>
  <c r="T93" i="68" l="1"/>
  <c r="S94" i="68"/>
  <c r="V93" i="68"/>
  <c r="T94" i="68" l="1"/>
  <c r="V94" i="68"/>
  <c r="S95" i="68"/>
  <c r="T95" i="68" l="1"/>
  <c r="S96" i="68"/>
  <c r="V95" i="68"/>
  <c r="T96" i="68" l="1"/>
  <c r="S97" i="68"/>
  <c r="V96" i="68"/>
  <c r="T97" i="68" l="1"/>
  <c r="S98" i="68"/>
  <c r="V97" i="68"/>
  <c r="T98" i="68" l="1"/>
  <c r="S99" i="68"/>
  <c r="V98" i="68"/>
  <c r="T99" i="68" l="1"/>
  <c r="S100" i="68"/>
  <c r="V99" i="68"/>
  <c r="T100" i="68" l="1"/>
  <c r="S101" i="68"/>
  <c r="V100" i="68"/>
  <c r="T101" i="68" l="1"/>
  <c r="S102" i="68"/>
  <c r="V101" i="68"/>
  <c r="T102" i="68" l="1"/>
  <c r="V102" i="68"/>
  <c r="S103" i="68"/>
  <c r="T103" i="68" l="1"/>
  <c r="S104" i="68"/>
  <c r="V103" i="68"/>
  <c r="T104" i="68" l="1"/>
  <c r="S105" i="68"/>
  <c r="V104" i="68"/>
  <c r="T105" i="68" l="1"/>
  <c r="S106" i="68"/>
  <c r="V105" i="68"/>
  <c r="T106" i="68" l="1"/>
  <c r="S107" i="68"/>
  <c r="V106" i="68"/>
  <c r="T107" i="68" l="1"/>
  <c r="S108" i="68"/>
  <c r="V107" i="68"/>
  <c r="T108" i="68" l="1"/>
  <c r="S109" i="68"/>
  <c r="V108" i="68"/>
  <c r="T109" i="68" l="1"/>
  <c r="S110" i="68"/>
  <c r="V109" i="68"/>
  <c r="T110" i="68" l="1"/>
  <c r="V110" i="68"/>
  <c r="S111" i="68"/>
  <c r="T111" i="68" l="1"/>
  <c r="S112" i="68"/>
  <c r="V111" i="68"/>
  <c r="T112" i="68" l="1"/>
  <c r="S113" i="68"/>
  <c r="V112" i="68"/>
  <c r="T113" i="68" l="1"/>
  <c r="S114" i="68"/>
  <c r="V113" i="68"/>
  <c r="T114" i="68" l="1"/>
  <c r="S115" i="68"/>
  <c r="V114" i="68"/>
  <c r="T115" i="68" l="1"/>
  <c r="S116" i="68"/>
  <c r="V115" i="68"/>
  <c r="T116" i="68" l="1"/>
  <c r="S117" i="68"/>
  <c r="V116" i="68"/>
  <c r="T117" i="68" l="1"/>
  <c r="S118" i="68"/>
  <c r="V117" i="68"/>
  <c r="T118" i="68" l="1"/>
  <c r="V118" i="68"/>
  <c r="S119" i="68"/>
  <c r="T119" i="68" l="1"/>
  <c r="S120" i="68"/>
  <c r="V119" i="68"/>
  <c r="T120" i="68" l="1"/>
  <c r="S121" i="68"/>
  <c r="V120" i="68"/>
  <c r="T121" i="68" l="1"/>
  <c r="S122" i="68"/>
  <c r="V121" i="68"/>
  <c r="T122" i="68" l="1"/>
  <c r="S123" i="68"/>
  <c r="V122" i="68"/>
  <c r="T123" i="68" l="1"/>
  <c r="S124" i="68"/>
  <c r="V123" i="68"/>
  <c r="T124" i="68" l="1"/>
  <c r="S125" i="68"/>
  <c r="V124" i="68"/>
  <c r="T125" i="68" l="1"/>
  <c r="S126" i="68"/>
  <c r="V125" i="68"/>
  <c r="T126" i="68" l="1"/>
  <c r="V126" i="68"/>
  <c r="S127" i="68"/>
  <c r="T127" i="68" l="1"/>
  <c r="S128" i="68"/>
  <c r="V127" i="68"/>
  <c r="T128" i="68" l="1"/>
  <c r="S129" i="68"/>
  <c r="V128" i="68"/>
  <c r="T129" i="68" l="1"/>
  <c r="S130" i="68"/>
  <c r="V129" i="68"/>
  <c r="T130" i="68" l="1"/>
  <c r="S131" i="68"/>
  <c r="V130" i="68"/>
  <c r="T131" i="68" l="1"/>
  <c r="S132" i="68"/>
  <c r="V131" i="68"/>
  <c r="T132" i="68" l="1"/>
  <c r="S133" i="68"/>
  <c r="V132" i="68"/>
  <c r="T133" i="68" l="1"/>
  <c r="V133" i="68"/>
  <c r="S134" i="68"/>
  <c r="T134" i="68" l="1"/>
  <c r="V134" i="68"/>
  <c r="S135" i="68"/>
  <c r="T135" i="68" l="1"/>
  <c r="S136" i="68"/>
  <c r="V135" i="68"/>
  <c r="T136" i="68" l="1"/>
  <c r="S137" i="68"/>
  <c r="V136" i="68"/>
  <c r="T137" i="68" l="1"/>
  <c r="V137" i="68"/>
  <c r="S138" i="68"/>
  <c r="T138" i="68" l="1"/>
  <c r="S139" i="68"/>
  <c r="V138" i="68"/>
  <c r="T139" i="68" l="1"/>
  <c r="S140" i="68"/>
  <c r="V139" i="68"/>
  <c r="T140" i="68" l="1"/>
  <c r="S141" i="68"/>
  <c r="V140" i="68"/>
  <c r="T141" i="68" l="1"/>
  <c r="S142" i="68"/>
  <c r="V141" i="68"/>
  <c r="T142" i="68" l="1"/>
  <c r="V142" i="68"/>
  <c r="S143" i="68"/>
  <c r="T143" i="68" l="1"/>
  <c r="V143" i="68"/>
  <c r="S144" i="68"/>
  <c r="T144" i="68" l="1"/>
  <c r="S145" i="68"/>
  <c r="V144" i="68"/>
  <c r="T145" i="68" l="1"/>
  <c r="S146" i="68"/>
  <c r="V145" i="68"/>
  <c r="T146" i="68" l="1"/>
  <c r="S147" i="68"/>
  <c r="V146" i="68"/>
  <c r="T147" i="68" l="1"/>
  <c r="S148" i="68"/>
  <c r="V147" i="68"/>
  <c r="T148" i="68" l="1"/>
  <c r="S149" i="68"/>
  <c r="V148" i="68"/>
  <c r="T149" i="68" l="1"/>
  <c r="V149" i="68"/>
  <c r="S150" i="68"/>
  <c r="T150" i="68" l="1"/>
  <c r="V150" i="68"/>
  <c r="S151" i="68"/>
  <c r="T151" i="68" l="1"/>
  <c r="S152" i="68"/>
  <c r="V151" i="68"/>
  <c r="T152" i="68" l="1"/>
  <c r="V152" i="68"/>
  <c r="S153" i="68"/>
  <c r="T153" i="68" l="1"/>
  <c r="S154" i="68"/>
  <c r="V153" i="68"/>
  <c r="T154" i="68" l="1"/>
  <c r="S155" i="68"/>
  <c r="V154" i="68"/>
  <c r="T155" i="68" l="1"/>
  <c r="S156" i="68"/>
  <c r="V155" i="68"/>
  <c r="T156" i="68" l="1"/>
  <c r="S157" i="68"/>
  <c r="V156" i="68"/>
  <c r="T157" i="68" l="1"/>
  <c r="S158" i="68"/>
  <c r="V157" i="68"/>
  <c r="T158" i="68" l="1"/>
  <c r="V158" i="68"/>
  <c r="S159" i="68"/>
  <c r="T159" i="68" l="1"/>
  <c r="S160" i="68"/>
  <c r="V159" i="68"/>
  <c r="T160" i="68" l="1"/>
  <c r="S161" i="68"/>
  <c r="V160" i="68"/>
  <c r="T161" i="68" l="1"/>
  <c r="S162" i="68"/>
  <c r="V161" i="68"/>
  <c r="T162" i="68" l="1"/>
  <c r="S163" i="68"/>
  <c r="V162" i="68"/>
  <c r="T163" i="68" l="1"/>
  <c r="S164" i="68"/>
  <c r="V163" i="68"/>
  <c r="T164" i="68" l="1"/>
  <c r="S165" i="68"/>
  <c r="V164" i="68"/>
  <c r="T165" i="68" l="1"/>
  <c r="S166" i="68"/>
  <c r="V165" i="68"/>
  <c r="T166" i="68" l="1"/>
  <c r="V166" i="68"/>
  <c r="S167" i="68"/>
  <c r="T167" i="68" l="1"/>
  <c r="S168" i="68"/>
  <c r="V167" i="68"/>
  <c r="T168" i="68" l="1"/>
  <c r="S169" i="68"/>
  <c r="V168" i="68"/>
  <c r="T169" i="68" l="1"/>
  <c r="S170" i="68"/>
  <c r="V169" i="68"/>
  <c r="T170" i="68" l="1"/>
  <c r="S171" i="68"/>
  <c r="V170" i="68"/>
  <c r="T171" i="68" l="1"/>
  <c r="S172" i="68"/>
  <c r="V171" i="68"/>
  <c r="T172" i="68" l="1"/>
  <c r="S173" i="68"/>
  <c r="V172" i="68"/>
  <c r="T173" i="68" l="1"/>
  <c r="S174" i="68"/>
  <c r="V173" i="68"/>
  <c r="T174" i="68" l="1"/>
  <c r="V174" i="68"/>
  <c r="S175" i="68"/>
  <c r="T175" i="68" l="1"/>
  <c r="S176" i="68"/>
  <c r="V175" i="68"/>
  <c r="T176" i="68" l="1"/>
  <c r="S177" i="68"/>
  <c r="V176" i="68"/>
  <c r="T177" i="68" l="1"/>
  <c r="S178" i="68"/>
  <c r="V177" i="68"/>
  <c r="T178" i="68" l="1"/>
  <c r="S179" i="68"/>
  <c r="V178" i="68"/>
  <c r="T179" i="68" l="1"/>
  <c r="S180" i="68"/>
  <c r="V179" i="68"/>
  <c r="T180" i="68" l="1"/>
  <c r="S181" i="68"/>
  <c r="V180" i="68"/>
  <c r="T181" i="68" l="1"/>
  <c r="S182" i="68"/>
  <c r="V181" i="68"/>
  <c r="T182" i="68" l="1"/>
  <c r="V182" i="68"/>
  <c r="S183" i="68"/>
  <c r="T183" i="68" l="1"/>
  <c r="S184" i="68"/>
  <c r="V183" i="68"/>
  <c r="T184" i="68" l="1"/>
  <c r="S185" i="68"/>
  <c r="V184" i="68"/>
  <c r="T185" i="68" l="1"/>
  <c r="S186" i="68"/>
  <c r="V185" i="68"/>
  <c r="T186" i="68" l="1"/>
  <c r="S187" i="68"/>
  <c r="V186" i="68"/>
  <c r="T187" i="68" l="1"/>
  <c r="S188" i="68"/>
  <c r="V187" i="68"/>
  <c r="T188" i="68" l="1"/>
  <c r="S189" i="68"/>
  <c r="V188" i="68"/>
  <c r="T189" i="68" l="1"/>
  <c r="S190" i="68"/>
  <c r="V189" i="68"/>
  <c r="T190" i="68" l="1"/>
  <c r="V190" i="68"/>
  <c r="S191" i="68"/>
  <c r="T191" i="68" l="1"/>
  <c r="S192" i="68"/>
  <c r="V191" i="68"/>
  <c r="T192" i="68" l="1"/>
  <c r="S193" i="68"/>
  <c r="V192" i="68"/>
  <c r="T193" i="68" l="1"/>
  <c r="S194" i="68"/>
  <c r="V193" i="68"/>
  <c r="T194" i="68" l="1"/>
  <c r="S195" i="68"/>
  <c r="V194" i="68"/>
  <c r="T195" i="68" l="1"/>
  <c r="V195" i="68"/>
  <c r="S196" i="68"/>
  <c r="T196" i="68" l="1"/>
  <c r="S197" i="68"/>
  <c r="V196" i="68"/>
  <c r="T197" i="68" l="1"/>
  <c r="S198" i="68"/>
  <c r="V197" i="68"/>
  <c r="T198" i="68" l="1"/>
  <c r="V198" i="68"/>
  <c r="S199" i="68"/>
  <c r="T199" i="68" l="1"/>
  <c r="S200" i="68"/>
  <c r="V199" i="68"/>
  <c r="T200" i="68" l="1"/>
  <c r="S201" i="68"/>
  <c r="V200" i="68"/>
  <c r="T201" i="68" l="1"/>
  <c r="S202" i="68"/>
  <c r="V201" i="68"/>
  <c r="T202" i="68" l="1"/>
  <c r="S203" i="68"/>
  <c r="V202" i="68"/>
  <c r="T203" i="68" l="1"/>
  <c r="S204" i="68"/>
  <c r="V203" i="68"/>
  <c r="T204" i="68" l="1"/>
  <c r="S205" i="68"/>
  <c r="V204" i="68"/>
  <c r="T205" i="68" l="1"/>
  <c r="S206" i="68"/>
  <c r="V205" i="68"/>
  <c r="T206" i="68" l="1"/>
  <c r="V206" i="68"/>
  <c r="S207" i="68"/>
  <c r="T207" i="68" l="1"/>
  <c r="S208" i="68"/>
  <c r="V207" i="68"/>
  <c r="T208" i="68" l="1"/>
  <c r="S209" i="68"/>
  <c r="V208" i="68"/>
  <c r="T209" i="68" l="1"/>
  <c r="S210" i="68"/>
  <c r="V209" i="68"/>
  <c r="T210" i="68" l="1"/>
  <c r="S211" i="68"/>
  <c r="V210" i="68"/>
  <c r="T211" i="68" l="1"/>
  <c r="S212" i="68"/>
  <c r="V211" i="68"/>
  <c r="T212" i="68" l="1"/>
  <c r="S213" i="68"/>
  <c r="V212" i="68"/>
  <c r="T213" i="68" l="1"/>
  <c r="S214" i="68"/>
  <c r="V213" i="68"/>
  <c r="T214" i="68" l="1"/>
  <c r="V214" i="68"/>
  <c r="S215" i="68"/>
  <c r="T215" i="68" l="1"/>
  <c r="S216" i="68"/>
  <c r="V215" i="68"/>
  <c r="T216" i="68" l="1"/>
  <c r="S217" i="68"/>
  <c r="V216" i="68"/>
  <c r="T217" i="68" l="1"/>
  <c r="S218" i="68"/>
  <c r="V217" i="68"/>
  <c r="T218" i="68" l="1"/>
  <c r="S219" i="68"/>
  <c r="V218" i="68"/>
  <c r="T219" i="68" l="1"/>
  <c r="S220" i="68"/>
  <c r="V219" i="68"/>
  <c r="T220" i="68" l="1"/>
  <c r="S221" i="68"/>
  <c r="V220" i="68"/>
  <c r="T221" i="68" l="1"/>
  <c r="S222" i="68"/>
  <c r="V221" i="68"/>
  <c r="T222" i="68" l="1"/>
  <c r="V222" i="68"/>
  <c r="S223" i="68"/>
  <c r="T223" i="68" l="1"/>
  <c r="S224" i="68"/>
  <c r="V223" i="68"/>
  <c r="T224" i="68" l="1"/>
  <c r="S225" i="68"/>
  <c r="V224" i="68"/>
  <c r="T225" i="68" l="1"/>
  <c r="S226" i="68"/>
  <c r="V225" i="68"/>
  <c r="T226" i="68" l="1"/>
  <c r="S227" i="68"/>
  <c r="V226" i="68"/>
  <c r="T227" i="68" l="1"/>
  <c r="S228" i="68"/>
  <c r="V227" i="68"/>
  <c r="T228" i="68" l="1"/>
  <c r="S229" i="68"/>
  <c r="V228" i="68"/>
  <c r="T229" i="68" l="1"/>
  <c r="S230" i="68"/>
  <c r="V229" i="68"/>
  <c r="T230" i="68" l="1"/>
  <c r="V230" i="68"/>
  <c r="S231" i="68"/>
  <c r="T231" i="68" l="1"/>
  <c r="V231" i="68"/>
  <c r="S232" i="68"/>
  <c r="T232" i="68" l="1"/>
  <c r="S233" i="68"/>
  <c r="V232" i="68"/>
  <c r="T233" i="68" l="1"/>
  <c r="S234" i="68"/>
  <c r="V233" i="68"/>
  <c r="T234" i="68" l="1"/>
  <c r="S235" i="68"/>
  <c r="V234" i="68"/>
  <c r="T235" i="68" l="1"/>
  <c r="S236" i="68"/>
  <c r="V235" i="68"/>
  <c r="T236" i="68" l="1"/>
  <c r="S237" i="68"/>
  <c r="V236" i="68"/>
  <c r="T237" i="68" l="1"/>
  <c r="S238" i="68"/>
  <c r="V237" i="68"/>
  <c r="T238" i="68" l="1"/>
  <c r="V238" i="68"/>
  <c r="S239" i="68"/>
  <c r="T239" i="68" l="1"/>
  <c r="V239" i="68"/>
  <c r="S240" i="68"/>
  <c r="T240" i="68" l="1"/>
  <c r="S241" i="68"/>
  <c r="V240" i="68"/>
  <c r="T241" i="68" l="1"/>
  <c r="S242" i="68"/>
  <c r="V241" i="68"/>
  <c r="T242" i="68" l="1"/>
  <c r="S243" i="68"/>
  <c r="V242" i="68"/>
  <c r="T243" i="68" l="1"/>
  <c r="S244" i="68"/>
  <c r="V243" i="68"/>
  <c r="T244" i="68" l="1"/>
  <c r="S245" i="68"/>
  <c r="V244" i="68"/>
  <c r="T245" i="68" l="1"/>
  <c r="V245" i="68"/>
  <c r="S246" i="68"/>
  <c r="T246" i="68" l="1"/>
  <c r="V246" i="68"/>
  <c r="S247" i="68"/>
  <c r="T247" i="68" l="1"/>
  <c r="V247" i="68"/>
  <c r="S248" i="68"/>
  <c r="T248" i="68" l="1"/>
  <c r="V248" i="68"/>
  <c r="S249" i="68"/>
  <c r="T249" i="68" l="1"/>
  <c r="V249" i="68"/>
  <c r="S250" i="68"/>
  <c r="T250" i="68" l="1"/>
  <c r="V250" i="68"/>
  <c r="S251" i="68"/>
  <c r="T251" i="68" l="1"/>
  <c r="V251" i="68"/>
  <c r="S252" i="68"/>
  <c r="T252" i="68" l="1"/>
  <c r="V252" i="68"/>
  <c r="S253" i="68"/>
  <c r="T253" i="68" l="1"/>
  <c r="V253" i="68"/>
  <c r="S254" i="68"/>
  <c r="T254" i="68" l="1"/>
  <c r="V254" i="68"/>
  <c r="S255" i="68"/>
  <c r="T255" i="68" l="1"/>
  <c r="V255" i="68"/>
  <c r="S256" i="68"/>
  <c r="T256" i="68" l="1"/>
  <c r="V256" i="68"/>
  <c r="S257" i="68"/>
  <c r="T257" i="68" l="1"/>
  <c r="V257" i="68"/>
  <c r="S258" i="68"/>
  <c r="T258" i="68" l="1"/>
  <c r="V258" i="68"/>
  <c r="S259" i="68"/>
  <c r="T259" i="68" l="1"/>
  <c r="V259" i="68"/>
  <c r="S260" i="68"/>
  <c r="T260" i="68" l="1"/>
  <c r="V260" i="68"/>
  <c r="S261" i="68"/>
  <c r="T261" i="68" l="1"/>
  <c r="V261" i="68"/>
  <c r="S262" i="68"/>
  <c r="T262" i="68" l="1"/>
  <c r="V262" i="68"/>
  <c r="S263" i="68"/>
  <c r="T263" i="68" l="1"/>
  <c r="V263" i="68"/>
  <c r="S264" i="68"/>
  <c r="T264" i="68" l="1"/>
  <c r="V264" i="68"/>
  <c r="S265" i="68"/>
  <c r="T265" i="68" l="1"/>
  <c r="V265" i="68"/>
  <c r="S266" i="68"/>
  <c r="T266" i="68" l="1"/>
  <c r="V266" i="68"/>
  <c r="S267" i="68"/>
  <c r="T267" i="68" l="1"/>
  <c r="V267" i="68"/>
  <c r="S268" i="68"/>
  <c r="T268" i="68" l="1"/>
  <c r="V268" i="68"/>
  <c r="S269" i="68"/>
  <c r="T269" i="68" l="1"/>
  <c r="V269" i="68"/>
  <c r="S270" i="68"/>
  <c r="T270" i="68" l="1"/>
  <c r="V270" i="68"/>
  <c r="S271" i="68"/>
  <c r="T271" i="68" l="1"/>
  <c r="V271" i="68"/>
  <c r="S272" i="68"/>
  <c r="T272" i="68" l="1"/>
  <c r="V272" i="68"/>
  <c r="S273" i="68"/>
  <c r="T273" i="68" l="1"/>
  <c r="V273" i="68"/>
  <c r="S274" i="68"/>
  <c r="T274" i="68" l="1"/>
  <c r="V274" i="68"/>
  <c r="S275" i="68"/>
  <c r="T275" i="68" l="1"/>
  <c r="V275" i="68"/>
  <c r="S276" i="68"/>
  <c r="T276" i="68" l="1"/>
  <c r="V276" i="68"/>
  <c r="S277" i="68"/>
  <c r="T277" i="68" l="1"/>
  <c r="V277" i="68"/>
  <c r="S278" i="68"/>
  <c r="T278" i="68" l="1"/>
  <c r="V278" i="68"/>
  <c r="S279" i="68"/>
  <c r="T279" i="68" l="1"/>
  <c r="V279" i="68"/>
  <c r="S280" i="68"/>
  <c r="T280" i="68" l="1"/>
  <c r="V280" i="68"/>
  <c r="S281" i="68"/>
  <c r="T281" i="68" l="1"/>
  <c r="V281" i="68"/>
  <c r="S282" i="68"/>
  <c r="T282" i="68" l="1"/>
  <c r="V282" i="68"/>
  <c r="S283" i="68"/>
  <c r="T283" i="68" l="1"/>
  <c r="V283" i="68"/>
  <c r="S284" i="68"/>
  <c r="T284" i="68" l="1"/>
  <c r="V284" i="68"/>
  <c r="S285" i="68"/>
  <c r="T285" i="68" l="1"/>
  <c r="V285" i="68"/>
  <c r="S286" i="68"/>
  <c r="T286" i="68" l="1"/>
  <c r="V286" i="68"/>
  <c r="S287" i="68"/>
  <c r="T287" i="68" l="1"/>
  <c r="V287" i="68"/>
  <c r="S288" i="68"/>
  <c r="T288" i="68" l="1"/>
  <c r="V288" i="68"/>
  <c r="S289" i="68"/>
  <c r="T289" i="68" l="1"/>
  <c r="V289" i="68"/>
  <c r="S290" i="68"/>
  <c r="T290" i="68" l="1"/>
  <c r="V290" i="68"/>
  <c r="S291" i="68"/>
  <c r="T291" i="68" l="1"/>
  <c r="V291" i="68"/>
  <c r="S292" i="68"/>
  <c r="T292" i="68" l="1"/>
  <c r="V292" i="68"/>
  <c r="S293" i="68"/>
  <c r="T293" i="68" l="1"/>
  <c r="V293" i="68"/>
  <c r="S294" i="68"/>
  <c r="T294" i="68" l="1"/>
  <c r="V294" i="68"/>
  <c r="S295" i="68"/>
  <c r="T295" i="68" l="1"/>
  <c r="V295" i="68"/>
  <c r="S296" i="68"/>
  <c r="T296" i="68" l="1"/>
  <c r="V296" i="68"/>
  <c r="S297" i="68"/>
  <c r="T297" i="68" l="1"/>
  <c r="V297" i="68"/>
  <c r="S298" i="68"/>
  <c r="T298" i="68" l="1"/>
  <c r="V298" i="68"/>
  <c r="S299" i="68"/>
  <c r="T299" i="68" l="1"/>
  <c r="V299" i="68"/>
  <c r="S300" i="68"/>
  <c r="T300" i="68" l="1"/>
  <c r="V300" i="68"/>
  <c r="S301" i="68"/>
  <c r="T301" i="68" l="1"/>
  <c r="V301" i="68"/>
  <c r="S302" i="68"/>
  <c r="T302" i="68" l="1"/>
  <c r="V302" i="68"/>
  <c r="S303" i="68"/>
  <c r="T303" i="68" l="1"/>
  <c r="V303" i="68"/>
  <c r="S304" i="68"/>
  <c r="T304" i="68" l="1"/>
  <c r="V304" i="68"/>
  <c r="S305" i="68"/>
  <c r="T305" i="68" l="1"/>
  <c r="V305" i="68"/>
  <c r="S306" i="68"/>
  <c r="T306" i="68" l="1"/>
  <c r="V306" i="68"/>
  <c r="S307" i="68"/>
  <c r="T307" i="68" l="1"/>
  <c r="V307" i="68"/>
  <c r="S308" i="68"/>
  <c r="T308" i="68" l="1"/>
  <c r="V308" i="68"/>
  <c r="S309" i="68"/>
  <c r="T309" i="68" l="1"/>
  <c r="V309" i="68"/>
  <c r="S310" i="68"/>
  <c r="T310" i="68" l="1"/>
  <c r="V310" i="68"/>
  <c r="S311" i="68"/>
  <c r="T311" i="68" l="1"/>
  <c r="V311" i="68"/>
  <c r="S312" i="68"/>
  <c r="T312" i="68" l="1"/>
  <c r="V312" i="68"/>
  <c r="S313" i="68"/>
  <c r="T313" i="68" l="1"/>
  <c r="V313" i="68"/>
  <c r="S314" i="68"/>
  <c r="T314" i="68" l="1"/>
  <c r="V314" i="68"/>
  <c r="S315" i="68"/>
  <c r="T315" i="68" l="1"/>
  <c r="V315" i="68"/>
  <c r="S316" i="68"/>
  <c r="T316" i="68" l="1"/>
  <c r="V316" i="68"/>
  <c r="S317" i="68"/>
  <c r="T317" i="68" l="1"/>
  <c r="V317" i="68"/>
  <c r="S318" i="68"/>
  <c r="T318" i="68" l="1"/>
  <c r="V318" i="68"/>
  <c r="S319" i="68"/>
  <c r="T319" i="68" l="1"/>
  <c r="V319" i="68"/>
  <c r="S320" i="68"/>
  <c r="T320" i="68" l="1"/>
  <c r="V320" i="68"/>
  <c r="S321" i="68"/>
  <c r="T321" i="68" l="1"/>
  <c r="V321" i="68"/>
  <c r="S322" i="68"/>
  <c r="T322" i="68" l="1"/>
  <c r="V322" i="68"/>
  <c r="S323" i="68"/>
  <c r="T323" i="68" l="1"/>
  <c r="V323" i="68"/>
  <c r="S324" i="68"/>
  <c r="T324" i="68" l="1"/>
  <c r="V324" i="68"/>
  <c r="S325" i="68"/>
  <c r="T325" i="68" l="1"/>
  <c r="V325" i="68"/>
  <c r="S326" i="68"/>
  <c r="T326" i="68" l="1"/>
  <c r="V326" i="68"/>
  <c r="S327" i="68"/>
  <c r="T327" i="68" l="1"/>
  <c r="V327" i="68"/>
  <c r="S328" i="68"/>
  <c r="T328" i="68" l="1"/>
  <c r="V328" i="68"/>
  <c r="S329" i="68"/>
  <c r="T329" i="68" l="1"/>
  <c r="V329" i="68"/>
  <c r="S330" i="68"/>
  <c r="T330" i="68" l="1"/>
  <c r="V330" i="68"/>
  <c r="S331" i="68"/>
  <c r="T331" i="68" l="1"/>
  <c r="V331" i="68"/>
  <c r="S332" i="68"/>
  <c r="T332" i="68" l="1"/>
  <c r="V332" i="68"/>
  <c r="S333" i="68"/>
  <c r="T333" i="68" l="1"/>
  <c r="V333" i="68"/>
  <c r="S334" i="68"/>
  <c r="T334" i="68" l="1"/>
  <c r="V334" i="68"/>
  <c r="S335" i="68"/>
  <c r="T335" i="68" l="1"/>
  <c r="V335" i="68"/>
  <c r="S336" i="68"/>
  <c r="T336" i="68" l="1"/>
  <c r="V336" i="68"/>
  <c r="S337" i="68"/>
  <c r="T337" i="68" l="1"/>
  <c r="V337" i="68"/>
  <c r="S338" i="68"/>
  <c r="T338" i="68" l="1"/>
  <c r="V338" i="68"/>
  <c r="S339" i="68"/>
  <c r="T339" i="68" l="1"/>
  <c r="V339" i="68"/>
  <c r="S340" i="68"/>
  <c r="T340" i="68" l="1"/>
  <c r="V340" i="68"/>
  <c r="S341" i="68"/>
  <c r="T341" i="68" l="1"/>
  <c r="V341" i="68"/>
  <c r="S342" i="68"/>
  <c r="T342" i="68" l="1"/>
  <c r="V342" i="68"/>
  <c r="S343" i="68"/>
  <c r="T343" i="68" l="1"/>
  <c r="V343" i="68"/>
  <c r="S344" i="68"/>
  <c r="T344" i="68" l="1"/>
  <c r="V344" i="68"/>
  <c r="S345" i="68"/>
  <c r="T345" i="68" l="1"/>
  <c r="V345" i="68"/>
  <c r="S346" i="68"/>
  <c r="T346" i="68" l="1"/>
  <c r="V346" i="68"/>
  <c r="S347" i="68"/>
  <c r="T347" i="68" l="1"/>
  <c r="V347" i="68"/>
  <c r="S348" i="68"/>
  <c r="T348" i="68" l="1"/>
  <c r="V348" i="68"/>
  <c r="S349" i="68"/>
  <c r="T349" i="68" l="1"/>
  <c r="V349" i="68"/>
  <c r="S350" i="68"/>
  <c r="T350" i="68" l="1"/>
  <c r="V350" i="68"/>
  <c r="S351" i="68"/>
  <c r="T351" i="68" l="1"/>
  <c r="V351" i="68"/>
  <c r="S352" i="68"/>
  <c r="T352" i="68" l="1"/>
  <c r="V352" i="68"/>
  <c r="S353" i="68"/>
  <c r="T353" i="68" l="1"/>
  <c r="V353" i="68"/>
  <c r="S354" i="68"/>
  <c r="T354" i="68" l="1"/>
  <c r="V354" i="68"/>
  <c r="S355" i="68"/>
  <c r="T355" i="68" l="1"/>
  <c r="V355" i="68"/>
  <c r="S356" i="68"/>
  <c r="T356" i="68" l="1"/>
  <c r="V356" i="68"/>
  <c r="S357" i="68"/>
  <c r="T357" i="68" l="1"/>
  <c r="V357" i="68"/>
  <c r="S358" i="68"/>
  <c r="V358" i="68" l="1"/>
  <c r="V359" i="68" l="1"/>
  <c r="V360" i="68" l="1"/>
  <c r="V361" i="68" l="1"/>
  <c r="V362" i="68" l="1"/>
  <c r="V363" i="68" l="1"/>
  <c r="V364" i="68" l="1"/>
  <c r="V365" i="68" l="1"/>
  <c r="V366" i="68" l="1"/>
  <c r="S367" i="68"/>
  <c r="T367" i="68" l="1"/>
  <c r="V367" i="68"/>
  <c r="F51" i="92" l="1"/>
  <c r="D51" i="92" l="1"/>
  <c r="G51" i="92" s="1"/>
  <c r="E51" i="92"/>
  <c r="D12" i="98"/>
  <c r="P12" i="98" l="1"/>
  <c r="D29" i="98"/>
  <c r="E50" i="88" l="1"/>
  <c r="F50" i="88"/>
  <c r="H50" i="88" l="1"/>
  <c r="F39" i="91"/>
  <c r="F43" i="91" s="1"/>
  <c r="E22" i="92" s="1"/>
  <c r="E32" i="91"/>
  <c r="F32" i="91"/>
  <c r="F36" i="91" s="1"/>
  <c r="E21" i="92" s="1"/>
  <c r="E39" i="91"/>
  <c r="E25" i="92" l="1"/>
  <c r="E47" i="88"/>
  <c r="E36" i="91"/>
  <c r="H32" i="91"/>
  <c r="E43" i="91"/>
  <c r="H39" i="91"/>
  <c r="E16" i="88"/>
  <c r="D35" i="96"/>
  <c r="F16" i="88"/>
  <c r="E26" i="92" s="1"/>
  <c r="E27" i="92" s="1"/>
  <c r="D36" i="96"/>
  <c r="P36" i="96" s="1"/>
  <c r="F47" i="88"/>
  <c r="F49" i="88" s="1"/>
  <c r="F51" i="88" s="1"/>
  <c r="F14" i="93" s="1"/>
  <c r="F15" i="93" s="1"/>
  <c r="G19" i="82" l="1"/>
  <c r="D19" i="82"/>
  <c r="E11" i="88"/>
  <c r="D7" i="96"/>
  <c r="G39" i="91"/>
  <c r="D22" i="92"/>
  <c r="G40" i="91"/>
  <c r="G42" i="91"/>
  <c r="H43" i="91"/>
  <c r="G41" i="91"/>
  <c r="G32" i="91"/>
  <c r="G35" i="91"/>
  <c r="D21" i="92"/>
  <c r="G34" i="91"/>
  <c r="H36" i="91"/>
  <c r="G33" i="91"/>
  <c r="H47" i="88"/>
  <c r="E49" i="88"/>
  <c r="P35" i="96"/>
  <c r="D26" i="92"/>
  <c r="G26" i="92" s="1"/>
  <c r="H16" i="88"/>
  <c r="G36" i="91" l="1"/>
  <c r="G21" i="92"/>
  <c r="D25" i="92"/>
  <c r="F22" i="92" s="1"/>
  <c r="E51" i="88"/>
  <c r="H49" i="88"/>
  <c r="G22" i="92"/>
  <c r="P7" i="96"/>
  <c r="D40" i="96"/>
  <c r="G23" i="82"/>
  <c r="I19" i="82"/>
  <c r="I23" i="82" s="1"/>
  <c r="I24" i="82" s="1"/>
  <c r="G43" i="91"/>
  <c r="H11" i="88"/>
  <c r="E15" i="88"/>
  <c r="F11" i="88"/>
  <c r="F15" i="88" s="1"/>
  <c r="D8" i="96"/>
  <c r="F19" i="82"/>
  <c r="F23" i="82" s="1"/>
  <c r="D23" i="82"/>
  <c r="F21" i="92" l="1"/>
  <c r="F33" i="82"/>
  <c r="F24" i="82"/>
  <c r="F32" i="82" s="1"/>
  <c r="D9" i="96"/>
  <c r="D23" i="96"/>
  <c r="D30" i="96"/>
  <c r="D16" i="96"/>
  <c r="P40" i="96"/>
  <c r="D37" i="96"/>
  <c r="D41" i="96"/>
  <c r="P41" i="96" s="1"/>
  <c r="P8" i="96"/>
  <c r="H15" i="88"/>
  <c r="E17" i="88"/>
  <c r="G49" i="88"/>
  <c r="E14" i="93"/>
  <c r="H51" i="88"/>
  <c r="G48" i="88"/>
  <c r="G50" i="88"/>
  <c r="G51" i="88" s="1"/>
  <c r="G47" i="88"/>
  <c r="F14" i="92"/>
  <c r="F24" i="92"/>
  <c r="F15" i="92"/>
  <c r="F20" i="92"/>
  <c r="F19" i="92"/>
  <c r="F18" i="92"/>
  <c r="G25" i="92"/>
  <c r="F11" i="92"/>
  <c r="F13" i="92"/>
  <c r="F16" i="92"/>
  <c r="F23" i="92"/>
  <c r="D27" i="92"/>
  <c r="G27" i="92" s="1"/>
  <c r="F17" i="92"/>
  <c r="F12" i="92"/>
  <c r="F17" i="88"/>
  <c r="G15" i="88" l="1"/>
  <c r="G13" i="88"/>
  <c r="G12" i="88"/>
  <c r="H17" i="88"/>
  <c r="G14" i="88"/>
  <c r="G16" i="88"/>
  <c r="G11" i="88"/>
  <c r="F25" i="92"/>
  <c r="H14" i="93"/>
  <c r="E15" i="93"/>
  <c r="G14" i="93" s="1"/>
  <c r="F38" i="93"/>
  <c r="E25" i="93"/>
  <c r="P9" i="96"/>
  <c r="P23" i="96"/>
  <c r="P30" i="96"/>
  <c r="P16" i="96"/>
  <c r="P37" i="96"/>
  <c r="G12" i="93" l="1"/>
  <c r="G11" i="93"/>
  <c r="G13" i="93"/>
  <c r="H15" i="93"/>
  <c r="G17" i="88"/>
  <c r="G15" i="93" l="1"/>
  <c r="U55" i="68" l="1"/>
  <c r="U81" i="68"/>
  <c r="W159" i="68"/>
  <c r="W260" i="68"/>
  <c r="W151" i="68"/>
  <c r="W133" i="68"/>
  <c r="W303" i="68"/>
  <c r="U63" i="68"/>
  <c r="U37" i="68"/>
  <c r="U29" i="68"/>
  <c r="W150" i="68"/>
  <c r="W250" i="68"/>
  <c r="W293" i="68"/>
  <c r="W126" i="68"/>
  <c r="W225" i="68"/>
  <c r="W273" i="68"/>
  <c r="W309" i="68"/>
  <c r="W106" i="68"/>
  <c r="W276" i="68"/>
  <c r="W306" i="68"/>
  <c r="U82" i="68"/>
  <c r="W335" i="68"/>
  <c r="U76" i="68"/>
  <c r="W208" i="68"/>
  <c r="W206" i="68"/>
  <c r="W319" i="68"/>
  <c r="W161" i="68"/>
  <c r="W241" i="68"/>
  <c r="W154" i="68"/>
  <c r="W288" i="68"/>
  <c r="W107" i="68"/>
  <c r="U41" i="68"/>
  <c r="U34" i="68"/>
  <c r="W111" i="68"/>
  <c r="W138" i="68"/>
  <c r="W217" i="68"/>
  <c r="W129" i="68"/>
  <c r="U74" i="68"/>
  <c r="U66" i="68"/>
  <c r="U15" i="68"/>
  <c r="W105" i="68"/>
  <c r="W362" i="68"/>
  <c r="W349" i="68"/>
  <c r="W180" i="68"/>
  <c r="W271" i="68"/>
  <c r="W314" i="68"/>
  <c r="U75" i="68"/>
  <c r="W183" i="68"/>
  <c r="W233" i="68"/>
  <c r="W188" i="68"/>
  <c r="W213" i="68"/>
  <c r="U78" i="68"/>
  <c r="W326" i="68"/>
  <c r="W261" i="68"/>
  <c r="U3" i="68"/>
  <c r="U52" i="68"/>
  <c r="W224" i="68"/>
  <c r="U21" i="68"/>
  <c r="W249" i="68"/>
  <c r="W275" i="68"/>
  <c r="W163" i="68"/>
  <c r="W121" i="68"/>
  <c r="W301" i="68"/>
  <c r="W366" i="68"/>
  <c r="W286" i="68"/>
  <c r="W236" i="68"/>
  <c r="W321" i="68"/>
  <c r="W191" i="68"/>
  <c r="W110" i="68"/>
  <c r="W279" i="68"/>
  <c r="W315" i="68"/>
  <c r="W265" i="68"/>
  <c r="W357" i="68"/>
  <c r="W171" i="68"/>
  <c r="W358" i="68"/>
  <c r="W299" i="68"/>
  <c r="W345" i="68"/>
  <c r="W257" i="68"/>
  <c r="W307" i="68"/>
  <c r="W179" i="68"/>
  <c r="W139" i="68"/>
  <c r="W239" i="68"/>
  <c r="W207" i="68"/>
  <c r="W92" i="68"/>
  <c r="W186" i="68"/>
  <c r="U77" i="68"/>
  <c r="W97" i="68"/>
  <c r="W337" i="68"/>
  <c r="U8" i="68"/>
  <c r="W118" i="68"/>
  <c r="W117" i="68"/>
  <c r="W338" i="68"/>
  <c r="W216" i="68"/>
  <c r="W311" i="68"/>
  <c r="W238" i="68"/>
  <c r="W141" i="68"/>
  <c r="W124" i="68"/>
  <c r="U4" i="68"/>
  <c r="W212" i="68"/>
  <c r="W231" i="68"/>
  <c r="W351" i="68"/>
  <c r="W298" i="68"/>
  <c r="W281" i="68"/>
  <c r="W221" i="68"/>
  <c r="W223" i="68"/>
  <c r="W245" i="68"/>
  <c r="U48" i="68"/>
  <c r="W209" i="68"/>
  <c r="U67" i="68"/>
  <c r="W277" i="68"/>
  <c r="W140" i="68"/>
  <c r="W109" i="68"/>
  <c r="W226" i="68"/>
  <c r="U53" i="68"/>
  <c r="W278" i="68"/>
  <c r="W322" i="68"/>
  <c r="W200" i="68"/>
  <c r="U9" i="68"/>
  <c r="W194" i="68"/>
  <c r="W229" i="68"/>
  <c r="W248" i="68"/>
  <c r="W94" i="68"/>
  <c r="W258" i="68"/>
  <c r="W181" i="68"/>
  <c r="W119" i="68"/>
  <c r="W93" i="68"/>
  <c r="U71" i="68"/>
  <c r="U51" i="68"/>
  <c r="W237" i="68"/>
  <c r="U32" i="68"/>
  <c r="W103" i="68"/>
  <c r="W199" i="68"/>
  <c r="W272" i="68"/>
  <c r="U61" i="68"/>
  <c r="U69" i="68"/>
  <c r="U43" i="68"/>
  <c r="W352" i="68"/>
  <c r="U73" i="68"/>
  <c r="W120" i="68"/>
  <c r="W331" i="68"/>
  <c r="W218" i="68"/>
  <c r="W324" i="68"/>
  <c r="W96" i="68"/>
  <c r="U20" i="68"/>
  <c r="U7" i="68"/>
  <c r="W164" i="68"/>
  <c r="W268" i="68"/>
  <c r="U28" i="68"/>
  <c r="W297" i="68"/>
  <c r="W228" i="68"/>
  <c r="W340" i="68"/>
  <c r="W227" i="68"/>
  <c r="W195" i="68"/>
  <c r="U367" i="68"/>
  <c r="W230" i="68"/>
  <c r="W363" i="68"/>
  <c r="U36" i="68"/>
  <c r="W100" i="68"/>
  <c r="W274" i="68"/>
  <c r="W235" i="68"/>
  <c r="W318" i="68"/>
  <c r="W130" i="68"/>
  <c r="W325" i="68"/>
  <c r="U12" i="68"/>
  <c r="U23" i="68"/>
  <c r="W177" i="68"/>
  <c r="W344" i="68"/>
  <c r="W214" i="68"/>
  <c r="W330" i="68"/>
  <c r="W148" i="68"/>
  <c r="U44" i="68"/>
  <c r="U83" i="68"/>
  <c r="U11" i="68"/>
  <c r="W355" i="68"/>
  <c r="U50" i="68"/>
  <c r="W128" i="68"/>
  <c r="U26" i="68"/>
  <c r="U31" i="68"/>
  <c r="W267" i="68"/>
  <c r="W289" i="68"/>
  <c r="U2" i="68"/>
  <c r="W247" i="68"/>
  <c r="W201" i="68"/>
  <c r="W197" i="68"/>
  <c r="U62" i="68"/>
  <c r="U5" i="68"/>
  <c r="W203" i="68"/>
  <c r="W98" i="68"/>
  <c r="W313" i="68"/>
  <c r="W220" i="68"/>
  <c r="W170" i="68"/>
  <c r="U6" i="68"/>
  <c r="W243" i="68"/>
  <c r="W361" i="68"/>
  <c r="W291" i="68"/>
  <c r="U17" i="68"/>
  <c r="W169" i="68"/>
  <c r="U18" i="68"/>
  <c r="W266" i="68"/>
  <c r="W305" i="68"/>
  <c r="W240" i="68"/>
  <c r="U64" i="68"/>
  <c r="U85" i="68"/>
  <c r="W145" i="68"/>
  <c r="U45" i="68"/>
  <c r="U57" i="68"/>
  <c r="W147" i="68"/>
  <c r="W254" i="68"/>
  <c r="W168" i="68"/>
  <c r="W198" i="68"/>
  <c r="U30" i="68"/>
  <c r="W135" i="68"/>
  <c r="W116" i="68"/>
  <c r="W144" i="68"/>
  <c r="W246" i="68"/>
  <c r="W95" i="68"/>
  <c r="W158" i="68"/>
  <c r="W285" i="68"/>
  <c r="W125" i="68"/>
  <c r="W263" i="68"/>
  <c r="W202" i="68"/>
  <c r="W131" i="68"/>
  <c r="W329" i="68"/>
  <c r="W204" i="68"/>
  <c r="W155" i="68"/>
  <c r="W178" i="68"/>
  <c r="W365" i="68"/>
  <c r="W354" i="68"/>
  <c r="W189" i="68"/>
  <c r="W342" i="68"/>
  <c r="W182" i="68"/>
  <c r="U14" i="68"/>
  <c r="W184" i="68"/>
  <c r="W222" i="68"/>
  <c r="W252" i="68"/>
  <c r="W310" i="68"/>
  <c r="U24" i="68"/>
  <c r="W149" i="68"/>
  <c r="W153" i="68"/>
  <c r="W323" i="68"/>
  <c r="W156" i="68"/>
  <c r="W113" i="68"/>
  <c r="W262" i="68"/>
  <c r="W114" i="68"/>
  <c r="U42" i="68"/>
  <c r="W280" i="68"/>
  <c r="W270" i="68"/>
  <c r="W359" i="68"/>
  <c r="W215" i="68"/>
  <c r="U40" i="68"/>
  <c r="W162" i="68"/>
  <c r="W256" i="68"/>
  <c r="U33" i="68"/>
  <c r="U10" i="68"/>
  <c r="U86" i="68"/>
  <c r="W332" i="68"/>
  <c r="U22" i="68"/>
  <c r="W348" i="68"/>
  <c r="U58" i="68"/>
  <c r="W172" i="68"/>
  <c r="W287" i="68"/>
  <c r="W282" i="68"/>
  <c r="U84" i="68"/>
  <c r="U49" i="68"/>
  <c r="W343" i="68"/>
  <c r="W176" i="68"/>
  <c r="W295" i="68"/>
  <c r="W255" i="68"/>
  <c r="W300" i="68"/>
  <c r="W152" i="68"/>
  <c r="U65" i="68"/>
  <c r="W122" i="68"/>
  <c r="W190" i="68"/>
  <c r="W334" i="68"/>
  <c r="W187" i="68"/>
  <c r="U89" i="68"/>
  <c r="W341" i="68"/>
  <c r="W283" i="68"/>
  <c r="W167" i="68"/>
  <c r="W137" i="68"/>
  <c r="U56" i="68"/>
  <c r="W211" i="68"/>
  <c r="W132" i="68"/>
  <c r="W205" i="68"/>
  <c r="W165" i="68"/>
  <c r="W304" i="68"/>
  <c r="W336" i="68"/>
  <c r="U87" i="68"/>
  <c r="U59" i="68"/>
  <c r="U16" i="68"/>
  <c r="W101" i="68"/>
  <c r="W356" i="68"/>
  <c r="U91" i="68"/>
  <c r="W339" i="68"/>
  <c r="W269" i="68"/>
  <c r="W328" i="68"/>
  <c r="W115" i="68"/>
  <c r="W210" i="68"/>
  <c r="W234" i="68"/>
  <c r="W193" i="68"/>
  <c r="W134" i="68"/>
  <c r="U68" i="68"/>
  <c r="U79" i="68"/>
  <c r="W264" i="68"/>
  <c r="W308" i="68"/>
  <c r="W333" i="68"/>
  <c r="U54" i="68"/>
  <c r="U46" i="68"/>
  <c r="U90" i="68"/>
  <c r="U72" i="68"/>
  <c r="U13" i="68"/>
  <c r="U70" i="68"/>
  <c r="W104" i="68"/>
  <c r="U35" i="68"/>
  <c r="W317" i="68"/>
  <c r="W284" i="68"/>
  <c r="W142" i="68"/>
  <c r="U38" i="68"/>
  <c r="W302" i="68"/>
  <c r="W166" i="68"/>
  <c r="U25" i="68"/>
  <c r="W320" i="68"/>
  <c r="W99" i="68"/>
  <c r="W157" i="68"/>
  <c r="U88" i="68"/>
  <c r="W173" i="68"/>
  <c r="W146" i="68"/>
  <c r="W364" i="68"/>
  <c r="W346" i="68"/>
  <c r="W108" i="68"/>
  <c r="W296" i="68"/>
  <c r="U19" i="68"/>
  <c r="W347" i="68"/>
  <c r="W219" i="68"/>
  <c r="W232" i="68"/>
  <c r="W123" i="68"/>
  <c r="W312" i="68"/>
  <c r="W242" i="68"/>
  <c r="W112" i="68"/>
  <c r="W360" i="68"/>
  <c r="U80" i="68"/>
  <c r="W350" i="68"/>
  <c r="W136" i="68"/>
  <c r="W160" i="68"/>
  <c r="W174" i="68"/>
  <c r="W327" i="68"/>
  <c r="W290" i="68"/>
  <c r="U39" i="68"/>
  <c r="W185" i="68"/>
  <c r="U60" i="68"/>
  <c r="W292" i="68"/>
  <c r="W244" i="68"/>
  <c r="U27" i="68"/>
  <c r="W127" i="68"/>
  <c r="W251" i="68"/>
  <c r="W196" i="68"/>
  <c r="W192" i="68"/>
  <c r="W175" i="68"/>
  <c r="W253" i="68"/>
  <c r="W316" i="68"/>
  <c r="W259" i="68"/>
  <c r="W353" i="68"/>
  <c r="W102" i="68"/>
  <c r="W294" i="68"/>
  <c r="W143" i="68"/>
  <c r="U47" i="68"/>
  <c r="E27" i="68" l="1"/>
  <c r="L27" i="68"/>
  <c r="M27" i="68"/>
  <c r="J27" i="68"/>
  <c r="O27" i="68"/>
  <c r="N27" i="68"/>
  <c r="F27" i="68"/>
  <c r="I27" i="68"/>
  <c r="H27" i="68"/>
  <c r="D27" i="68"/>
  <c r="G27" i="68"/>
  <c r="K27" i="68"/>
  <c r="N28" i="68" l="1"/>
  <c r="H28" i="68"/>
  <c r="I28" i="68"/>
  <c r="D28" i="68"/>
  <c r="M28" i="68"/>
  <c r="J28" i="68"/>
  <c r="E28" i="68"/>
  <c r="K28" i="68"/>
  <c r="O28" i="68"/>
  <c r="L28" i="68"/>
  <c r="F28" i="68"/>
  <c r="G28" i="68"/>
  <c r="D47" i="96" l="1"/>
  <c r="E47" i="96" l="1"/>
  <c r="F47" i="96"/>
  <c r="P47" i="96" l="1"/>
</calcChain>
</file>

<file path=xl/sharedStrings.xml><?xml version="1.0" encoding="utf-8"?>
<sst xmlns="http://schemas.openxmlformats.org/spreadsheetml/2006/main" count="830" uniqueCount="317">
  <si>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</si>
  <si>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</si>
  <si>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</si>
  <si>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</si>
  <si>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</si>
  <si>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</si>
  <si>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</si>
  <si>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</si>
  <si>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</si>
  <si>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</si>
  <si>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</si>
  <si>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</si>
  <si>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</si>
  <si>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</si>
  <si>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</si>
  <si>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</si>
  <si>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</si>
  <si>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</si>
  <si>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</si>
  <si>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</si>
  <si>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</si>
  <si>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</si>
  <si>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</si>
  <si>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</si>
  <si>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</si>
  <si>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</si>
  <si>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</si>
  <si>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</si>
  <si>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</si>
  <si>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</si>
  <si>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</si>
  <si>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</si>
  <si>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</si>
  <si>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</si>
  <si>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</si>
  <si>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</si>
  <si>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</si>
  <si>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</si>
  <si>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</si>
  <si>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</si>
  <si>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</si>
  <si>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</si>
  <si>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teplotě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</si>
  <si>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</si>
  <si>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</si>
  <si>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</si>
  <si>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</si>
  <si>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</si>
  <si>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</si>
  <si>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</si>
  <si>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</si>
  <si>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</si>
  <si>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Teplota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</si>
  <si>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</si>
  <si>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</si>
  <si>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</si>
  <si>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</si>
  <si>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</si>
  <si>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</si>
  <si>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</si>
  <si>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</si>
  <si>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</si>
  <si>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</si>
  <si>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</si>
  <si>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</si>
  <si>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</si>
  <si>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</si>
  <si>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</si>
  <si>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</si>
  <si>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průměr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</si>
  <si>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</si>
  <si>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</si>
  <si>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</si>
  <si>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</si>
  <si>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</si>
  <si>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</si>
  <si>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</si>
  <si>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</si>
  <si>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</si>
  <si>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</si>
  <si>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</si>
  <si>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</si>
  <si>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 xml:space="preserve"> Počet změn dodavatele plynu v ČR na odběrné místo</t>
  </si>
  <si>
    <t>Výroba plynu
v ČR</t>
  </si>
  <si>
    <t>Spotřeba plynu 
v ČR</t>
  </si>
  <si>
    <t>Spotřeba plynu v ČR</t>
  </si>
  <si>
    <t>E.ON Distribuce, a.s.</t>
  </si>
  <si>
    <t>Tabulka č. 12</t>
  </si>
  <si>
    <t>Skutečnost</t>
  </si>
  <si>
    <t>Přepočet</t>
  </si>
  <si>
    <t>Prognóza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</si>
  <si>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</si>
  <si>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kategorie</t>
  </si>
  <si>
    <t>spotřeba 
zemního plynu</t>
  </si>
  <si>
    <t>průměrná teplota</t>
  </si>
  <si>
    <t>plynárenské společnosti</t>
  </si>
  <si>
    <t>Podíl spotřeby plynu podle území plynárenských společností v ČR</t>
  </si>
  <si>
    <t xml:space="preserve"> Zkratky a jejich význam</t>
  </si>
  <si>
    <t>BSD</t>
  </si>
  <si>
    <t>Zkratka</t>
  </si>
  <si>
    <t>Význam</t>
  </si>
  <si>
    <t>Bezpečnostní standard dodávky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</si>
  <si>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</si>
  <si>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</si>
  <si>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</si>
  <si>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</si>
  <si>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</si>
  <si>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</si>
  <si>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</si>
  <si>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</si>
  <si>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</si>
  <si>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</si>
  <si>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</si>
  <si>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</si>
  <si>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</si>
  <si>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</si>
  <si>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</si>
  <si>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</si>
  <si>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</si>
  <si>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</si>
  <si>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Měsíční skutečná dodávka chráněným zákazníkům</t>
  </si>
  <si>
    <t>MSD</t>
  </si>
  <si>
    <t>DPD</t>
  </si>
  <si>
    <t>Výpočet BSD pro případ mimořádných teplotních hodnot v průběhu sedmidenního období poptávkových špiček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</si>
  <si>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</si>
  <si>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</si>
  <si>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Denní průměrná dodávka chráněným zákazníkům</t>
  </si>
  <si>
    <t>%</t>
  </si>
  <si>
    <t>Kategorie</t>
  </si>
  <si>
    <t>DTG</t>
  </si>
  <si>
    <t>Denní teplotní gradient (změna spotřeby plynu při jednotkové změně teploty)</t>
  </si>
  <si>
    <t>TDD</t>
  </si>
  <si>
    <t>Typ měření</t>
  </si>
  <si>
    <t>Definovaný typ měření (A, B, C)</t>
  </si>
  <si>
    <t>ERÚ</t>
  </si>
  <si>
    <t>Energetický regulační úřad</t>
  </si>
  <si>
    <t>OTE</t>
  </si>
  <si>
    <t>Společnost OTE, a.s. (operátor trhu)</t>
  </si>
  <si>
    <t>CHZ</t>
  </si>
  <si>
    <t>Chránění zákazníci (zákazníci s odběrnými místy zařazenými do skupin C1, D, F)</t>
  </si>
  <si>
    <t>NECHZ</t>
  </si>
  <si>
    <t>Nechránění zákazníci (zákazníci s odběrnými místy zařazenými do skupin A, B1, B2, C2, E)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</si>
  <si>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</si>
  <si>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</si>
  <si>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</si>
  <si>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</si>
  <si>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</si>
  <si>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</si>
  <si>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</si>
  <si>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</si>
  <si>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</si>
  <si>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</si>
  <si>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</si>
  <si>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</si>
  <si>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</si>
  <si>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</si>
  <si>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</si>
  <si>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</si>
  <si>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</si>
  <si>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</si>
  <si>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</si>
  <si>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</si>
  <si>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</si>
  <si>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</si>
  <si>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</si>
  <si>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</si>
  <si>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</si>
  <si>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</si>
  <si>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</si>
  <si>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</si>
  <si>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</si>
  <si>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</si>
  <si>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</si>
  <si>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</si>
  <si>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</si>
  <si>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</si>
  <si>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</si>
  <si>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Vlastní spotřeba výrobců plynu</t>
  </si>
  <si>
    <t>OP+VS</t>
  </si>
  <si>
    <t>VS</t>
  </si>
  <si>
    <t>Ostatní společnosti</t>
  </si>
  <si>
    <t>celkem VP+VS</t>
  </si>
  <si>
    <t>Tok plynu ze/do zásobníků plynu, 
které náleží do plynárenské soustavy ČR</t>
  </si>
  <si>
    <t>R30</t>
  </si>
  <si>
    <t>Rmax</t>
  </si>
  <si>
    <t>RN-1</t>
  </si>
  <si>
    <t xml:space="preserve"> Měsíční bilance plynárenské soustavy ČR</t>
  </si>
  <si>
    <t>Denní průběh spotřeb zemního plynu v ČR</t>
  </si>
  <si>
    <t>Bilance plynárenské soustavy ČR v průběhu roku</t>
  </si>
  <si>
    <t>Spotřeba zemního plynu v ČR v průběhu roku</t>
  </si>
  <si>
    <t xml:space="preserve"> Měsíční spotřeba zemního plynu podle plynárenských soustav a kategorií zákazníků v ČR</t>
  </si>
  <si>
    <t xml:space="preserve"> Měsíční spotřeba zemního plynu podle krajů a kategorií zákazníků v ČR</t>
  </si>
  <si>
    <t xml:space="preserve"> Denní průběh spotřeb zemního plynu v ČR</t>
  </si>
  <si>
    <t xml:space="preserve">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</si>
  <si>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</si>
  <si>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</si>
  <si>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</si>
  <si>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</si>
  <si>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</si>
  <si>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</si>
  <si>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Četnost</t>
  </si>
  <si>
    <t>Spotřeba</t>
  </si>
  <si>
    <t>GWh/°C/den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</si>
  <si>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</si>
  <si>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</si>
  <si>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</si>
  <si>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</si>
  <si>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</si>
  <si>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</si>
  <si>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</si>
  <si>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</si>
  <si>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</si>
  <si>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str. 12</t>
  </si>
  <si>
    <t>str. 13</t>
  </si>
  <si>
    <t>str. 14</t>
  </si>
  <si>
    <t>str. 15</t>
  </si>
  <si>
    <t>str. 16</t>
  </si>
  <si>
    <t>str. 17</t>
  </si>
  <si>
    <t xml:space="preserve"> Komentář k Měsíční zprávě o provozu plynárenské soustavy ČR</t>
  </si>
  <si>
    <t xml:space="preserve">                                                                    Měsíční bilance plynárenské soustavy ČR</t>
  </si>
  <si>
    <t>VSMD</t>
  </si>
  <si>
    <t>Součet všech kategorií zákazníků (velkoodběratelé, střední odběratelé, maloodběratelé, domácnosti)</t>
  </si>
  <si>
    <t>NET4GAS, s.r.o.</t>
  </si>
  <si>
    <t>Green Gas DPB, a.s.</t>
  </si>
  <si>
    <t>Podíl</t>
  </si>
  <si>
    <t>Měsíční spotřeba zemního plynu 
  podle plynárenských soustav a kategorií zákazníků v ČR</t>
  </si>
  <si>
    <t>meziroční změna spotřeby
%</t>
  </si>
  <si>
    <t>Výrobci plynu</t>
  </si>
  <si>
    <t>Ostatní společnosti *</t>
  </si>
  <si>
    <t>Měsíční spotřeba zemního plynu 
  podle krajů a kategorií zákazníků v ČR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</si>
  <si>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</si>
  <si>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</si>
  <si>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</si>
  <si>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</si>
  <si>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</si>
  <si>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</si>
  <si>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</si>
  <si>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</si>
  <si>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</si>
  <si>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</si>
  <si>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</si>
  <si>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</si>
  <si>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</si>
  <si>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skutečná teplota</t>
  </si>
  <si>
    <t>meziroční odchylka teploty</t>
  </si>
  <si>
    <r>
      <t>Spotřeba plynu podle území plynárenských společností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</si>
  <si>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r>
      <t xml:space="preserve"> Spotřeba plynu podle území krajů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</si>
  <si>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teplotní gradient</t>
  </si>
  <si>
    <t>Spotřeba zemního plynu v ČR podle kategorie zákazníků v průběhu roku</t>
  </si>
  <si>
    <t>meziroční změna</t>
  </si>
  <si>
    <r>
      <t>(mil.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</si>
  <si>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(%)</t>
  </si>
  <si>
    <t>(°C)</t>
  </si>
  <si>
    <r>
      <t xml:space="preserve">Měsíční 
</t>
    </r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spotřeba 
zemního plynu</t>
    </r>
  </si>
  <si>
    <r>
      <t xml:space="preserve">Měsíční 
</t>
    </r>
    <r>
      <rPr>
        <b/>
        <sz val="8"/>
        <rFont val="Arial"/>
        <family val="2"/>
        <charset val="238"/>
      </rPr>
      <t>přepočtená</t>
    </r>
    <r>
      <rPr>
        <sz val="8"/>
        <rFont val="Arial"/>
        <family val="2"/>
        <charset val="238"/>
      </rPr>
      <t xml:space="preserve"> spotřeba 
zemního plynu</t>
    </r>
  </si>
  <si>
    <t>spotřeba při 0°C</t>
  </si>
  <si>
    <t>spotřeba při -12°C</t>
  </si>
  <si>
    <t>podíl na celkové spotřebě</t>
  </si>
  <si>
    <t>podíl na celkovém počtu</t>
  </si>
  <si>
    <t>měsíční spotřeba</t>
  </si>
  <si>
    <t>Bilanční rozdíl - pohon KS, ztráty, akumulace</t>
  </si>
  <si>
    <t>Výroba plynu v ČR včetně VS</t>
  </si>
  <si>
    <t>Prognóza spotřeby zemního plynu v ČR v průběhu roku</t>
  </si>
  <si>
    <t>normálová teplota</t>
  </si>
  <si>
    <t>Tabulka č. 3</t>
  </si>
  <si>
    <t>Tabulka č. 4</t>
  </si>
  <si>
    <t>Tabulka č. 5</t>
  </si>
  <si>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
spotřeba 
zemního plynu</t>
    </r>
  </si>
  <si>
    <r>
      <rPr>
        <b/>
        <sz val="8"/>
        <rFont val="Arial"/>
        <family val="2"/>
        <charset val="238"/>
      </rPr>
      <t xml:space="preserve">Přepočtená
</t>
    </r>
    <r>
      <rPr>
        <sz val="8"/>
        <rFont val="Arial"/>
        <family val="2"/>
        <charset val="238"/>
      </rPr>
      <t xml:space="preserve"> spotřeba 
zemního plynu</t>
    </r>
  </si>
  <si>
    <t xml:space="preserve"> Porovnání denní spotřeby zemního plynu v ČR mezi roky 2014 a 2015</t>
  </si>
  <si>
    <t xml:space="preserve"> Prognóza spotřeby zemního plynu v ČR v průběhu roku</t>
  </si>
  <si>
    <t>str. 18</t>
  </si>
  <si>
    <t>X</t>
  </si>
  <si>
    <t>Tok plynu z 
plynárenské soustavy ČR přes HPS</t>
  </si>
  <si>
    <t xml:space="preserve">        z ČR</t>
  </si>
  <si>
    <t>Hraniční předávací stanice
(HPS)</t>
  </si>
  <si>
    <t>Tok plynu do 
plynárenské soustavy ČR přes HPS</t>
  </si>
  <si>
    <t>Tok plynu ze 
zásobníku plynu, které náleží do plynárenské soustavy ČR</t>
  </si>
  <si>
    <t xml:space="preserve">    ze ZP</t>
  </si>
  <si>
    <t>Bilanční rozdíl 
(plyn pro pohon KS, ztráty, změna akumulace v PS)</t>
  </si>
  <si>
    <t>Kompresní
   stanice
     (KS)</t>
  </si>
  <si>
    <t>Tok plynu v 
přepravní soustavě
(PS)</t>
  </si>
  <si>
    <t>Tok plynu do 
zásobníku plynu, které náleží do plynárenské soustavy ČR</t>
  </si>
  <si>
    <t xml:space="preserve">     do ZP</t>
  </si>
  <si>
    <t>Ostatní plyn
(vlastní spotřeba, ztráty, změna akumulace v RDS)</t>
  </si>
  <si>
    <t>Tok plynu do 
plynárenské soustavy ČR přes PPL</t>
  </si>
  <si>
    <t xml:space="preserve">   do ČR</t>
  </si>
  <si>
    <t>Předávací
  stanice</t>
  </si>
  <si>
    <t>Tok plynu v 
regionální distribuční soustavě
(RDS)</t>
  </si>
  <si>
    <t>Tok plynu z 
plynárenské soustavy ČR přes PPL</t>
  </si>
  <si>
    <t xml:space="preserve">    z ČR</t>
  </si>
  <si>
    <t>Tok plynu v 
lokální distribuční 
soustavě 
(LDS)</t>
  </si>
  <si>
    <t>Mapa plynárenské soustavy ČR</t>
  </si>
  <si>
    <t xml:space="preserve">Vlastní spotřeba
 výrobců plynu </t>
  </si>
  <si>
    <t>Výroba plynu v ČR
(VP)</t>
  </si>
  <si>
    <t xml:space="preserve">       Schéma toků plynu v plynárenské soustavě ČR
                                        </t>
  </si>
  <si>
    <t>Schéma toků plynu v plynárenské soustavě ČR</t>
  </si>
  <si>
    <t>Spotřeba/počet zákazníků</t>
  </si>
  <si>
    <t>stav zásob ZP</t>
  </si>
  <si>
    <t>Měsíční spotřeba zemního plynu 
a teplota ovzduší podle plynárenských společností v ČR</t>
  </si>
  <si>
    <t xml:space="preserve"> Měsíční spotřeba zemního plynu a teplota ovzduší podle plynárenských společností v ČR</t>
  </si>
  <si>
    <t xml:space="preserve"> Meziroční porovnání měsíční spotřeby zemního plynu a teplota ovzduší podle krajů v ČR</t>
  </si>
  <si>
    <t>Meziroční porovnání měsíční spotřeby zemního plynu 
 a teplota ovzduší podle krajů v ČR</t>
  </si>
  <si>
    <t>(GWh)</t>
  </si>
  <si>
    <t>spotřeba plynu na výrobu elektřiny</t>
  </si>
  <si>
    <r>
      <t>(mil. m</t>
    </r>
    <r>
      <rPr>
        <vertAlign val="superscript"/>
        <sz val="8"/>
        <color theme="7" tint="-0.249977111117893"/>
        <rFont val="Arial"/>
        <family val="2"/>
        <charset val="238"/>
      </rPr>
      <t>3</t>
    </r>
    <r>
      <rPr>
        <sz val="8"/>
        <color theme="7" tint="-0.249977111117893"/>
        <rFont val="Arial"/>
        <family val="2"/>
        <charset val="238"/>
      </rPr>
      <t>)</t>
    </r>
  </si>
  <si>
    <r>
      <rPr>
        <b/>
        <sz val="8"/>
        <rFont val="Arial"/>
        <family val="2"/>
        <charset val="238"/>
      </rPr>
      <t>Prognóza</t>
    </r>
    <r>
      <rPr>
        <sz val="8"/>
        <rFont val="Arial"/>
        <family val="2"/>
        <charset val="238"/>
      </rPr>
      <t xml:space="preserve"> 
spotřeby 
zemního plynu</t>
    </r>
  </si>
  <si>
    <t>Poznámka: Předpokládaná spotřeba plynu a teplota na nadcházející měsíc je uvedena na základě aktuálních denních hodnot. Prognóza spotřeby plynu do konce roku byla zpracována v prosinci 2014.</t>
  </si>
  <si>
    <t>Poznámka: Předpokládaná spotřeba plynu na nadcházející měsíc je uvedena na základě aktuálních denních hodnot. Prognóza spotřeby plynu do konce roku byla zpracována v prosinci 2014.</t>
  </si>
  <si>
    <t>Typové diagramy dodávek</t>
  </si>
  <si>
    <t>Ostatní plyn (zahrnuje vlastní spotřebu, ztráty a změnu akumulace)</t>
  </si>
  <si>
    <t>Spotřeba zákazníků 
připojených k LDS, která není napojena na RDS</t>
  </si>
  <si>
    <t>Spotřeba zákazníků
připojených k 
RDS a LDS</t>
  </si>
  <si>
    <t>spotřeba zákazníků připojených přímo k PS</t>
  </si>
  <si>
    <t>Spotřeba zákazníků připojených přímo 
k PS</t>
  </si>
  <si>
    <t>m+1</t>
  </si>
  <si>
    <t>* Zákazníci připojení přímo na přepravní soustavu NET4GAS, s.r.o. a zákazníci v lokální distribuční soustavě Green Gas DPB, a.s., (není zahrnuta v regionální distribuční soustavě) jsou rozděleni u České republiky do příslušných kategorií odběru. Vlastní spotřeba (VS) výrobců plynu je přičtena u České republiky do položky ostatní plyn (OP).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</si>
</sst>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dddd"/>
  </numFmts>
  <fonts count="5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  <font>
      <b/>
      <sz val="20"/>
      <color theme="0"/>
      <name val="Verdana"/>
      <family val="2"/>
      <charset val="238"/>
    </font>
    <font>
      <b/>
      <sz val="12"/>
      <color theme="7" tint="-0.249977111117893"/>
      <name val="Arial"/>
      <family val="2"/>
      <charset val="238"/>
    </font>
    <font>
      <sz val="8"/>
      <color theme="7" tint="-0.249977111117893"/>
      <name val="Arial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8"/>
      <color theme="7" tint="-0.249977111117893"/>
      <name val="Wingdings 3"/>
      <family val="1"/>
      <charset val="2"/>
    </font>
    <font>
      <b/>
      <i/>
      <sz val="8"/>
      <color theme="0"/>
      <name val="Arial"/>
      <family val="2"/>
      <charset val="238"/>
    </font>
    <font>
      <b/>
      <sz val="8"/>
      <color theme="7" tint="-0.249977111117893"/>
      <name val="Arial"/>
      <family val="2"/>
      <charset val="238"/>
    </font>
    <font>
      <sz val="12"/>
      <color theme="7" tint="-0.249977111117893"/>
      <name val="Arial"/>
      <family val="2"/>
      <charset val="238"/>
    </font>
    <font>
      <sz val="8"/>
      <color theme="7" tint="-0.499984740745262"/>
      <name val="Arial"/>
      <family val="2"/>
      <charset val="238"/>
    </font>
    <font>
      <sz val="10"/>
      <color theme="7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sz val="6"/>
      <color theme="7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8"/>
      <color theme="7" tint="0.39997558519241921"/>
      <name val="Arial"/>
      <family val="2"/>
      <charset val="238"/>
    </font>
    <font>
      <sz val="8"/>
      <color theme="5" tint="-0.249977111117893"/>
      <name val="Arial"/>
      <family val="2"/>
      <charset val="238"/>
    </font>
    <font>
      <vertAlign val="superscript"/>
      <sz val="8"/>
      <color theme="7" tint="-0.249977111117893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theme="7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/>
      <top/>
      <bottom/>
      <diagonal/>
    </border>
    <border>
      <left style="thin">
        <color theme="7" tint="-0.24994659260841701"/>
      </left>
      <right/>
      <top/>
      <bottom style="thin">
        <color indexed="64"/>
      </bottom>
      <diagonal/>
    </border>
    <border>
      <left style="thin">
        <color theme="7" tint="-0.24994659260841701"/>
      </left>
      <right/>
      <top style="thin">
        <color indexed="64"/>
      </top>
      <bottom/>
      <diagonal/>
    </border>
    <border>
      <left style="dashed">
        <color indexed="64"/>
      </left>
      <right style="thin">
        <color theme="7" tint="-0.24994659260841701"/>
      </right>
      <top/>
      <bottom/>
      <diagonal/>
    </border>
    <border>
      <left style="dashed">
        <color indexed="64"/>
      </left>
      <right style="thin">
        <color theme="7" tint="-0.24994659260841701"/>
      </right>
      <top/>
      <bottom style="thin">
        <color indexed="64"/>
      </bottom>
      <diagonal/>
    </border>
    <border>
      <left style="dashed">
        <color indexed="64"/>
      </left>
      <right style="thin">
        <color theme="7" tint="-0.24994659260841701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theme="7" tint="-0.24994659260841701"/>
      </right>
      <top/>
      <bottom/>
      <diagonal/>
    </border>
    <border>
      <left/>
      <right style="thin">
        <color theme="7" tint="-0.24994659260841701"/>
      </right>
      <top/>
      <bottom style="thin">
        <color indexed="64"/>
      </bottom>
      <diagonal/>
    </border>
    <border>
      <left style="thin">
        <color theme="7" tint="-0.24994659260841701"/>
      </left>
      <right style="medium">
        <color auto="1"/>
      </right>
      <top/>
      <bottom/>
      <diagonal/>
    </border>
    <border>
      <left style="thin">
        <color theme="7" tint="-0.2499465926084170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/>
      <diagonal/>
    </border>
    <border>
      <left/>
      <right/>
      <top style="thin">
        <color theme="7" tint="-0.24994659260841701"/>
      </top>
      <bottom/>
      <diagonal/>
    </border>
    <border>
      <left/>
      <right style="thin">
        <color theme="7" tint="-0.24994659260841701"/>
      </right>
      <top/>
      <bottom style="thin">
        <color theme="7" tint="-0.24994659260841701"/>
      </bottom>
      <diagonal/>
    </border>
    <border>
      <left/>
      <right/>
      <top/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/>
      <diagonal/>
    </border>
    <border>
      <left style="thin">
        <color theme="7" tint="-0.24994659260841701"/>
      </left>
      <right/>
      <top/>
      <bottom style="thin">
        <color theme="7" tint="-0.24994659260841701"/>
      </bottom>
      <diagonal/>
    </border>
    <border>
      <left/>
      <right style="double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theme="7" tint="-0.24994659260841701"/>
      </left>
      <right/>
      <top/>
      <bottom/>
      <diagonal/>
    </border>
    <border>
      <left style="double">
        <color theme="7" tint="-0.24994659260841701"/>
      </left>
      <right/>
      <top style="thin">
        <color theme="7" tint="-0.24994659260841701"/>
      </top>
      <bottom/>
      <diagonal/>
    </border>
    <border>
      <left style="double">
        <color theme="7" tint="-0.24994659260841701"/>
      </left>
      <right/>
      <top/>
      <bottom style="thin">
        <color theme="7" tint="-0.24994659260841701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2" fillId="4" borderId="19" applyNumberFormat="0" applyProtection="0">
      <alignment vertical="center"/>
    </xf>
    <xf numFmtId="4" fontId="12" fillId="5" borderId="19" applyNumberFormat="0" applyProtection="0">
      <alignment horizontal="left" vertical="center" indent="1"/>
    </xf>
    <xf numFmtId="4" fontId="12" fillId="6" borderId="0" applyNumberFormat="0" applyProtection="0">
      <alignment horizontal="left" vertical="center" indent="1"/>
    </xf>
    <xf numFmtId="4" fontId="13" fillId="7" borderId="19" applyNumberFormat="0" applyProtection="0">
      <alignment horizontal="right" vertical="center"/>
    </xf>
    <xf numFmtId="4" fontId="13" fillId="8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934">
    <xf numFmtId="0" fontId="0" fillId="0" borderId="0" xfId="0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3" fontId="6" fillId="2" borderId="1" xfId="0" applyNumberFormat="1" applyFont="1" applyFill="1" applyBorder="1" applyAlignment="1"/>
    <xf numFmtId="0" fontId="3" fillId="2" borderId="0" xfId="2" applyFill="1"/>
    <xf numFmtId="0" fontId="3" fillId="2" borderId="0" xfId="2" applyFill="1" applyBorder="1"/>
    <xf numFmtId="166" fontId="4" fillId="3" borderId="10" xfId="2" applyNumberFormat="1" applyFont="1" applyFill="1" applyBorder="1" applyAlignment="1">
      <alignment horizontal="right" vertical="center"/>
    </xf>
    <xf numFmtId="3" fontId="4" fillId="2" borderId="0" xfId="1" applyNumberFormat="1" applyFont="1" applyFill="1" applyBorder="1" applyAlignment="1">
      <alignment horizontal="right" vertical="center"/>
    </xf>
    <xf numFmtId="0" fontId="4" fillId="2" borderId="0" xfId="2" applyFont="1" applyFill="1"/>
    <xf numFmtId="0" fontId="14" fillId="2" borderId="0" xfId="2" applyFont="1" applyFill="1" applyAlignment="1">
      <alignment horizontal="center"/>
    </xf>
    <xf numFmtId="0" fontId="14" fillId="2" borderId="0" xfId="2" applyFont="1" applyFill="1" applyAlignment="1"/>
    <xf numFmtId="0" fontId="4" fillId="2" borderId="0" xfId="2" applyFont="1" applyFill="1" applyBorder="1"/>
    <xf numFmtId="0" fontId="3" fillId="2" borderId="0" xfId="2" applyFont="1" applyFill="1"/>
    <xf numFmtId="3" fontId="4" fillId="3" borderId="0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horizontal="right"/>
    </xf>
    <xf numFmtId="0" fontId="19" fillId="2" borderId="0" xfId="0" applyFont="1" applyFill="1" applyAlignment="1">
      <alignment horizontal="left" vertical="top"/>
    </xf>
    <xf numFmtId="0" fontId="20" fillId="2" borderId="0" xfId="0" applyFont="1" applyFill="1"/>
    <xf numFmtId="0" fontId="21" fillId="2" borderId="0" xfId="0" applyFont="1" applyFill="1" applyAlignment="1">
      <alignment horizontal="left" vertical="top"/>
    </xf>
    <xf numFmtId="0" fontId="22" fillId="2" borderId="0" xfId="0" applyFont="1" applyFill="1" applyAlignment="1">
      <alignment horizontal="right" vertical="top"/>
    </xf>
    <xf numFmtId="166" fontId="4" fillId="3" borderId="4" xfId="2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2" applyNumberFormat="1" applyFill="1"/>
    <xf numFmtId="0" fontId="3" fillId="2" borderId="0" xfId="2" applyFill="1" applyAlignment="1">
      <alignment horizontal="right"/>
    </xf>
    <xf numFmtId="49" fontId="7" fillId="2" borderId="0" xfId="2" applyNumberFormat="1" applyFont="1" applyFill="1" applyAlignment="1">
      <alignment horizontal="center"/>
    </xf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right" vertical="center"/>
    </xf>
    <xf numFmtId="2" fontId="4" fillId="3" borderId="0" xfId="2" applyNumberFormat="1" applyFont="1" applyFill="1" applyBorder="1" applyAlignment="1">
      <alignment horizontal="right" vertical="center" wrapText="1"/>
    </xf>
    <xf numFmtId="0" fontId="4" fillId="3" borderId="0" xfId="2" applyFont="1" applyFill="1" applyBorder="1" applyAlignment="1">
      <alignment horizontal="right" vertical="center" wrapText="1"/>
    </xf>
    <xf numFmtId="3" fontId="3" fillId="2" borderId="0" xfId="2" applyNumberFormat="1" applyFill="1" applyBorder="1" applyAlignment="1">
      <alignment horizontal="right" vertical="center"/>
    </xf>
    <xf numFmtId="0" fontId="3" fillId="2" borderId="0" xfId="2" applyFill="1" applyBorder="1" applyAlignment="1">
      <alignment horizontal="right"/>
    </xf>
    <xf numFmtId="3" fontId="3" fillId="2" borderId="0" xfId="2" applyNumberFormat="1" applyFill="1" applyAlignment="1">
      <alignment horizontal="right" vertical="center"/>
    </xf>
    <xf numFmtId="2" fontId="3" fillId="2" borderId="0" xfId="2" applyNumberFormat="1" applyFill="1"/>
    <xf numFmtId="0" fontId="11" fillId="2" borderId="0" xfId="0" applyFont="1" applyFill="1" applyAlignment="1">
      <alignment vertical="top"/>
    </xf>
    <xf numFmtId="0" fontId="3" fillId="2" borderId="0" xfId="2" applyFont="1" applyFill="1" applyBorder="1"/>
    <xf numFmtId="49" fontId="7" fillId="2" borderId="0" xfId="2" applyNumberFormat="1" applyFont="1" applyFill="1" applyBorder="1" applyAlignment="1">
      <alignment horizontal="center"/>
    </xf>
    <xf numFmtId="49" fontId="7" fillId="2" borderId="0" xfId="2" applyNumberFormat="1" applyFont="1" applyFill="1" applyBorder="1" applyAlignment="1">
      <alignment horizontal="right"/>
    </xf>
    <xf numFmtId="0" fontId="0" fillId="3" borderId="0" xfId="0" applyFill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5" fillId="3" borderId="2" xfId="2" applyNumberFormat="1" applyFont="1" applyFill="1" applyBorder="1" applyAlignment="1">
      <alignment horizontal="center"/>
    </xf>
    <xf numFmtId="166" fontId="15" fillId="3" borderId="0" xfId="2" applyNumberFormat="1" applyFont="1" applyFill="1" applyBorder="1" applyAlignment="1">
      <alignment horizontal="right"/>
    </xf>
    <xf numFmtId="0" fontId="15" fillId="3" borderId="0" xfId="2" applyFont="1" applyFill="1" applyBorder="1" applyAlignment="1">
      <alignment horizontal="right"/>
    </xf>
    <xf numFmtId="165" fontId="15" fillId="3" borderId="0" xfId="2" applyNumberFormat="1" applyFont="1" applyFill="1" applyBorder="1" applyAlignment="1">
      <alignment horizontal="right"/>
    </xf>
    <xf numFmtId="164" fontId="16" fillId="3" borderId="0" xfId="1" applyNumberFormat="1" applyFont="1" applyFill="1" applyBorder="1" applyAlignment="1">
      <alignment horizontal="center"/>
    </xf>
    <xf numFmtId="0" fontId="3" fillId="3" borderId="0" xfId="2" applyFont="1" applyFill="1"/>
    <xf numFmtId="0" fontId="4" fillId="3" borderId="0" xfId="2" applyFont="1" applyFill="1" applyBorder="1" applyAlignment="1">
      <alignment horizontal="center" wrapText="1"/>
    </xf>
    <xf numFmtId="3" fontId="14" fillId="2" borderId="0" xfId="2" applyNumberFormat="1" applyFont="1" applyFill="1" applyBorder="1" applyAlignment="1">
      <alignment horizontal="right"/>
    </xf>
    <xf numFmtId="0" fontId="4" fillId="2" borderId="4" xfId="2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3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2" applyFont="1" applyFill="1" applyBorder="1"/>
    <xf numFmtId="0" fontId="4" fillId="2" borderId="31" xfId="2" applyFont="1" applyFill="1" applyBorder="1"/>
    <xf numFmtId="0" fontId="4" fillId="2" borderId="9" xfId="2" applyFont="1" applyFill="1" applyBorder="1"/>
    <xf numFmtId="3" fontId="9" fillId="2" borderId="0" xfId="0" applyNumberFormat="1" applyFont="1" applyFill="1"/>
    <xf numFmtId="0" fontId="4" fillId="2" borderId="0" xfId="0" applyFont="1" applyFill="1"/>
    <xf numFmtId="3" fontId="4" fillId="3" borderId="4" xfId="2" applyNumberFormat="1" applyFont="1" applyFill="1" applyBorder="1" applyAlignment="1">
      <alignment horizontal="right" vertical="center" wrapText="1"/>
    </xf>
    <xf numFmtId="3" fontId="4" fillId="3" borderId="4" xfId="2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166" fontId="3" fillId="2" borderId="0" xfId="2" applyNumberFormat="1" applyFont="1" applyFill="1"/>
    <xf numFmtId="3" fontId="4" fillId="2" borderId="0" xfId="0" applyNumberFormat="1" applyFont="1" applyFill="1"/>
    <xf numFmtId="166" fontId="15" fillId="3" borderId="0" xfId="1" applyNumberFormat="1" applyFont="1" applyFill="1" applyBorder="1" applyAlignment="1">
      <alignment horizontal="right"/>
    </xf>
    <xf numFmtId="166" fontId="15" fillId="3" borderId="0" xfId="0" applyNumberFormat="1" applyFont="1" applyFill="1" applyBorder="1" applyAlignment="1">
      <alignment horizontal="right"/>
    </xf>
    <xf numFmtId="166" fontId="4" fillId="2" borderId="0" xfId="2" applyNumberFormat="1" applyFont="1" applyFill="1"/>
    <xf numFmtId="166" fontId="15" fillId="3" borderId="0" xfId="2" applyNumberFormat="1" applyFont="1" applyFill="1" applyBorder="1" applyAlignment="1">
      <alignment horizontal="center"/>
    </xf>
    <xf numFmtId="0" fontId="3" fillId="3" borderId="0" xfId="2" applyFont="1" applyFill="1" applyBorder="1"/>
    <xf numFmtId="0" fontId="7" fillId="2" borderId="0" xfId="2" applyFont="1" applyFill="1" applyAlignment="1"/>
    <xf numFmtId="0" fontId="29" fillId="2" borderId="0" xfId="2" applyFont="1" applyFill="1"/>
    <xf numFmtId="0" fontId="17" fillId="2" borderId="0" xfId="2" applyFont="1" applyFill="1" applyAlignment="1">
      <alignment horizontal="center"/>
    </xf>
    <xf numFmtId="167" fontId="17" fillId="2" borderId="0" xfId="2" applyNumberFormat="1" applyFont="1" applyFill="1"/>
    <xf numFmtId="169" fontId="17" fillId="2" borderId="0" xfId="2" applyNumberFormat="1" applyFont="1" applyFill="1"/>
    <xf numFmtId="168" fontId="15" fillId="3" borderId="0" xfId="1" applyNumberFormat="1" applyFont="1" applyFill="1" applyBorder="1" applyAlignment="1">
      <alignment horizontal="right"/>
    </xf>
    <xf numFmtId="166" fontId="4" fillId="3" borderId="0" xfId="2" applyNumberFormat="1" applyFont="1" applyFill="1"/>
    <xf numFmtId="0" fontId="7" fillId="2" borderId="0" xfId="2" applyFont="1" applyFill="1" applyAlignment="1">
      <alignment horizontal="center"/>
    </xf>
    <xf numFmtId="166" fontId="15" fillId="3" borderId="2" xfId="2" applyNumberFormat="1" applyFont="1" applyFill="1" applyBorder="1" applyAlignment="1">
      <alignment horizontal="right"/>
    </xf>
    <xf numFmtId="168" fontId="15" fillId="3" borderId="2" xfId="1" applyNumberFormat="1" applyFont="1" applyFill="1" applyBorder="1" applyAlignment="1">
      <alignment horizontal="right"/>
    </xf>
    <xf numFmtId="0" fontId="7" fillId="2" borderId="0" xfId="2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30" fillId="2" borderId="0" xfId="0" applyFont="1" applyFill="1" applyBorder="1" applyAlignment="1">
      <alignment horizontal="left" vertical="top"/>
    </xf>
    <xf numFmtId="3" fontId="4" fillId="2" borderId="4" xfId="0" applyNumberFormat="1" applyFont="1" applyFill="1" applyBorder="1" applyAlignment="1">
      <alignment horizontal="right" vertical="center"/>
    </xf>
    <xf numFmtId="0" fontId="28" fillId="3" borderId="0" xfId="2" applyFont="1" applyFill="1" applyBorder="1" applyAlignment="1">
      <alignment horizontal="center" vertical="center"/>
    </xf>
    <xf numFmtId="0" fontId="3" fillId="2" borderId="0" xfId="0" applyFont="1" applyFill="1" applyBorder="1"/>
    <xf numFmtId="0" fontId="25" fillId="3" borderId="0" xfId="2" applyFont="1" applyFill="1" applyBorder="1" applyAlignment="1">
      <alignment horizontal="center" wrapText="1"/>
    </xf>
    <xf numFmtId="0" fontId="4" fillId="3" borderId="0" xfId="0" applyFont="1" applyFill="1" applyBorder="1" applyAlignment="1">
      <alignment vertical="center"/>
    </xf>
    <xf numFmtId="0" fontId="4" fillId="3" borderId="0" xfId="2" applyFont="1" applyFill="1"/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right"/>
    </xf>
    <xf numFmtId="0" fontId="4" fillId="3" borderId="4" xfId="2" applyFont="1" applyFill="1" applyBorder="1" applyAlignment="1">
      <alignment horizontal="right" vertical="center" wrapText="1"/>
    </xf>
    <xf numFmtId="3" fontId="4" fillId="3" borderId="7" xfId="2" applyNumberFormat="1" applyFont="1" applyFill="1" applyBorder="1" applyAlignment="1">
      <alignment horizontal="right" vertical="center" wrapText="1"/>
    </xf>
    <xf numFmtId="3" fontId="4" fillId="2" borderId="4" xfId="2" applyNumberFormat="1" applyFont="1" applyFill="1" applyBorder="1" applyAlignment="1">
      <alignment horizontal="right" vertical="center" wrapText="1"/>
    </xf>
    <xf numFmtId="3" fontId="4" fillId="2" borderId="16" xfId="0" applyNumberFormat="1" applyFont="1" applyFill="1" applyBorder="1" applyAlignment="1"/>
    <xf numFmtId="3" fontId="6" fillId="2" borderId="33" xfId="0" applyNumberFormat="1" applyFont="1" applyFill="1" applyBorder="1" applyAlignment="1"/>
    <xf numFmtId="3" fontId="6" fillId="2" borderId="28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4" fillId="3" borderId="21" xfId="2" applyFont="1" applyFill="1" applyBorder="1" applyAlignment="1">
      <alignment horizontal="center" wrapText="1"/>
    </xf>
    <xf numFmtId="0" fontId="4" fillId="3" borderId="22" xfId="2" applyFont="1" applyFill="1" applyBorder="1" applyAlignment="1">
      <alignment horizontal="center" wrapText="1"/>
    </xf>
    <xf numFmtId="0" fontId="4" fillId="3" borderId="38" xfId="2" applyFont="1" applyFill="1" applyBorder="1" applyAlignment="1">
      <alignment horizontal="center" wrapText="1"/>
    </xf>
    <xf numFmtId="3" fontId="4" fillId="2" borderId="13" xfId="2" applyNumberFormat="1" applyFont="1" applyFill="1" applyBorder="1" applyAlignment="1">
      <alignment horizontal="right"/>
    </xf>
    <xf numFmtId="3" fontId="4" fillId="2" borderId="10" xfId="2" applyNumberFormat="1" applyFont="1" applyFill="1" applyBorder="1" applyAlignment="1">
      <alignment horizontal="right"/>
    </xf>
    <xf numFmtId="3" fontId="14" fillId="2" borderId="29" xfId="2" applyNumberFormat="1" applyFont="1" applyFill="1" applyBorder="1" applyAlignment="1">
      <alignment horizontal="right"/>
    </xf>
    <xf numFmtId="3" fontId="4" fillId="2" borderId="12" xfId="2" applyNumberFormat="1" applyFont="1" applyFill="1" applyBorder="1" applyAlignment="1">
      <alignment horizontal="right"/>
    </xf>
    <xf numFmtId="10" fontId="4" fillId="2" borderId="10" xfId="1" applyNumberFormat="1" applyFont="1" applyFill="1" applyBorder="1" applyAlignment="1">
      <alignment horizontal="center"/>
    </xf>
    <xf numFmtId="0" fontId="4" fillId="2" borderId="32" xfId="2" applyFont="1" applyFill="1" applyBorder="1" applyAlignment="1">
      <alignment horizontal="center"/>
    </xf>
    <xf numFmtId="0" fontId="4" fillId="2" borderId="11" xfId="2" applyFont="1" applyFill="1" applyBorder="1" applyAlignment="1">
      <alignment horizontal="center"/>
    </xf>
    <xf numFmtId="0" fontId="4" fillId="3" borderId="23" xfId="2" applyFont="1" applyFill="1" applyBorder="1" applyAlignment="1">
      <alignment horizontal="center" wrapText="1"/>
    </xf>
    <xf numFmtId="3" fontId="4" fillId="2" borderId="16" xfId="2" applyNumberFormat="1" applyFont="1" applyFill="1" applyBorder="1" applyAlignment="1">
      <alignment horizontal="right"/>
    </xf>
    <xf numFmtId="0" fontId="4" fillId="2" borderId="20" xfId="2" applyFont="1" applyFill="1" applyBorder="1"/>
    <xf numFmtId="49" fontId="4" fillId="3" borderId="21" xfId="2" applyNumberFormat="1" applyFont="1" applyFill="1" applyBorder="1" applyAlignment="1">
      <alignment horizontal="center" vertical="center"/>
    </xf>
    <xf numFmtId="166" fontId="15" fillId="3" borderId="9" xfId="2" applyNumberFormat="1" applyFont="1" applyFill="1" applyBorder="1" applyAlignment="1">
      <alignment horizontal="center"/>
    </xf>
    <xf numFmtId="49" fontId="4" fillId="3" borderId="22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wrapText="1"/>
    </xf>
    <xf numFmtId="0" fontId="6" fillId="2" borderId="0" xfId="0" applyFont="1" applyFill="1" applyBorder="1" applyAlignment="1">
      <alignment horizontal="right" vertical="top"/>
    </xf>
    <xf numFmtId="0" fontId="20" fillId="2" borderId="0" xfId="0" applyFont="1" applyFill="1" applyBorder="1"/>
    <xf numFmtId="0" fontId="6" fillId="2" borderId="0" xfId="0" applyFont="1" applyFill="1" applyBorder="1"/>
    <xf numFmtId="0" fontId="27" fillId="3" borderId="0" xfId="0" applyFont="1" applyFill="1" applyBorder="1" applyAlignment="1">
      <alignment vertical="top"/>
    </xf>
    <xf numFmtId="49" fontId="4" fillId="3" borderId="24" xfId="2" applyNumberFormat="1" applyFont="1" applyFill="1" applyBorder="1" applyAlignment="1">
      <alignment horizontal="center" vertical="center"/>
    </xf>
    <xf numFmtId="0" fontId="3" fillId="2" borderId="36" xfId="2" applyFont="1" applyFill="1" applyBorder="1"/>
    <xf numFmtId="0" fontId="3" fillId="3" borderId="36" xfId="2" applyFont="1" applyFill="1" applyBorder="1"/>
    <xf numFmtId="166" fontId="15" fillId="3" borderId="36" xfId="2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left"/>
    </xf>
    <xf numFmtId="0" fontId="4" fillId="2" borderId="0" xfId="2" applyFont="1" applyFill="1" applyBorder="1" applyAlignment="1">
      <alignment horizontal="right" vertical="center" wrapText="1"/>
    </xf>
    <xf numFmtId="3" fontId="4" fillId="2" borderId="0" xfId="2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vertical="top"/>
    </xf>
    <xf numFmtId="0" fontId="3" fillId="2" borderId="10" xfId="2" applyFill="1" applyBorder="1"/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horizontal="center" vertical="center"/>
    </xf>
    <xf numFmtId="3" fontId="4" fillId="3" borderId="15" xfId="2" applyNumberFormat="1" applyFont="1" applyFill="1" applyBorder="1" applyAlignment="1">
      <alignment horizontal="center" vertical="center"/>
    </xf>
    <xf numFmtId="3" fontId="4" fillId="3" borderId="3" xfId="2" applyNumberFormat="1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vertical="center"/>
    </xf>
    <xf numFmtId="3" fontId="4" fillId="3" borderId="15" xfId="2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horizontal="right" vertical="center"/>
    </xf>
    <xf numFmtId="0" fontId="3" fillId="2" borderId="7" xfId="2" applyFill="1" applyBorder="1"/>
    <xf numFmtId="0" fontId="3" fillId="2" borderId="4" xfId="2" applyFill="1" applyBorder="1"/>
    <xf numFmtId="3" fontId="4" fillId="2" borderId="8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center"/>
    </xf>
    <xf numFmtId="0" fontId="32" fillId="3" borderId="0" xfId="0" applyFont="1" applyFill="1" applyBorder="1" applyAlignment="1">
      <alignment horizontal="right"/>
    </xf>
    <xf numFmtId="0" fontId="4" fillId="3" borderId="26" xfId="2" applyFont="1" applyFill="1" applyBorder="1" applyAlignment="1">
      <alignment horizontal="right" vertical="center"/>
    </xf>
    <xf numFmtId="0" fontId="4" fillId="3" borderId="39" xfId="2" applyFont="1" applyFill="1" applyBorder="1" applyAlignment="1">
      <alignment horizontal="right" vertical="center"/>
    </xf>
    <xf numFmtId="0" fontId="4" fillId="2" borderId="40" xfId="2" applyFont="1" applyFill="1" applyBorder="1" applyAlignment="1">
      <alignment horizontal="right"/>
    </xf>
    <xf numFmtId="0" fontId="4" fillId="2" borderId="39" xfId="2" applyFont="1" applyFill="1" applyBorder="1" applyAlignment="1">
      <alignment horizontal="right"/>
    </xf>
    <xf numFmtId="0" fontId="17" fillId="2" borderId="39" xfId="2" applyFont="1" applyFill="1" applyBorder="1" applyAlignment="1">
      <alignment horizontal="right"/>
    </xf>
    <xf numFmtId="0" fontId="17" fillId="3" borderId="26" xfId="2" applyFont="1" applyFill="1" applyBorder="1" applyAlignment="1">
      <alignment horizontal="right" vertical="center"/>
    </xf>
    <xf numFmtId="168" fontId="17" fillId="3" borderId="8" xfId="2" applyNumberFormat="1" applyFont="1" applyFill="1" applyBorder="1" applyAlignment="1">
      <alignment horizontal="right" vertical="center"/>
    </xf>
    <xf numFmtId="168" fontId="17" fillId="3" borderId="14" xfId="2" applyNumberFormat="1" applyFont="1" applyFill="1" applyBorder="1" applyAlignment="1">
      <alignment horizontal="right" vertical="center"/>
    </xf>
    <xf numFmtId="168" fontId="17" fillId="3" borderId="7" xfId="2" applyNumberFormat="1" applyFont="1" applyFill="1" applyBorder="1" applyAlignment="1">
      <alignment horizontal="right" vertical="center"/>
    </xf>
    <xf numFmtId="0" fontId="17" fillId="3" borderId="39" xfId="2" applyFont="1" applyFill="1" applyBorder="1" applyAlignment="1">
      <alignment horizontal="right" vertical="center"/>
    </xf>
    <xf numFmtId="168" fontId="17" fillId="3" borderId="12" xfId="2" applyNumberFormat="1" applyFont="1" applyFill="1" applyBorder="1" applyAlignment="1">
      <alignment horizontal="right" vertical="center"/>
    </xf>
    <xf numFmtId="168" fontId="17" fillId="3" borderId="13" xfId="2" applyNumberFormat="1" applyFont="1" applyFill="1" applyBorder="1" applyAlignment="1">
      <alignment horizontal="right" vertical="center"/>
    </xf>
    <xf numFmtId="168" fontId="17" fillId="3" borderId="10" xfId="2" applyNumberFormat="1" applyFont="1" applyFill="1" applyBorder="1" applyAlignment="1">
      <alignment horizontal="right" vertical="center"/>
    </xf>
    <xf numFmtId="0" fontId="17" fillId="2" borderId="26" xfId="2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4" fontId="15" fillId="3" borderId="0" xfId="2" applyNumberFormat="1" applyFont="1" applyFill="1" applyBorder="1" applyAlignment="1">
      <alignment horizontal="center"/>
    </xf>
    <xf numFmtId="165" fontId="17" fillId="2" borderId="0" xfId="2" applyNumberFormat="1" applyFont="1" applyFill="1"/>
    <xf numFmtId="165" fontId="3" fillId="2" borderId="0" xfId="2" applyNumberFormat="1" applyFill="1"/>
    <xf numFmtId="0" fontId="7" fillId="3" borderId="1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/>
    </xf>
    <xf numFmtId="0" fontId="32" fillId="2" borderId="0" xfId="2" applyFont="1" applyFill="1" applyAlignment="1">
      <alignment horizontal="right"/>
    </xf>
    <xf numFmtId="0" fontId="4" fillId="3" borderId="0" xfId="2" applyFont="1" applyFill="1" applyAlignment="1"/>
    <xf numFmtId="168" fontId="4" fillId="12" borderId="9" xfId="2" applyNumberFormat="1" applyFont="1" applyFill="1" applyBorder="1" applyAlignment="1">
      <alignment horizontal="right" vertical="center"/>
    </xf>
    <xf numFmtId="168" fontId="4" fillId="12" borderId="2" xfId="2" applyNumberFormat="1" applyFont="1" applyFill="1" applyBorder="1" applyAlignment="1">
      <alignment horizontal="right" vertical="center"/>
    </xf>
    <xf numFmtId="168" fontId="4" fillId="12" borderId="4" xfId="2" applyNumberFormat="1" applyFont="1" applyFill="1" applyBorder="1" applyAlignment="1">
      <alignment horizontal="right" vertical="center"/>
    </xf>
    <xf numFmtId="169" fontId="4" fillId="12" borderId="12" xfId="2" applyNumberFormat="1" applyFont="1" applyFill="1" applyBorder="1" applyAlignment="1">
      <alignment vertical="center"/>
    </xf>
    <xf numFmtId="169" fontId="4" fillId="12" borderId="13" xfId="2" applyNumberFormat="1" applyFont="1" applyFill="1" applyBorder="1" applyAlignment="1">
      <alignment vertical="center"/>
    </xf>
    <xf numFmtId="169" fontId="4" fillId="12" borderId="10" xfId="2" applyNumberFormat="1" applyFont="1" applyFill="1" applyBorder="1" applyAlignment="1">
      <alignment vertical="center"/>
    </xf>
    <xf numFmtId="1" fontId="35" fillId="3" borderId="41" xfId="2" applyNumberFormat="1" applyFont="1" applyFill="1" applyBorder="1" applyAlignment="1">
      <alignment vertical="center" wrapText="1"/>
    </xf>
    <xf numFmtId="1" fontId="35" fillId="3" borderId="42" xfId="2" applyNumberFormat="1" applyFont="1" applyFill="1" applyBorder="1" applyAlignment="1">
      <alignment vertical="center" wrapText="1"/>
    </xf>
    <xf numFmtId="1" fontId="35" fillId="3" borderId="43" xfId="2" applyNumberFormat="1" applyFont="1" applyFill="1" applyBorder="1" applyAlignment="1">
      <alignment vertical="center" wrapText="1"/>
    </xf>
    <xf numFmtId="1" fontId="35" fillId="3" borderId="44" xfId="2" applyNumberFormat="1" applyFont="1" applyFill="1" applyBorder="1" applyAlignment="1">
      <alignment vertical="center" wrapText="1"/>
    </xf>
    <xf numFmtId="1" fontId="35" fillId="3" borderId="45" xfId="2" applyNumberFormat="1" applyFont="1" applyFill="1" applyBorder="1" applyAlignment="1">
      <alignment vertical="center" wrapText="1"/>
    </xf>
    <xf numFmtId="1" fontId="35" fillId="3" borderId="46" xfId="2" applyNumberFormat="1" applyFont="1" applyFill="1" applyBorder="1" applyAlignment="1">
      <alignment vertical="center" wrapText="1"/>
    </xf>
    <xf numFmtId="1" fontId="35" fillId="3" borderId="47" xfId="2" applyNumberFormat="1" applyFont="1" applyFill="1" applyBorder="1" applyAlignment="1">
      <alignment vertical="center" wrapText="1"/>
    </xf>
    <xf numFmtId="1" fontId="35" fillId="3" borderId="48" xfId="2" applyNumberFormat="1" applyFont="1" applyFill="1" applyBorder="1" applyAlignment="1">
      <alignment vertical="center" wrapText="1"/>
    </xf>
    <xf numFmtId="1" fontId="35" fillId="3" borderId="49" xfId="2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1" fontId="35" fillId="3" borderId="0" xfId="2" applyNumberFormat="1" applyFont="1" applyFill="1" applyBorder="1" applyAlignment="1">
      <alignment vertical="center" wrapText="1"/>
    </xf>
    <xf numFmtId="1" fontId="35" fillId="3" borderId="51" xfId="2" applyNumberFormat="1" applyFont="1" applyFill="1" applyBorder="1" applyAlignment="1">
      <alignment vertical="center" wrapText="1"/>
    </xf>
    <xf numFmtId="1" fontId="35" fillId="3" borderId="50" xfId="2" applyNumberFormat="1" applyFont="1" applyFill="1" applyBorder="1" applyAlignment="1">
      <alignment vertical="center" wrapText="1"/>
    </xf>
    <xf numFmtId="1" fontId="35" fillId="3" borderId="52" xfId="2" applyNumberFormat="1" applyFont="1" applyFill="1" applyBorder="1" applyAlignment="1">
      <alignment vertical="center" wrapText="1"/>
    </xf>
    <xf numFmtId="1" fontId="35" fillId="3" borderId="53" xfId="2" applyNumberFormat="1" applyFont="1" applyFill="1" applyBorder="1" applyAlignment="1">
      <alignment vertical="center" wrapText="1"/>
    </xf>
    <xf numFmtId="0" fontId="3" fillId="2" borderId="45" xfId="2" applyFill="1" applyBorder="1"/>
    <xf numFmtId="0" fontId="3" fillId="2" borderId="46" xfId="2" applyFill="1" applyBorder="1"/>
    <xf numFmtId="0" fontId="3" fillId="2" borderId="44" xfId="2" applyFill="1" applyBorder="1"/>
    <xf numFmtId="0" fontId="3" fillId="2" borderId="48" xfId="2" applyFill="1" applyBorder="1"/>
    <xf numFmtId="0" fontId="3" fillId="2" borderId="42" xfId="2" applyFill="1" applyBorder="1"/>
    <xf numFmtId="1" fontId="35" fillId="3" borderId="54" xfId="2" applyNumberFormat="1" applyFont="1" applyFill="1" applyBorder="1" applyAlignment="1">
      <alignment vertical="center" wrapText="1"/>
    </xf>
    <xf numFmtId="0" fontId="3" fillId="11" borderId="45" xfId="2" applyFill="1" applyBorder="1"/>
    <xf numFmtId="1" fontId="35" fillId="9" borderId="45" xfId="2" applyNumberFormat="1" applyFont="1" applyFill="1" applyBorder="1" applyAlignment="1">
      <alignment vertical="center" wrapText="1"/>
    </xf>
    <xf numFmtId="1" fontId="35" fillId="12" borderId="45" xfId="2" applyNumberFormat="1" applyFont="1" applyFill="1" applyBorder="1" applyAlignment="1">
      <alignment vertical="center" wrapText="1"/>
    </xf>
    <xf numFmtId="1" fontId="39" fillId="13" borderId="45" xfId="2" applyNumberFormat="1" applyFont="1" applyFill="1" applyBorder="1" applyAlignment="1">
      <alignment horizontal="center" vertical="center" wrapText="1"/>
    </xf>
    <xf numFmtId="0" fontId="3" fillId="2" borderId="49" xfId="2" applyFill="1" applyBorder="1"/>
    <xf numFmtId="1" fontId="35" fillId="3" borderId="55" xfId="2" applyNumberFormat="1" applyFont="1" applyFill="1" applyBorder="1" applyAlignment="1">
      <alignment vertical="center" wrapText="1"/>
    </xf>
    <xf numFmtId="1" fontId="35" fillId="10" borderId="45" xfId="2" applyNumberFormat="1" applyFont="1" applyFill="1" applyBorder="1" applyAlignment="1">
      <alignment vertical="center" wrapText="1"/>
    </xf>
    <xf numFmtId="1" fontId="35" fillId="11" borderId="45" xfId="2" applyNumberFormat="1" applyFont="1" applyFill="1" applyBorder="1" applyAlignment="1">
      <alignment vertical="center" wrapText="1"/>
    </xf>
    <xf numFmtId="1" fontId="36" fillId="2" borderId="0" xfId="2" applyNumberFormat="1" applyFont="1" applyFill="1" applyAlignment="1">
      <alignment horizontal="left" vertical="top"/>
    </xf>
    <xf numFmtId="1" fontId="36" fillId="2" borderId="0" xfId="2" applyNumberFormat="1" applyFont="1" applyFill="1" applyAlignment="1">
      <alignment horizontal="right" vertical="top"/>
    </xf>
    <xf numFmtId="1" fontId="36" fillId="2" borderId="0" xfId="0" applyNumberFormat="1" applyFont="1" applyFill="1" applyAlignment="1">
      <alignment horizontal="left" vertical="center" wrapText="1"/>
    </xf>
    <xf numFmtId="0" fontId="37" fillId="3" borderId="0" xfId="0" applyFont="1" applyFill="1" applyBorder="1"/>
    <xf numFmtId="0" fontId="42" fillId="3" borderId="0" xfId="0" applyFont="1" applyFill="1" applyBorder="1"/>
    <xf numFmtId="0" fontId="40" fillId="3" borderId="0" xfId="0" applyFont="1" applyFill="1" applyBorder="1" applyAlignment="1">
      <alignment horizontal="left" vertical="center"/>
    </xf>
    <xf numFmtId="0" fontId="40" fillId="3" borderId="0" xfId="0" applyFont="1" applyFill="1" applyBorder="1" applyAlignment="1">
      <alignment horizontal="left" vertical="top"/>
    </xf>
    <xf numFmtId="0" fontId="43" fillId="3" borderId="0" xfId="0" applyFont="1" applyFill="1" applyBorder="1" applyAlignment="1">
      <alignment vertical="top"/>
    </xf>
    <xf numFmtId="0" fontId="14" fillId="2" borderId="0" xfId="0" applyFont="1" applyFill="1" applyBorder="1"/>
    <xf numFmtId="0" fontId="18" fillId="3" borderId="0" xfId="0" applyFont="1" applyFill="1" applyBorder="1"/>
    <xf numFmtId="0" fontId="24" fillId="3" borderId="0" xfId="0" applyFont="1" applyFill="1" applyBorder="1" applyAlignment="1">
      <alignment horizontal="left" vertical="top"/>
    </xf>
    <xf numFmtId="0" fontId="31" fillId="3" borderId="0" xfId="0" applyFont="1" applyFill="1" applyBorder="1" applyAlignment="1">
      <alignment vertical="top"/>
    </xf>
    <xf numFmtId="0" fontId="4" fillId="10" borderId="56" xfId="0" applyFont="1" applyFill="1" applyBorder="1"/>
    <xf numFmtId="0" fontId="4" fillId="10" borderId="56" xfId="0" applyFont="1" applyFill="1" applyBorder="1" applyAlignment="1">
      <alignment horizontal="right" vertical="top"/>
    </xf>
    <xf numFmtId="0" fontId="11" fillId="10" borderId="56" xfId="0" applyFont="1" applyFill="1" applyBorder="1" applyAlignment="1">
      <alignment vertical="top"/>
    </xf>
    <xf numFmtId="0" fontId="4" fillId="10" borderId="59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top" wrapText="1"/>
    </xf>
    <xf numFmtId="3" fontId="4" fillId="12" borderId="4" xfId="0" applyNumberFormat="1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12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vertical="center" wrapText="1"/>
    </xf>
    <xf numFmtId="3" fontId="4" fillId="3" borderId="4" xfId="0" applyNumberFormat="1" applyFont="1" applyFill="1" applyBorder="1" applyAlignment="1">
      <alignment horizontal="right" vertical="center"/>
    </xf>
    <xf numFmtId="3" fontId="4" fillId="3" borderId="9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 wrapText="1"/>
    </xf>
    <xf numFmtId="3" fontId="4" fillId="9" borderId="4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horizontal="right" vertical="center"/>
    </xf>
    <xf numFmtId="3" fontId="4" fillId="9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4" fillId="1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1" fontId="4" fillId="2" borderId="0" xfId="0" applyNumberFormat="1" applyFont="1" applyFill="1" applyBorder="1" applyAlignment="1">
      <alignment horizontal="left"/>
    </xf>
    <xf numFmtId="3" fontId="4" fillId="12" borderId="0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wrapText="1"/>
    </xf>
    <xf numFmtId="1" fontId="4" fillId="2" borderId="4" xfId="0" applyNumberFormat="1" applyFont="1" applyFill="1" applyBorder="1" applyAlignment="1">
      <alignment horizontal="right" wrapText="1"/>
    </xf>
    <xf numFmtId="1" fontId="4" fillId="2" borderId="0" xfId="0" applyNumberFormat="1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center" wrapText="1"/>
    </xf>
    <xf numFmtId="0" fontId="37" fillId="2" borderId="61" xfId="0" applyFont="1" applyFill="1" applyBorder="1" applyAlignment="1">
      <alignment vertical="center" wrapText="1"/>
    </xf>
    <xf numFmtId="1" fontId="3" fillId="2" borderId="0" xfId="0" applyNumberFormat="1" applyFont="1" applyFill="1" applyBorder="1" applyAlignment="1">
      <alignment vertical="center" wrapText="1"/>
    </xf>
    <xf numFmtId="1" fontId="3" fillId="2" borderId="11" xfId="0" applyNumberFormat="1" applyFont="1" applyFill="1" applyBorder="1" applyAlignment="1">
      <alignment vertical="center" wrapText="1"/>
    </xf>
    <xf numFmtId="1" fontId="7" fillId="2" borderId="0" xfId="0" applyNumberFormat="1" applyFont="1" applyFill="1" applyAlignment="1">
      <alignment horizontal="left" vertical="center" wrapText="1"/>
    </xf>
    <xf numFmtId="1" fontId="7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0" fontId="3" fillId="2" borderId="27" xfId="0" applyFont="1" applyFill="1" applyBorder="1" applyAlignment="1"/>
    <xf numFmtId="1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wrapText="1"/>
    </xf>
    <xf numFmtId="1" fontId="4" fillId="2" borderId="27" xfId="0" applyNumberFormat="1" applyFont="1" applyFill="1" applyBorder="1" applyAlignment="1">
      <alignment horizontal="right"/>
    </xf>
    <xf numFmtId="0" fontId="4" fillId="2" borderId="17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vertical="center" wrapText="1"/>
    </xf>
    <xf numFmtId="3" fontId="4" fillId="2" borderId="27" xfId="0" applyNumberFormat="1" applyFont="1" applyFill="1" applyBorder="1" applyAlignment="1">
      <alignment horizontal="right" vertical="center"/>
    </xf>
    <xf numFmtId="3" fontId="3" fillId="2" borderId="0" xfId="0" applyNumberFormat="1" applyFont="1" applyFill="1"/>
    <xf numFmtId="3" fontId="4" fillId="12" borderId="27" xfId="0" applyNumberFormat="1" applyFont="1" applyFill="1" applyBorder="1" applyAlignment="1">
      <alignment horizontal="right" vertical="center"/>
    </xf>
    <xf numFmtId="3" fontId="4" fillId="9" borderId="27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3" fontId="4" fillId="2" borderId="17" xfId="0" applyNumberFormat="1" applyFont="1" applyFill="1" applyBorder="1" applyAlignment="1">
      <alignment vertical="center" wrapText="1"/>
    </xf>
    <xf numFmtId="3" fontId="4" fillId="2" borderId="27" xfId="0" applyNumberFormat="1" applyFont="1" applyFill="1" applyBorder="1" applyAlignment="1">
      <alignment vertical="center" wrapText="1"/>
    </xf>
    <xf numFmtId="3" fontId="4" fillId="2" borderId="18" xfId="0" applyNumberFormat="1" applyFont="1" applyFill="1" applyBorder="1" applyAlignment="1">
      <alignment vertical="center" wrapText="1"/>
    </xf>
    <xf numFmtId="3" fontId="4" fillId="9" borderId="27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3" fontId="4" fillId="3" borderId="27" xfId="0" applyNumberFormat="1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3" fontId="4" fillId="2" borderId="27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12" borderId="27" xfId="0" applyNumberFormat="1" applyFont="1" applyFill="1" applyBorder="1" applyAlignment="1">
      <alignment vertical="center"/>
    </xf>
    <xf numFmtId="3" fontId="4" fillId="12" borderId="0" xfId="0" applyNumberFormat="1" applyFont="1" applyFill="1" applyBorder="1" applyAlignment="1">
      <alignment vertical="center"/>
    </xf>
    <xf numFmtId="3" fontId="4" fillId="9" borderId="27" xfId="0" applyNumberFormat="1" applyFont="1" applyFill="1" applyBorder="1" applyAlignment="1">
      <alignment vertical="center"/>
    </xf>
    <xf numFmtId="3" fontId="4" fillId="9" borderId="0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3" fontId="4" fillId="2" borderId="17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4" fillId="2" borderId="63" xfId="0" applyFont="1" applyFill="1" applyBorder="1" applyAlignment="1">
      <alignment horizontal="center" vertical="center" wrapText="1"/>
    </xf>
    <xf numFmtId="164" fontId="44" fillId="2" borderId="61" xfId="1" applyNumberFormat="1" applyFont="1" applyFill="1" applyBorder="1" applyAlignment="1">
      <alignment horizontal="right" vertical="center"/>
    </xf>
    <xf numFmtId="164" fontId="44" fillId="12" borderId="61" xfId="1" applyNumberFormat="1" applyFont="1" applyFill="1" applyBorder="1" applyAlignment="1">
      <alignment horizontal="right" vertical="center"/>
    </xf>
    <xf numFmtId="164" fontId="44" fillId="9" borderId="61" xfId="1" applyNumberFormat="1" applyFont="1" applyFill="1" applyBorder="1" applyAlignment="1">
      <alignment horizontal="right" vertical="center"/>
    </xf>
    <xf numFmtId="0" fontId="45" fillId="3" borderId="62" xfId="0" applyFont="1" applyFill="1" applyBorder="1" applyAlignment="1">
      <alignment vertical="center"/>
    </xf>
    <xf numFmtId="0" fontId="45" fillId="3" borderId="61" xfId="0" applyFont="1" applyFill="1" applyBorder="1" applyAlignment="1">
      <alignment vertical="center"/>
    </xf>
    <xf numFmtId="164" fontId="44" fillId="2" borderId="61" xfId="1" applyNumberFormat="1" applyFont="1" applyFill="1" applyBorder="1" applyAlignment="1">
      <alignment vertical="center"/>
    </xf>
    <xf numFmtId="164" fontId="44" fillId="12" borderId="61" xfId="1" applyNumberFormat="1" applyFont="1" applyFill="1" applyBorder="1" applyAlignment="1">
      <alignment vertical="center"/>
    </xf>
    <xf numFmtId="164" fontId="44" fillId="3" borderId="61" xfId="1" applyNumberFormat="1" applyFont="1" applyFill="1" applyBorder="1" applyAlignment="1">
      <alignment vertical="center"/>
    </xf>
    <xf numFmtId="164" fontId="44" fillId="9" borderId="61" xfId="1" applyNumberFormat="1" applyFont="1" applyFill="1" applyBorder="1" applyAlignment="1">
      <alignment vertical="center"/>
    </xf>
    <xf numFmtId="0" fontId="45" fillId="3" borderId="63" xfId="0" applyFont="1" applyFill="1" applyBorder="1" applyAlignment="1">
      <alignment vertical="center"/>
    </xf>
    <xf numFmtId="164" fontId="44" fillId="3" borderId="61" xfId="1" applyNumberFormat="1" applyFont="1" applyFill="1" applyBorder="1" applyAlignment="1">
      <alignment horizontal="right" vertical="center"/>
    </xf>
    <xf numFmtId="0" fontId="44" fillId="2" borderId="61" xfId="0" applyFont="1" applyFill="1" applyBorder="1" applyAlignment="1">
      <alignment horizontal="right" vertical="center" wrapText="1"/>
    </xf>
    <xf numFmtId="0" fontId="44" fillId="2" borderId="63" xfId="0" applyFont="1" applyFill="1" applyBorder="1" applyAlignment="1">
      <alignment horizontal="right" vertical="center" wrapText="1"/>
    </xf>
    <xf numFmtId="0" fontId="45" fillId="2" borderId="62" xfId="0" applyFont="1" applyFill="1" applyBorder="1" applyAlignment="1">
      <alignment horizontal="right" vertical="center"/>
    </xf>
    <xf numFmtId="0" fontId="37" fillId="2" borderId="0" xfId="0" applyFont="1" applyFill="1" applyBorder="1" applyAlignment="1">
      <alignment horizontal="right" vertical="center"/>
    </xf>
    <xf numFmtId="0" fontId="4" fillId="2" borderId="64" xfId="0" applyFont="1" applyFill="1" applyBorder="1" applyAlignment="1">
      <alignment horizontal="center" wrapText="1"/>
    </xf>
    <xf numFmtId="0" fontId="4" fillId="2" borderId="65" xfId="0" applyFont="1" applyFill="1" applyBorder="1" applyAlignment="1">
      <alignment horizontal="center" wrapText="1"/>
    </xf>
    <xf numFmtId="0" fontId="4" fillId="2" borderId="64" xfId="0" applyFont="1" applyFill="1" applyBorder="1" applyAlignment="1">
      <alignment horizontal="center" vertical="center" wrapText="1"/>
    </xf>
    <xf numFmtId="164" fontId="4" fillId="2" borderId="64" xfId="1" applyNumberFormat="1" applyFont="1" applyFill="1" applyBorder="1" applyAlignment="1">
      <alignment horizontal="right" vertical="center"/>
    </xf>
    <xf numFmtId="164" fontId="4" fillId="12" borderId="64" xfId="1" applyNumberFormat="1" applyFont="1" applyFill="1" applyBorder="1" applyAlignment="1">
      <alignment horizontal="right" vertical="center"/>
    </xf>
    <xf numFmtId="164" fontId="4" fillId="9" borderId="64" xfId="1" applyNumberFormat="1" applyFont="1" applyFill="1" applyBorder="1" applyAlignment="1">
      <alignment horizontal="right" vertical="center"/>
    </xf>
    <xf numFmtId="0" fontId="3" fillId="3" borderId="65" xfId="0" applyFont="1" applyFill="1" applyBorder="1" applyAlignment="1">
      <alignment vertical="center"/>
    </xf>
    <xf numFmtId="0" fontId="3" fillId="3" borderId="64" xfId="0" applyFont="1" applyFill="1" applyBorder="1" applyAlignment="1">
      <alignment vertical="center"/>
    </xf>
    <xf numFmtId="164" fontId="4" fillId="2" borderId="64" xfId="1" applyNumberFormat="1" applyFont="1" applyFill="1" applyBorder="1" applyAlignment="1">
      <alignment vertical="center"/>
    </xf>
    <xf numFmtId="164" fontId="4" fillId="12" borderId="64" xfId="1" applyNumberFormat="1" applyFont="1" applyFill="1" applyBorder="1" applyAlignment="1">
      <alignment vertical="center"/>
    </xf>
    <xf numFmtId="164" fontId="4" fillId="9" borderId="64" xfId="1" applyNumberFormat="1" applyFont="1" applyFill="1" applyBorder="1" applyAlignment="1">
      <alignment vertical="center"/>
    </xf>
    <xf numFmtId="0" fontId="3" fillId="3" borderId="66" xfId="0" applyFont="1" applyFill="1" applyBorder="1" applyAlignment="1">
      <alignment vertical="center"/>
    </xf>
    <xf numFmtId="0" fontId="4" fillId="2" borderId="64" xfId="0" applyFont="1" applyFill="1" applyBorder="1" applyAlignment="1">
      <alignment vertical="center" wrapText="1"/>
    </xf>
    <xf numFmtId="0" fontId="4" fillId="2" borderId="66" xfId="0" applyFont="1" applyFill="1" applyBorder="1" applyAlignment="1">
      <alignment vertical="center" wrapText="1"/>
    </xf>
    <xf numFmtId="0" fontId="3" fillId="2" borderId="65" xfId="0" applyFont="1" applyFill="1" applyBorder="1" applyAlignment="1">
      <alignment vertical="center"/>
    </xf>
    <xf numFmtId="0" fontId="4" fillId="2" borderId="66" xfId="0" applyFont="1" applyFill="1" applyBorder="1" applyAlignment="1">
      <alignment horizontal="center" vertical="center" wrapText="1"/>
    </xf>
    <xf numFmtId="164" fontId="4" fillId="3" borderId="64" xfId="1" applyNumberFormat="1" applyFont="1" applyFill="1" applyBorder="1" applyAlignment="1">
      <alignment horizontal="right" vertical="center"/>
    </xf>
    <xf numFmtId="3" fontId="4" fillId="3" borderId="64" xfId="0" applyNumberFormat="1" applyFont="1" applyFill="1" applyBorder="1" applyAlignment="1">
      <alignment horizontal="right" vertical="center"/>
    </xf>
    <xf numFmtId="0" fontId="4" fillId="2" borderId="67" xfId="0" applyFont="1" applyFill="1" applyBorder="1" applyAlignment="1">
      <alignment horizontal="center" wrapText="1"/>
    </xf>
    <xf numFmtId="0" fontId="4" fillId="2" borderId="68" xfId="0" applyFont="1" applyFill="1" applyBorder="1" applyAlignment="1">
      <alignment horizontal="center" wrapText="1"/>
    </xf>
    <xf numFmtId="0" fontId="4" fillId="2" borderId="67" xfId="0" applyFont="1" applyFill="1" applyBorder="1" applyAlignment="1">
      <alignment horizontal="center" vertical="center" wrapText="1"/>
    </xf>
    <xf numFmtId="164" fontId="4" fillId="2" borderId="67" xfId="1" applyNumberFormat="1" applyFont="1" applyFill="1" applyBorder="1" applyAlignment="1">
      <alignment horizontal="right" vertical="center"/>
    </xf>
    <xf numFmtId="164" fontId="4" fillId="12" borderId="67" xfId="1" applyNumberFormat="1" applyFont="1" applyFill="1" applyBorder="1" applyAlignment="1">
      <alignment horizontal="right" vertical="center"/>
    </xf>
    <xf numFmtId="164" fontId="4" fillId="9" borderId="67" xfId="1" applyNumberFormat="1" applyFont="1" applyFill="1" applyBorder="1" applyAlignment="1">
      <alignment horizontal="right" vertical="center"/>
    </xf>
    <xf numFmtId="0" fontId="3" fillId="3" borderId="68" xfId="0" applyFont="1" applyFill="1" applyBorder="1" applyAlignment="1">
      <alignment vertical="center"/>
    </xf>
    <xf numFmtId="0" fontId="3" fillId="3" borderId="67" xfId="0" applyFont="1" applyFill="1" applyBorder="1" applyAlignment="1">
      <alignment vertical="center"/>
    </xf>
    <xf numFmtId="0" fontId="3" fillId="3" borderId="69" xfId="0" applyFont="1" applyFill="1" applyBorder="1" applyAlignment="1">
      <alignment vertical="center"/>
    </xf>
    <xf numFmtId="0" fontId="4" fillId="2" borderId="67" xfId="0" applyFont="1" applyFill="1" applyBorder="1" applyAlignment="1">
      <alignment vertical="center" wrapText="1"/>
    </xf>
    <xf numFmtId="0" fontId="4" fillId="2" borderId="69" xfId="0" applyFont="1" applyFill="1" applyBorder="1" applyAlignment="1">
      <alignment vertical="center" wrapText="1"/>
    </xf>
    <xf numFmtId="0" fontId="3" fillId="2" borderId="68" xfId="0" applyFont="1" applyFill="1" applyBorder="1" applyAlignment="1">
      <alignment vertical="center"/>
    </xf>
    <xf numFmtId="0" fontId="4" fillId="2" borderId="69" xfId="0" applyFont="1" applyFill="1" applyBorder="1" applyAlignment="1">
      <alignment horizontal="center" vertical="center" wrapText="1"/>
    </xf>
    <xf numFmtId="164" fontId="4" fillId="3" borderId="67" xfId="1" applyNumberFormat="1" applyFont="1" applyFill="1" applyBorder="1" applyAlignment="1">
      <alignment horizontal="right" vertical="center"/>
    </xf>
    <xf numFmtId="3" fontId="4" fillId="3" borderId="67" xfId="0" applyNumberFormat="1" applyFont="1" applyFill="1" applyBorder="1" applyAlignment="1">
      <alignment horizontal="right" vertical="center"/>
    </xf>
    <xf numFmtId="0" fontId="44" fillId="2" borderId="6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3" fontId="4" fillId="2" borderId="12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 vertical="center"/>
    </xf>
    <xf numFmtId="164" fontId="4" fillId="2" borderId="65" xfId="1" applyNumberFormat="1" applyFont="1" applyFill="1" applyBorder="1" applyAlignment="1">
      <alignment horizontal="right" vertical="center"/>
    </xf>
    <xf numFmtId="164" fontId="44" fillId="2" borderId="62" xfId="1" applyNumberFormat="1" applyFont="1" applyFill="1" applyBorder="1" applyAlignment="1">
      <alignment horizontal="right" vertical="center"/>
    </xf>
    <xf numFmtId="3" fontId="4" fillId="2" borderId="17" xfId="0" applyNumberFormat="1" applyFont="1" applyFill="1" applyBorder="1" applyAlignment="1">
      <alignment horizontal="right" vertical="center"/>
    </xf>
    <xf numFmtId="164" fontId="4" fillId="2" borderId="68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vertical="center"/>
    </xf>
    <xf numFmtId="164" fontId="4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right" vertical="center"/>
    </xf>
    <xf numFmtId="164" fontId="44" fillId="3" borderId="0" xfId="1" applyNumberFormat="1" applyFont="1" applyFill="1" applyBorder="1" applyAlignment="1">
      <alignment vertical="center"/>
    </xf>
    <xf numFmtId="0" fontId="45" fillId="3" borderId="0" xfId="0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horizontal="right" vertical="center"/>
    </xf>
    <xf numFmtId="164" fontId="44" fillId="3" borderId="0" xfId="1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 wrapText="1"/>
    </xf>
    <xf numFmtId="0" fontId="44" fillId="3" borderId="0" xfId="0" applyFont="1" applyFill="1" applyBorder="1" applyAlignment="1">
      <alignment horizontal="right" vertical="center" wrapText="1"/>
    </xf>
    <xf numFmtId="3" fontId="4" fillId="3" borderId="0" xfId="0" applyNumberFormat="1" applyFont="1" applyFill="1" applyBorder="1" applyAlignment="1">
      <alignment vertical="center" wrapText="1"/>
    </xf>
    <xf numFmtId="164" fontId="4" fillId="2" borderId="11" xfId="1" applyNumberFormat="1" applyFont="1" applyFill="1" applyBorder="1" applyAlignment="1">
      <alignment horizontal="right" vertical="center"/>
    </xf>
    <xf numFmtId="0" fontId="4" fillId="2" borderId="70" xfId="0" applyFont="1" applyFill="1" applyBorder="1" applyAlignment="1">
      <alignment horizontal="center" wrapText="1"/>
    </xf>
    <xf numFmtId="0" fontId="4" fillId="2" borderId="70" xfId="0" applyFont="1" applyFill="1" applyBorder="1" applyAlignment="1">
      <alignment horizontal="center" vertical="center" wrapText="1"/>
    </xf>
    <xf numFmtId="164" fontId="4" fillId="2" borderId="71" xfId="1" applyNumberFormat="1" applyFont="1" applyFill="1" applyBorder="1" applyAlignment="1">
      <alignment horizontal="right" vertical="center"/>
    </xf>
    <xf numFmtId="0" fontId="3" fillId="3" borderId="70" xfId="0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horizontal="right"/>
    </xf>
    <xf numFmtId="164" fontId="44" fillId="2" borderId="73" xfId="1" applyNumberFormat="1" applyFont="1" applyFill="1" applyBorder="1" applyAlignment="1">
      <alignment horizontal="right" vertical="center"/>
    </xf>
    <xf numFmtId="0" fontId="45" fillId="3" borderId="72" xfId="0" applyFont="1" applyFill="1" applyBorder="1" applyAlignment="1">
      <alignment vertical="center"/>
    </xf>
    <xf numFmtId="166" fontId="4" fillId="2" borderId="0" xfId="0" applyNumberFormat="1" applyFont="1" applyFill="1" applyBorder="1" applyAlignment="1">
      <alignment horizontal="right" vertical="center"/>
    </xf>
    <xf numFmtId="166" fontId="4" fillId="2" borderId="70" xfId="1" applyNumberFormat="1" applyFont="1" applyFill="1" applyBorder="1" applyAlignment="1">
      <alignment horizontal="right" vertical="center"/>
    </xf>
    <xf numFmtId="166" fontId="44" fillId="2" borderId="72" xfId="1" applyNumberFormat="1" applyFont="1" applyFill="1" applyBorder="1" applyAlignment="1">
      <alignment horizontal="right" vertical="center"/>
    </xf>
    <xf numFmtId="166" fontId="4" fillId="2" borderId="0" xfId="1" applyNumberFormat="1" applyFont="1" applyFill="1" applyBorder="1" applyAlignment="1">
      <alignment horizontal="right" vertical="center"/>
    </xf>
    <xf numFmtId="166" fontId="4" fillId="9" borderId="0" xfId="0" applyNumberFormat="1" applyFont="1" applyFill="1" applyBorder="1" applyAlignment="1">
      <alignment horizontal="right" vertical="center"/>
    </xf>
    <xf numFmtId="166" fontId="4" fillId="9" borderId="70" xfId="1" applyNumberFormat="1" applyFont="1" applyFill="1" applyBorder="1" applyAlignment="1">
      <alignment horizontal="right" vertical="center"/>
    </xf>
    <xf numFmtId="166" fontId="44" fillId="9" borderId="72" xfId="1" applyNumberFormat="1" applyFont="1" applyFill="1" applyBorder="1" applyAlignment="1">
      <alignment horizontal="right" vertical="center"/>
    </xf>
    <xf numFmtId="166" fontId="4" fillId="9" borderId="0" xfId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0" fontId="44" fillId="2" borderId="7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wrapText="1"/>
    </xf>
    <xf numFmtId="0" fontId="4" fillId="2" borderId="74" xfId="0" applyFont="1" applyFill="1" applyBorder="1" applyAlignment="1">
      <alignment horizontal="center" wrapText="1"/>
    </xf>
    <xf numFmtId="0" fontId="4" fillId="2" borderId="75" xfId="0" applyFont="1" applyFill="1" applyBorder="1" applyAlignment="1">
      <alignment horizontal="center" wrapText="1"/>
    </xf>
    <xf numFmtId="0" fontId="4" fillId="2" borderId="74" xfId="0" applyFont="1" applyFill="1" applyBorder="1" applyAlignment="1">
      <alignment horizontal="center" vertical="center" wrapText="1"/>
    </xf>
    <xf numFmtId="166" fontId="4" fillId="2" borderId="74" xfId="0" applyNumberFormat="1" applyFont="1" applyFill="1" applyBorder="1" applyAlignment="1">
      <alignment horizontal="right" vertical="center"/>
    </xf>
    <xf numFmtId="166" fontId="4" fillId="9" borderId="74" xfId="0" applyNumberFormat="1" applyFont="1" applyFill="1" applyBorder="1" applyAlignment="1">
      <alignment horizontal="right" vertical="center"/>
    </xf>
    <xf numFmtId="3" fontId="4" fillId="2" borderId="75" xfId="0" applyNumberFormat="1" applyFont="1" applyFill="1" applyBorder="1" applyAlignment="1">
      <alignment horizontal="right" vertical="center"/>
    </xf>
    <xf numFmtId="0" fontId="3" fillId="3" borderId="74" xfId="0" applyFont="1" applyFill="1" applyBorder="1" applyAlignment="1">
      <alignment vertical="center"/>
    </xf>
    <xf numFmtId="0" fontId="4" fillId="2" borderId="76" xfId="0" applyFont="1" applyFill="1" applyBorder="1" applyAlignment="1">
      <alignment horizontal="center" wrapText="1"/>
    </xf>
    <xf numFmtId="0" fontId="4" fillId="2" borderId="77" xfId="0" applyFont="1" applyFill="1" applyBorder="1" applyAlignment="1">
      <alignment horizontal="center" wrapText="1"/>
    </xf>
    <xf numFmtId="0" fontId="4" fillId="2" borderId="76" xfId="0" applyFont="1" applyFill="1" applyBorder="1" applyAlignment="1">
      <alignment horizontal="center" vertical="center" wrapText="1"/>
    </xf>
    <xf numFmtId="166" fontId="4" fillId="2" borderId="76" xfId="0" applyNumberFormat="1" applyFont="1" applyFill="1" applyBorder="1" applyAlignment="1">
      <alignment horizontal="right" vertical="center"/>
    </xf>
    <xf numFmtId="166" fontId="4" fillId="9" borderId="76" xfId="0" applyNumberFormat="1" applyFont="1" applyFill="1" applyBorder="1" applyAlignment="1">
      <alignment horizontal="right" vertical="center"/>
    </xf>
    <xf numFmtId="3" fontId="4" fillId="2" borderId="77" xfId="0" applyNumberFormat="1" applyFont="1" applyFill="1" applyBorder="1" applyAlignment="1">
      <alignment horizontal="right" vertical="center"/>
    </xf>
    <xf numFmtId="3" fontId="4" fillId="3" borderId="76" xfId="0" applyNumberFormat="1" applyFont="1" applyFill="1" applyBorder="1" applyAlignment="1">
      <alignment vertical="center"/>
    </xf>
    <xf numFmtId="0" fontId="4" fillId="2" borderId="70" xfId="0" applyFont="1" applyFill="1" applyBorder="1" applyAlignment="1">
      <alignment vertical="top" wrapText="1"/>
    </xf>
    <xf numFmtId="1" fontId="4" fillId="3" borderId="0" xfId="0" applyNumberFormat="1" applyFont="1" applyFill="1" applyBorder="1" applyAlignment="1">
      <alignment horizontal="left" vertical="center"/>
    </xf>
    <xf numFmtId="0" fontId="4" fillId="11" borderId="0" xfId="0" applyFont="1" applyFill="1" applyBorder="1" applyAlignment="1">
      <alignment horizontal="right" vertical="center"/>
    </xf>
    <xf numFmtId="3" fontId="4" fillId="11" borderId="4" xfId="0" applyNumberFormat="1" applyFont="1" applyFill="1" applyBorder="1" applyAlignment="1">
      <alignment horizontal="right" vertical="center"/>
    </xf>
    <xf numFmtId="3" fontId="4" fillId="11" borderId="0" xfId="0" applyNumberFormat="1" applyFont="1" applyFill="1" applyBorder="1" applyAlignment="1">
      <alignment horizontal="right" vertical="center"/>
    </xf>
    <xf numFmtId="164" fontId="4" fillId="11" borderId="64" xfId="1" applyNumberFormat="1" applyFont="1" applyFill="1" applyBorder="1" applyAlignment="1">
      <alignment horizontal="right" vertical="center"/>
    </xf>
    <xf numFmtId="164" fontId="4" fillId="11" borderId="67" xfId="1" applyNumberFormat="1" applyFont="1" applyFill="1" applyBorder="1" applyAlignment="1">
      <alignment horizontal="right" vertical="center"/>
    </xf>
    <xf numFmtId="0" fontId="3" fillId="3" borderId="0" xfId="0" applyFont="1" applyFill="1" applyAlignment="1"/>
    <xf numFmtId="0" fontId="4" fillId="2" borderId="4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3" fontId="4" fillId="2" borderId="68" xfId="0" applyNumberFormat="1" applyFont="1" applyFill="1" applyBorder="1" applyAlignment="1">
      <alignment horizontal="right" vertical="center"/>
    </xf>
    <xf numFmtId="3" fontId="4" fillId="3" borderId="67" xfId="0" applyNumberFormat="1" applyFont="1" applyFill="1" applyBorder="1" applyAlignment="1">
      <alignment vertical="center"/>
    </xf>
    <xf numFmtId="166" fontId="44" fillId="2" borderId="61" xfId="1" applyNumberFormat="1" applyFont="1" applyFill="1" applyBorder="1" applyAlignment="1">
      <alignment horizontal="right" vertical="center"/>
    </xf>
    <xf numFmtId="166" fontId="44" fillId="9" borderId="61" xfId="1" applyNumberFormat="1" applyFont="1" applyFill="1" applyBorder="1" applyAlignment="1">
      <alignment horizontal="right" vertical="center"/>
    </xf>
    <xf numFmtId="166" fontId="4" fillId="2" borderId="67" xfId="0" applyNumberFormat="1" applyFont="1" applyFill="1" applyBorder="1" applyAlignment="1">
      <alignment horizontal="right" vertical="center"/>
    </xf>
    <xf numFmtId="166" fontId="4" fillId="3" borderId="67" xfId="0" applyNumberFormat="1" applyFont="1" applyFill="1" applyBorder="1" applyAlignment="1">
      <alignment horizontal="right" vertical="center"/>
    </xf>
    <xf numFmtId="166" fontId="4" fillId="9" borderId="67" xfId="0" applyNumberFormat="1" applyFont="1" applyFill="1" applyBorder="1" applyAlignment="1">
      <alignment horizontal="right" vertical="center"/>
    </xf>
    <xf numFmtId="166" fontId="4" fillId="3" borderId="76" xfId="0" applyNumberFormat="1" applyFont="1" applyFill="1" applyBorder="1" applyAlignment="1">
      <alignment horizontal="right" vertical="center"/>
    </xf>
    <xf numFmtId="3" fontId="4" fillId="3" borderId="4" xfId="2" applyNumberFormat="1" applyFont="1" applyFill="1" applyBorder="1" applyAlignment="1">
      <alignment vertical="center" wrapText="1"/>
    </xf>
    <xf numFmtId="3" fontId="4" fillId="3" borderId="4" xfId="2" applyNumberFormat="1" applyFont="1" applyFill="1" applyBorder="1" applyAlignment="1">
      <alignment horizontal="right" vertical="center"/>
    </xf>
    <xf numFmtId="0" fontId="4" fillId="3" borderId="15" xfId="2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horizontal="right" vertical="center" wrapText="1"/>
    </xf>
    <xf numFmtId="3" fontId="4" fillId="3" borderId="15" xfId="2" applyNumberFormat="1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vertical="center"/>
    </xf>
    <xf numFmtId="0" fontId="4" fillId="3" borderId="78" xfId="2" applyFont="1" applyFill="1" applyBorder="1" applyAlignment="1">
      <alignment horizontal="center" vertical="center" wrapText="1"/>
    </xf>
    <xf numFmtId="3" fontId="4" fillId="3" borderId="79" xfId="2" applyNumberFormat="1" applyFont="1" applyFill="1" applyBorder="1" applyAlignment="1">
      <alignment horizontal="right" vertical="center" wrapText="1"/>
    </xf>
    <xf numFmtId="3" fontId="4" fillId="3" borderId="78" xfId="2" applyNumberFormat="1" applyFont="1" applyFill="1" applyBorder="1" applyAlignment="1">
      <alignment horizontal="center" vertical="center" wrapText="1"/>
    </xf>
    <xf numFmtId="3" fontId="4" fillId="3" borderId="79" xfId="2" applyNumberFormat="1" applyFont="1" applyFill="1" applyBorder="1" applyAlignment="1">
      <alignment vertical="center"/>
    </xf>
    <xf numFmtId="3" fontId="4" fillId="3" borderId="78" xfId="2" applyNumberFormat="1" applyFont="1" applyFill="1" applyBorder="1" applyAlignment="1">
      <alignment horizontal="center" vertical="center"/>
    </xf>
    <xf numFmtId="3" fontId="4" fillId="3" borderId="79" xfId="2" applyNumberFormat="1" applyFont="1" applyFill="1" applyBorder="1" applyAlignment="1">
      <alignment horizontal="right" vertical="center"/>
    </xf>
    <xf numFmtId="0" fontId="4" fillId="3" borderId="6" xfId="2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/>
    </xf>
    <xf numFmtId="3" fontId="4" fillId="2" borderId="79" xfId="2" applyNumberFormat="1" applyFont="1" applyFill="1" applyBorder="1" applyAlignment="1">
      <alignment vertical="center"/>
    </xf>
    <xf numFmtId="0" fontId="4" fillId="9" borderId="10" xfId="2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vertical="center" wrapText="1"/>
    </xf>
    <xf numFmtId="3" fontId="4" fillId="9" borderId="80" xfId="2" applyNumberFormat="1" applyFont="1" applyFill="1" applyBorder="1" applyAlignment="1">
      <alignment vertical="center" wrapText="1"/>
    </xf>
    <xf numFmtId="3" fontId="4" fillId="9" borderId="12" xfId="2" applyNumberFormat="1" applyFont="1" applyFill="1" applyBorder="1" applyAlignment="1">
      <alignment vertical="center" wrapText="1"/>
    </xf>
    <xf numFmtId="3" fontId="4" fillId="9" borderId="11" xfId="2" applyNumberFormat="1" applyFont="1" applyFill="1" applyBorder="1" applyAlignment="1">
      <alignment vertical="center" wrapText="1"/>
    </xf>
    <xf numFmtId="0" fontId="3" fillId="2" borderId="5" xfId="2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vertical="center"/>
    </xf>
    <xf numFmtId="3" fontId="4" fillId="9" borderId="80" xfId="2" applyNumberFormat="1" applyFont="1" applyFill="1" applyBorder="1" applyAlignment="1">
      <alignment vertical="center"/>
    </xf>
    <xf numFmtId="3" fontId="4" fillId="9" borderId="12" xfId="2" applyNumberFormat="1" applyFont="1" applyFill="1" applyBorder="1" applyAlignment="1">
      <alignment vertical="center"/>
    </xf>
    <xf numFmtId="3" fontId="4" fillId="9" borderId="11" xfId="2" applyNumberFormat="1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horizontal="right" vertical="center"/>
    </xf>
    <xf numFmtId="3" fontId="4" fillId="9" borderId="80" xfId="2" applyNumberFormat="1" applyFont="1" applyFill="1" applyBorder="1" applyAlignment="1">
      <alignment horizontal="right" vertical="center"/>
    </xf>
    <xf numFmtId="3" fontId="4" fillId="9" borderId="12" xfId="2" applyNumberFormat="1" applyFont="1" applyFill="1" applyBorder="1" applyAlignment="1">
      <alignment horizontal="right" vertical="center"/>
    </xf>
    <xf numFmtId="3" fontId="4" fillId="9" borderId="11" xfId="2" applyNumberFormat="1" applyFont="1" applyFill="1" applyBorder="1" applyAlignment="1">
      <alignment horizontal="right" vertical="center"/>
    </xf>
    <xf numFmtId="3" fontId="4" fillId="9" borderId="4" xfId="1" applyNumberFormat="1" applyFont="1" applyFill="1" applyBorder="1" applyAlignment="1">
      <alignment horizontal="right" vertical="center"/>
    </xf>
    <xf numFmtId="3" fontId="4" fillId="9" borderId="80" xfId="1" applyNumberFormat="1" applyFont="1" applyFill="1" applyBorder="1" applyAlignment="1">
      <alignment horizontal="right" vertical="center"/>
    </xf>
    <xf numFmtId="3" fontId="4" fillId="9" borderId="9" xfId="1" applyNumberFormat="1" applyFont="1" applyFill="1" applyBorder="1" applyAlignment="1">
      <alignment horizontal="right" vertical="center"/>
    </xf>
    <xf numFmtId="3" fontId="4" fillId="9" borderId="11" xfId="1" applyNumberFormat="1" applyFont="1" applyFill="1" applyBorder="1" applyAlignment="1">
      <alignment horizontal="right" vertical="center"/>
    </xf>
    <xf numFmtId="0" fontId="3" fillId="2" borderId="9" xfId="2" applyFill="1" applyBorder="1"/>
    <xf numFmtId="3" fontId="4" fillId="2" borderId="9" xfId="2" applyNumberFormat="1" applyFont="1" applyFill="1" applyBorder="1" applyAlignment="1"/>
    <xf numFmtId="0" fontId="7" fillId="2" borderId="9" xfId="2" applyFont="1" applyFill="1" applyBorder="1" applyAlignment="1">
      <alignment vertical="top"/>
    </xf>
    <xf numFmtId="49" fontId="7" fillId="2" borderId="9" xfId="2" applyNumberFormat="1" applyFont="1" applyFill="1" applyBorder="1" applyAlignment="1">
      <alignment horizontal="right"/>
    </xf>
    <xf numFmtId="3" fontId="4" fillId="3" borderId="0" xfId="1" applyNumberFormat="1" applyFont="1" applyFill="1" applyBorder="1" applyAlignment="1">
      <alignment vertical="center"/>
    </xf>
    <xf numFmtId="1" fontId="4" fillId="3" borderId="0" xfId="0" applyNumberFormat="1" applyFont="1" applyFill="1" applyBorder="1" applyAlignment="1">
      <alignment horizontal="right" vertical="center"/>
    </xf>
    <xf numFmtId="1" fontId="4" fillId="3" borderId="0" xfId="1" applyNumberFormat="1" applyFont="1" applyFill="1" applyBorder="1" applyAlignment="1">
      <alignment vertical="center"/>
    </xf>
    <xf numFmtId="1" fontId="18" fillId="2" borderId="27" xfId="0" applyNumberFormat="1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vertical="center"/>
    </xf>
    <xf numFmtId="3" fontId="4" fillId="9" borderId="8" xfId="2" applyNumberFormat="1" applyFont="1" applyFill="1" applyBorder="1" applyAlignment="1">
      <alignment horizontal="right"/>
    </xf>
    <xf numFmtId="0" fontId="4" fillId="9" borderId="5" xfId="2" applyFont="1" applyFill="1" applyBorder="1" applyAlignment="1">
      <alignment horizontal="center"/>
    </xf>
    <xf numFmtId="3" fontId="4" fillId="9" borderId="28" xfId="2" applyNumberFormat="1" applyFont="1" applyFill="1" applyBorder="1"/>
    <xf numFmtId="3" fontId="4" fillId="9" borderId="14" xfId="2" applyNumberFormat="1" applyFont="1" applyFill="1" applyBorder="1"/>
    <xf numFmtId="3" fontId="4" fillId="9" borderId="7" xfId="2" applyNumberFormat="1" applyFont="1" applyFill="1" applyBorder="1"/>
    <xf numFmtId="3" fontId="14" fillId="9" borderId="30" xfId="2" applyNumberFormat="1" applyFont="1" applyFill="1" applyBorder="1" applyAlignment="1">
      <alignment horizontal="right"/>
    </xf>
    <xf numFmtId="10" fontId="4" fillId="9" borderId="7" xfId="1" applyNumberFormat="1" applyFont="1" applyFill="1" applyBorder="1" applyAlignment="1">
      <alignment horizontal="center"/>
    </xf>
    <xf numFmtId="0" fontId="15" fillId="2" borderId="0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165" fontId="4" fillId="2" borderId="0" xfId="2" applyNumberFormat="1" applyFont="1" applyFill="1" applyAlignment="1">
      <alignment horizontal="right"/>
    </xf>
    <xf numFmtId="0" fontId="3" fillId="2" borderId="12" xfId="2" applyFont="1" applyFill="1" applyBorder="1"/>
    <xf numFmtId="0" fontId="4" fillId="2" borderId="5" xfId="2" applyFont="1" applyFill="1" applyBorder="1" applyAlignment="1">
      <alignment horizontal="center" vertical="center" wrapText="1"/>
    </xf>
    <xf numFmtId="0" fontId="3" fillId="2" borderId="8" xfId="2" applyFont="1" applyFill="1" applyBorder="1"/>
    <xf numFmtId="0" fontId="3" fillId="2" borderId="5" xfId="2" applyFont="1" applyFill="1" applyBorder="1"/>
    <xf numFmtId="0" fontId="4" fillId="2" borderId="11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3" fillId="2" borderId="7" xfId="2" applyFont="1" applyFill="1" applyBorder="1"/>
    <xf numFmtId="0" fontId="4" fillId="2" borderId="10" xfId="2" applyFont="1" applyFill="1" applyBorder="1" applyAlignment="1">
      <alignment vertical="center" wrapText="1"/>
    </xf>
    <xf numFmtId="0" fontId="4" fillId="2" borderId="4" xfId="2" applyFont="1" applyFill="1" applyBorder="1" applyAlignment="1">
      <alignment vertical="center" wrapText="1"/>
    </xf>
    <xf numFmtId="0" fontId="4" fillId="2" borderId="7" xfId="2" applyFont="1" applyFill="1" applyBorder="1" applyAlignment="1">
      <alignment vertical="center" wrapText="1"/>
    </xf>
    <xf numFmtId="0" fontId="3" fillId="2" borderId="10" xfId="2" applyFont="1" applyFill="1" applyBorder="1"/>
    <xf numFmtId="0" fontId="3" fillId="2" borderId="11" xfId="2" applyFont="1" applyFill="1" applyBorder="1" applyAlignment="1">
      <alignment vertical="center"/>
    </xf>
    <xf numFmtId="0" fontId="3" fillId="2" borderId="4" xfId="2" applyFont="1" applyFill="1" applyBorder="1" applyAlignment="1">
      <alignment vertical="center"/>
    </xf>
    <xf numFmtId="0" fontId="3" fillId="2" borderId="12" xfId="2" applyFont="1" applyFill="1" applyBorder="1" applyAlignment="1">
      <alignment horizontal="right" vertical="center"/>
    </xf>
    <xf numFmtId="0" fontId="4" fillId="2" borderId="1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vertical="center"/>
    </xf>
    <xf numFmtId="0" fontId="3" fillId="2" borderId="9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horizontal="center" vertical="center"/>
    </xf>
    <xf numFmtId="166" fontId="4" fillId="9" borderId="0" xfId="2" applyNumberFormat="1" applyFont="1" applyFill="1" applyBorder="1" applyAlignment="1">
      <alignment horizontal="right" vertical="center"/>
    </xf>
    <xf numFmtId="166" fontId="15" fillId="9" borderId="0" xfId="2" applyNumberFormat="1" applyFont="1" applyFill="1" applyBorder="1" applyAlignment="1">
      <alignment horizontal="right" vertical="center"/>
    </xf>
    <xf numFmtId="166" fontId="15" fillId="9" borderId="9" xfId="2" applyNumberFormat="1" applyFont="1" applyFill="1" applyBorder="1" applyAlignment="1">
      <alignment horizontal="right" vertical="center"/>
    </xf>
    <xf numFmtId="166" fontId="4" fillId="9" borderId="9" xfId="2" applyNumberFormat="1" applyFont="1" applyFill="1" applyBorder="1" applyAlignment="1">
      <alignment horizontal="right" vertical="center"/>
    </xf>
    <xf numFmtId="166" fontId="15" fillId="2" borderId="0" xfId="2" applyNumberFormat="1" applyFont="1" applyFill="1" applyBorder="1" applyAlignment="1">
      <alignment horizontal="right" vertical="center"/>
    </xf>
    <xf numFmtId="166" fontId="15" fillId="2" borderId="9" xfId="2" applyNumberFormat="1" applyFont="1" applyFill="1" applyBorder="1" applyAlignment="1">
      <alignment horizontal="right" vertical="center"/>
    </xf>
    <xf numFmtId="166" fontId="4" fillId="2" borderId="0" xfId="2" applyNumberFormat="1" applyFont="1" applyFill="1" applyBorder="1" applyAlignment="1">
      <alignment horizontal="right" vertical="center"/>
    </xf>
    <xf numFmtId="166" fontId="4" fillId="2" borderId="9" xfId="2" applyNumberFormat="1" applyFont="1" applyFill="1" applyBorder="1" applyAlignment="1">
      <alignment horizontal="right" vertical="center"/>
    </xf>
    <xf numFmtId="166" fontId="4" fillId="3" borderId="0" xfId="2" applyNumberFormat="1" applyFont="1" applyFill="1" applyBorder="1" applyAlignment="1">
      <alignment horizontal="right" vertical="center"/>
    </xf>
    <xf numFmtId="0" fontId="3" fillId="2" borderId="12" xfId="2" applyFont="1" applyFill="1" applyBorder="1" applyAlignment="1">
      <alignment vertical="center"/>
    </xf>
    <xf numFmtId="166" fontId="15" fillId="2" borderId="11" xfId="2" applyNumberFormat="1" applyFont="1" applyFill="1" applyBorder="1" applyAlignment="1">
      <alignment horizontal="right" vertical="center"/>
    </xf>
    <xf numFmtId="166" fontId="15" fillId="2" borderId="12" xfId="2" applyNumberFormat="1" applyFont="1" applyFill="1" applyBorder="1" applyAlignment="1">
      <alignment horizontal="right" vertical="center"/>
    </xf>
    <xf numFmtId="166" fontId="4" fillId="2" borderId="11" xfId="2" applyNumberFormat="1" applyFont="1" applyFill="1" applyBorder="1" applyAlignment="1">
      <alignment horizontal="right" vertical="center"/>
    </xf>
    <xf numFmtId="166" fontId="4" fillId="2" borderId="12" xfId="2" applyNumberFormat="1" applyFont="1" applyFill="1" applyBorder="1" applyAlignment="1">
      <alignment horizontal="right" vertical="center"/>
    </xf>
    <xf numFmtId="0" fontId="3" fillId="2" borderId="9" xfId="2" applyFont="1" applyFill="1" applyBorder="1" applyAlignment="1">
      <alignment vertical="center"/>
    </xf>
    <xf numFmtId="0" fontId="3" fillId="2" borderId="8" xfId="2" applyFont="1" applyFill="1" applyBorder="1" applyAlignment="1">
      <alignment vertical="center"/>
    </xf>
    <xf numFmtId="166" fontId="15" fillId="2" borderId="5" xfId="2" applyNumberFormat="1" applyFont="1" applyFill="1" applyBorder="1" applyAlignment="1">
      <alignment horizontal="right" vertical="center"/>
    </xf>
    <xf numFmtId="166" fontId="15" fillId="2" borderId="7" xfId="2" applyNumberFormat="1" applyFont="1" applyFill="1" applyBorder="1" applyAlignment="1">
      <alignment horizontal="right" vertical="center"/>
    </xf>
    <xf numFmtId="166" fontId="4" fillId="2" borderId="5" xfId="2" applyNumberFormat="1" applyFont="1" applyFill="1" applyBorder="1" applyAlignment="1">
      <alignment horizontal="right" vertical="center"/>
    </xf>
    <xf numFmtId="166" fontId="4" fillId="2" borderId="8" xfId="2" applyNumberFormat="1" applyFont="1" applyFill="1" applyBorder="1" applyAlignment="1">
      <alignment horizontal="right" vertical="center"/>
    </xf>
    <xf numFmtId="166" fontId="4" fillId="2" borderId="7" xfId="2" applyNumberFormat="1" applyFont="1" applyFill="1" applyBorder="1" applyAlignment="1">
      <alignment horizontal="right" vertical="center"/>
    </xf>
    <xf numFmtId="166" fontId="15" fillId="3" borderId="0" xfId="2" applyNumberFormat="1" applyFont="1" applyFill="1" applyBorder="1" applyAlignment="1">
      <alignment horizontal="right" vertical="center"/>
    </xf>
    <xf numFmtId="166" fontId="15" fillId="3" borderId="4" xfId="2" applyNumberFormat="1" applyFont="1" applyFill="1" applyBorder="1" applyAlignment="1">
      <alignment horizontal="right" vertical="center"/>
    </xf>
    <xf numFmtId="166" fontId="4" fillId="3" borderId="9" xfId="2" applyNumberFormat="1" applyFont="1" applyFill="1" applyBorder="1" applyAlignment="1">
      <alignment horizontal="right" vertical="center"/>
    </xf>
    <xf numFmtId="0" fontId="3" fillId="2" borderId="10" xfId="2" applyFont="1" applyFill="1" applyBorder="1" applyAlignment="1">
      <alignment vertical="center"/>
    </xf>
    <xf numFmtId="166" fontId="15" fillId="3" borderId="11" xfId="2" applyNumberFormat="1" applyFont="1" applyFill="1" applyBorder="1" applyAlignment="1">
      <alignment horizontal="right" vertical="center"/>
    </xf>
    <xf numFmtId="166" fontId="15" fillId="3" borderId="10" xfId="2" applyNumberFormat="1" applyFont="1" applyFill="1" applyBorder="1" applyAlignment="1">
      <alignment horizontal="right" vertical="center"/>
    </xf>
    <xf numFmtId="166" fontId="4" fillId="3" borderId="11" xfId="2" applyNumberFormat="1" applyFont="1" applyFill="1" applyBorder="1" applyAlignment="1">
      <alignment horizontal="right" vertical="center"/>
    </xf>
    <xf numFmtId="166" fontId="4" fillId="3" borderId="12" xfId="2" applyNumberFormat="1" applyFont="1" applyFill="1" applyBorder="1" applyAlignment="1">
      <alignment horizontal="right" vertical="center"/>
    </xf>
    <xf numFmtId="166" fontId="4" fillId="2" borderId="10" xfId="2" applyNumberFormat="1" applyFont="1" applyFill="1" applyBorder="1" applyAlignment="1">
      <alignment horizontal="right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right" vertical="center"/>
    </xf>
    <xf numFmtId="166" fontId="15" fillId="3" borderId="5" xfId="2" applyNumberFormat="1" applyFont="1" applyFill="1" applyBorder="1" applyAlignment="1">
      <alignment horizontal="right" vertical="center"/>
    </xf>
    <xf numFmtId="166" fontId="15" fillId="3" borderId="7" xfId="2" applyNumberFormat="1" applyFont="1" applyFill="1" applyBorder="1" applyAlignment="1">
      <alignment horizontal="right" vertical="center"/>
    </xf>
    <xf numFmtId="166" fontId="4" fillId="11" borderId="0" xfId="2" applyNumberFormat="1" applyFont="1" applyFill="1" applyBorder="1" applyAlignment="1">
      <alignment horizontal="right" vertical="center"/>
    </xf>
    <xf numFmtId="166" fontId="4" fillId="11" borderId="9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vertical="center"/>
    </xf>
    <xf numFmtId="165" fontId="4" fillId="2" borderId="7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Alignment="1">
      <alignment horizontal="right" vertical="center"/>
    </xf>
    <xf numFmtId="165" fontId="4" fillId="2" borderId="4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Border="1" applyAlignment="1">
      <alignment horizontal="right" vertical="center"/>
    </xf>
    <xf numFmtId="165" fontId="4" fillId="2" borderId="9" xfId="2" applyNumberFormat="1" applyFont="1" applyFill="1" applyBorder="1" applyAlignment="1">
      <alignment horizontal="right" vertical="center"/>
    </xf>
    <xf numFmtId="0" fontId="4" fillId="9" borderId="4" xfId="2" applyFont="1" applyFill="1" applyBorder="1" applyAlignment="1">
      <alignment horizontal="right" vertical="center" wrapText="1"/>
    </xf>
    <xf numFmtId="0" fontId="4" fillId="12" borderId="4" xfId="2" applyFont="1" applyFill="1" applyBorder="1" applyAlignment="1">
      <alignment horizontal="right" vertical="center" wrapText="1"/>
    </xf>
    <xf numFmtId="0" fontId="4" fillId="9" borderId="9" xfId="2" applyFont="1" applyFill="1" applyBorder="1" applyAlignment="1">
      <alignment horizontal="left" vertical="center"/>
    </xf>
    <xf numFmtId="0" fontId="4" fillId="12" borderId="9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left" vertical="center"/>
    </xf>
    <xf numFmtId="0" fontId="4" fillId="3" borderId="4" xfId="2" applyFont="1" applyFill="1" applyBorder="1" applyAlignment="1">
      <alignment horizontal="right" vertical="center"/>
    </xf>
    <xf numFmtId="166" fontId="15" fillId="3" borderId="9" xfId="2" applyNumberFormat="1" applyFont="1" applyFill="1" applyBorder="1" applyAlignment="1">
      <alignment horizontal="right" vertical="center"/>
    </xf>
    <xf numFmtId="0" fontId="4" fillId="11" borderId="4" xfId="2" applyFont="1" applyFill="1" applyBorder="1" applyAlignment="1">
      <alignment horizontal="right" vertical="center" wrapText="1"/>
    </xf>
    <xf numFmtId="0" fontId="4" fillId="11" borderId="9" xfId="2" applyFont="1" applyFill="1" applyBorder="1" applyAlignment="1">
      <alignment horizontal="left" vertical="center"/>
    </xf>
    <xf numFmtId="0" fontId="4" fillId="3" borderId="12" xfId="2" applyFont="1" applyFill="1" applyBorder="1" applyAlignment="1">
      <alignment horizontal="left" vertical="center"/>
    </xf>
    <xf numFmtId="0" fontId="4" fillId="3" borderId="10" xfId="2" applyFont="1" applyFill="1" applyBorder="1" applyAlignment="1">
      <alignment horizontal="right" vertical="center" wrapText="1"/>
    </xf>
    <xf numFmtId="0" fontId="4" fillId="3" borderId="10" xfId="2" applyFont="1" applyFill="1" applyBorder="1" applyAlignment="1">
      <alignment horizontal="right" vertical="center"/>
    </xf>
    <xf numFmtId="0" fontId="4" fillId="3" borderId="9" xfId="2" applyFont="1" applyFill="1" applyBorder="1" applyAlignment="1">
      <alignment horizontal="left" vertical="center" wrapText="1"/>
    </xf>
    <xf numFmtId="0" fontId="3" fillId="3" borderId="12" xfId="2" applyFont="1" applyFill="1" applyBorder="1" applyAlignment="1">
      <alignment vertical="center"/>
    </xf>
    <xf numFmtId="166" fontId="15" fillId="3" borderId="12" xfId="2" applyNumberFormat="1" applyFont="1" applyFill="1" applyBorder="1" applyAlignment="1">
      <alignment horizontal="right" vertical="center"/>
    </xf>
    <xf numFmtId="0" fontId="3" fillId="3" borderId="10" xfId="2" applyFont="1" applyFill="1" applyBorder="1"/>
    <xf numFmtId="0" fontId="3" fillId="2" borderId="8" xfId="2" applyFont="1" applyFill="1" applyBorder="1" applyAlignment="1">
      <alignment horizontal="right"/>
    </xf>
    <xf numFmtId="0" fontId="3" fillId="2" borderId="8" xfId="2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3" fillId="2" borderId="83" xfId="2" applyFont="1" applyFill="1" applyBorder="1"/>
    <xf numFmtId="0" fontId="3" fillId="2" borderId="82" xfId="2" applyFont="1" applyFill="1" applyBorder="1" applyAlignment="1">
      <alignment horizontal="right"/>
    </xf>
    <xf numFmtId="0" fontId="3" fillId="2" borderId="84" xfId="2" applyFont="1" applyFill="1" applyBorder="1"/>
    <xf numFmtId="0" fontId="3" fillId="2" borderId="82" xfId="2" applyFont="1" applyFill="1" applyBorder="1"/>
    <xf numFmtId="0" fontId="4" fillId="2" borderId="29" xfId="2" applyFont="1" applyFill="1" applyBorder="1" applyAlignment="1">
      <alignment horizontal="center" vertical="center"/>
    </xf>
    <xf numFmtId="0" fontId="4" fillId="2" borderId="37" xfId="2" applyFont="1" applyFill="1" applyBorder="1" applyAlignment="1">
      <alignment horizontal="center" vertical="center"/>
    </xf>
    <xf numFmtId="166" fontId="4" fillId="3" borderId="37" xfId="2" applyNumberFormat="1" applyFont="1" applyFill="1" applyBorder="1" applyAlignment="1">
      <alignment horizontal="right" vertical="center"/>
    </xf>
    <xf numFmtId="166" fontId="4" fillId="3" borderId="29" xfId="2" applyNumberFormat="1" applyFont="1" applyFill="1" applyBorder="1" applyAlignment="1">
      <alignment horizontal="right" vertical="center"/>
    </xf>
    <xf numFmtId="0" fontId="4" fillId="2" borderId="30" xfId="2" applyFont="1" applyFill="1" applyBorder="1" applyAlignment="1">
      <alignment horizontal="center" vertical="center"/>
    </xf>
    <xf numFmtId="0" fontId="3" fillId="2" borderId="85" xfId="2" applyFont="1" applyFill="1" applyBorder="1"/>
    <xf numFmtId="0" fontId="3" fillId="2" borderId="37" xfId="2" applyFont="1" applyFill="1" applyBorder="1"/>
    <xf numFmtId="166" fontId="4" fillId="9" borderId="37" xfId="2" applyNumberFormat="1" applyFont="1" applyFill="1" applyBorder="1" applyAlignment="1">
      <alignment horizontal="right" vertical="center"/>
    </xf>
    <xf numFmtId="166" fontId="4" fillId="11" borderId="37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 vertical="center"/>
    </xf>
    <xf numFmtId="0" fontId="3" fillId="9" borderId="4" xfId="2" applyFont="1" applyFill="1" applyBorder="1" applyAlignment="1">
      <alignment vertical="center"/>
    </xf>
    <xf numFmtId="0" fontId="3" fillId="9" borderId="9" xfId="2" applyFont="1" applyFill="1" applyBorder="1" applyAlignment="1">
      <alignment horizontal="right" vertical="center"/>
    </xf>
    <xf numFmtId="0" fontId="4" fillId="9" borderId="0" xfId="2" applyFont="1" applyFill="1" applyBorder="1" applyAlignment="1">
      <alignment horizontal="center" vertical="center"/>
    </xf>
    <xf numFmtId="0" fontId="4" fillId="9" borderId="9" xfId="2" applyFont="1" applyFill="1" applyBorder="1" applyAlignment="1">
      <alignment horizontal="center" vertical="center"/>
    </xf>
    <xf numFmtId="0" fontId="4" fillId="9" borderId="37" xfId="2" applyFont="1" applyFill="1" applyBorder="1" applyAlignment="1">
      <alignment horizontal="center" vertical="center"/>
    </xf>
    <xf numFmtId="0" fontId="4" fillId="9" borderId="12" xfId="2" applyFont="1" applyFill="1" applyBorder="1" applyAlignment="1">
      <alignment horizontal="left" vertical="center"/>
    </xf>
    <xf numFmtId="166" fontId="15" fillId="9" borderId="11" xfId="2" applyNumberFormat="1" applyFont="1" applyFill="1" applyBorder="1" applyAlignment="1">
      <alignment horizontal="right" vertical="center"/>
    </xf>
    <xf numFmtId="166" fontId="15" fillId="9" borderId="12" xfId="2" applyNumberFormat="1" applyFont="1" applyFill="1" applyBorder="1" applyAlignment="1">
      <alignment horizontal="right" vertical="center"/>
    </xf>
    <xf numFmtId="166" fontId="4" fillId="9" borderId="11" xfId="2" applyNumberFormat="1" applyFont="1" applyFill="1" applyBorder="1" applyAlignment="1">
      <alignment horizontal="right" vertical="center"/>
    </xf>
    <xf numFmtId="166" fontId="4" fillId="9" borderId="12" xfId="2" applyNumberFormat="1" applyFont="1" applyFill="1" applyBorder="1" applyAlignment="1">
      <alignment horizontal="right" vertical="center"/>
    </xf>
    <xf numFmtId="166" fontId="4" fillId="9" borderId="29" xfId="2" applyNumberFormat="1" applyFont="1" applyFill="1" applyBorder="1" applyAlignment="1">
      <alignment horizontal="right" vertical="center"/>
    </xf>
    <xf numFmtId="0" fontId="3" fillId="9" borderId="10" xfId="2" applyFont="1" applyFill="1" applyBorder="1"/>
    <xf numFmtId="0" fontId="3" fillId="9" borderId="12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right" vertical="center"/>
    </xf>
    <xf numFmtId="0" fontId="3" fillId="2" borderId="30" xfId="2" applyFont="1" applyFill="1" applyBorder="1"/>
    <xf numFmtId="0" fontId="4" fillId="2" borderId="11" xfId="2" applyFont="1" applyFill="1" applyBorder="1" applyAlignment="1">
      <alignment horizontal="right" vertical="center"/>
    </xf>
    <xf numFmtId="0" fontId="3" fillId="9" borderId="5" xfId="2" applyFont="1" applyFill="1" applyBorder="1" applyAlignment="1">
      <alignment vertical="center"/>
    </xf>
    <xf numFmtId="0" fontId="4" fillId="9" borderId="0" xfId="2" applyFont="1" applyFill="1" applyBorder="1" applyAlignment="1">
      <alignment horizontal="right" vertical="center" wrapText="1"/>
    </xf>
    <xf numFmtId="0" fontId="4" fillId="9" borderId="11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vertical="center" wrapText="1"/>
    </xf>
    <xf numFmtId="49" fontId="4" fillId="2" borderId="11" xfId="2" applyNumberFormat="1" applyFont="1" applyFill="1" applyBorder="1" applyAlignment="1">
      <alignment horizontal="center" vertical="center"/>
    </xf>
    <xf numFmtId="49" fontId="4" fillId="2" borderId="12" xfId="2" applyNumberFormat="1" applyFont="1" applyFill="1" applyBorder="1" applyAlignment="1">
      <alignment horizontal="center" vertical="center"/>
    </xf>
    <xf numFmtId="166" fontId="15" fillId="11" borderId="0" xfId="2" applyNumberFormat="1" applyFont="1" applyFill="1" applyBorder="1" applyAlignment="1">
      <alignment horizontal="right" vertical="center"/>
    </xf>
    <xf numFmtId="166" fontId="15" fillId="11" borderId="9" xfId="2" applyNumberFormat="1" applyFont="1" applyFill="1" applyBorder="1" applyAlignment="1">
      <alignment horizontal="right" vertical="center"/>
    </xf>
    <xf numFmtId="0" fontId="4" fillId="2" borderId="0" xfId="2" applyFont="1" applyFill="1" applyAlignment="1">
      <alignment horizontal="right"/>
    </xf>
    <xf numFmtId="0" fontId="4" fillId="2" borderId="86" xfId="0" applyFont="1" applyFill="1" applyBorder="1" applyAlignment="1">
      <alignment horizontal="right" vertical="center"/>
    </xf>
    <xf numFmtId="0" fontId="40" fillId="3" borderId="87" xfId="0" applyFont="1" applyFill="1" applyBorder="1" applyAlignment="1">
      <alignment horizontal="left" vertical="center"/>
    </xf>
    <xf numFmtId="0" fontId="4" fillId="2" borderId="87" xfId="0" applyFont="1" applyFill="1" applyBorder="1" applyAlignment="1">
      <alignment horizontal="left" vertical="center" wrapText="1"/>
    </xf>
    <xf numFmtId="0" fontId="4" fillId="2" borderId="88" xfId="0" applyFont="1" applyFill="1" applyBorder="1" applyAlignment="1">
      <alignment horizontal="right" vertical="center"/>
    </xf>
    <xf numFmtId="0" fontId="40" fillId="3" borderId="89" xfId="0" applyFont="1" applyFill="1" applyBorder="1" applyAlignment="1">
      <alignment horizontal="left" vertical="center"/>
    </xf>
    <xf numFmtId="0" fontId="4" fillId="2" borderId="89" xfId="0" applyFont="1" applyFill="1" applyBorder="1" applyAlignment="1">
      <alignment horizontal="left" vertical="center" wrapText="1"/>
    </xf>
    <xf numFmtId="0" fontId="4" fillId="2" borderId="70" xfId="0" applyFont="1" applyFill="1" applyBorder="1" applyAlignment="1">
      <alignment horizontal="right" vertical="center"/>
    </xf>
    <xf numFmtId="0" fontId="18" fillId="2" borderId="70" xfId="0" applyFont="1" applyFill="1" applyBorder="1" applyAlignment="1">
      <alignment horizontal="right" vertical="center"/>
    </xf>
    <xf numFmtId="0" fontId="4" fillId="2" borderId="87" xfId="0" applyFont="1" applyFill="1" applyBorder="1" applyAlignment="1">
      <alignment horizontal="right" vertical="center" wrapText="1"/>
    </xf>
    <xf numFmtId="0" fontId="4" fillId="2" borderId="90" xfId="0" applyFont="1" applyFill="1" applyBorder="1" applyAlignment="1">
      <alignment vertical="center"/>
    </xf>
    <xf numFmtId="0" fontId="4" fillId="2" borderId="89" xfId="0" applyFont="1" applyFill="1" applyBorder="1" applyAlignment="1">
      <alignment horizontal="right" vertical="center" wrapText="1"/>
    </xf>
    <xf numFmtId="0" fontId="4" fillId="2" borderId="9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 wrapText="1"/>
    </xf>
    <xf numFmtId="0" fontId="4" fillId="2" borderId="61" xfId="0" applyFont="1" applyFill="1" applyBorder="1" applyAlignment="1">
      <alignment vertical="center"/>
    </xf>
    <xf numFmtId="0" fontId="4" fillId="2" borderId="0" xfId="2" applyFont="1" applyFill="1" applyBorder="1" applyAlignment="1">
      <alignment horizontal="center"/>
    </xf>
    <xf numFmtId="3" fontId="4" fillId="2" borderId="20" xfId="2" applyNumberFormat="1" applyFont="1" applyFill="1" applyBorder="1" applyAlignment="1">
      <alignment horizontal="right"/>
    </xf>
    <xf numFmtId="3" fontId="4" fillId="2" borderId="2" xfId="2" applyNumberFormat="1" applyFont="1" applyFill="1" applyBorder="1" applyAlignment="1">
      <alignment horizontal="right"/>
    </xf>
    <xf numFmtId="3" fontId="4" fillId="2" borderId="4" xfId="2" applyNumberFormat="1" applyFont="1" applyFill="1" applyBorder="1" applyAlignment="1">
      <alignment horizontal="right"/>
    </xf>
    <xf numFmtId="3" fontId="14" fillId="2" borderId="37" xfId="2" applyNumberFormat="1" applyFont="1" applyFill="1" applyBorder="1" applyAlignment="1">
      <alignment horizontal="right"/>
    </xf>
    <xf numFmtId="3" fontId="4" fillId="2" borderId="9" xfId="2" applyNumberFormat="1" applyFont="1" applyFill="1" applyBorder="1" applyAlignment="1">
      <alignment horizontal="right"/>
    </xf>
    <xf numFmtId="10" fontId="4" fillId="2" borderId="4" xfId="1" applyNumberFormat="1" applyFont="1" applyFill="1" applyBorder="1" applyAlignment="1">
      <alignment horizontal="center"/>
    </xf>
    <xf numFmtId="0" fontId="4" fillId="3" borderId="0" xfId="2" applyFont="1" applyFill="1" applyAlignment="1">
      <alignment horizontal="left"/>
    </xf>
    <xf numFmtId="3" fontId="4" fillId="3" borderId="3" xfId="2" applyNumberFormat="1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 wrapText="1"/>
    </xf>
    <xf numFmtId="170" fontId="4" fillId="2" borderId="11" xfId="0" applyNumberFormat="1" applyFont="1" applyFill="1" applyBorder="1" applyAlignment="1">
      <alignment horizontal="left"/>
    </xf>
    <xf numFmtId="0" fontId="46" fillId="2" borderId="0" xfId="0" applyFont="1" applyFill="1" applyBorder="1"/>
    <xf numFmtId="0" fontId="18" fillId="2" borderId="0" xfId="0" applyFont="1" applyFill="1" applyBorder="1" applyAlignment="1">
      <alignment horizontal="center"/>
    </xf>
    <xf numFmtId="0" fontId="18" fillId="2" borderId="0" xfId="0" applyFont="1" applyFill="1" applyBorder="1"/>
    <xf numFmtId="0" fontId="18" fillId="3" borderId="0" xfId="0" applyFont="1" applyFill="1"/>
    <xf numFmtId="3" fontId="18" fillId="2" borderId="0" xfId="0" applyNumberFormat="1" applyFont="1" applyFill="1" applyBorder="1"/>
    <xf numFmtId="166" fontId="18" fillId="2" borderId="0" xfId="0" applyNumberFormat="1" applyFont="1" applyFill="1" applyBorder="1"/>
    <xf numFmtId="164" fontId="15" fillId="12" borderId="0" xfId="1" applyNumberFormat="1" applyFont="1" applyFill="1" applyBorder="1" applyAlignment="1">
      <alignment horizontal="right" vertical="center"/>
    </xf>
    <xf numFmtId="164" fontId="15" fillId="12" borderId="9" xfId="1" applyNumberFormat="1" applyFont="1" applyFill="1" applyBorder="1" applyAlignment="1">
      <alignment horizontal="right" vertical="center"/>
    </xf>
    <xf numFmtId="164" fontId="4" fillId="12" borderId="0" xfId="1" applyNumberFormat="1" applyFont="1" applyFill="1" applyBorder="1" applyAlignment="1">
      <alignment horizontal="right" vertical="center"/>
    </xf>
    <xf numFmtId="164" fontId="4" fillId="12" borderId="9" xfId="1" applyNumberFormat="1" applyFont="1" applyFill="1" applyBorder="1" applyAlignment="1">
      <alignment horizontal="right" vertical="center"/>
    </xf>
    <xf numFmtId="164" fontId="4" fillId="12" borderId="37" xfId="1" applyNumberFormat="1" applyFont="1" applyFill="1" applyBorder="1" applyAlignment="1">
      <alignment horizontal="right" vertical="center"/>
    </xf>
    <xf numFmtId="168" fontId="4" fillId="11" borderId="0" xfId="2" applyNumberFormat="1" applyFont="1" applyFill="1" applyBorder="1" applyAlignment="1">
      <alignment horizontal="right" vertical="center"/>
    </xf>
    <xf numFmtId="168" fontId="4" fillId="11" borderId="4" xfId="2" applyNumberFormat="1" applyFont="1" applyFill="1" applyBorder="1" applyAlignment="1">
      <alignment horizontal="right" vertical="center"/>
    </xf>
    <xf numFmtId="168" fontId="4" fillId="11" borderId="9" xfId="2" applyNumberFormat="1" applyFont="1" applyFill="1" applyBorder="1" applyAlignment="1">
      <alignment horizontal="right" vertical="center"/>
    </xf>
    <xf numFmtId="168" fontId="15" fillId="3" borderId="0" xfId="2" applyNumberFormat="1" applyFont="1" applyFill="1" applyBorder="1" applyAlignment="1">
      <alignment horizontal="right" vertical="center"/>
    </xf>
    <xf numFmtId="168" fontId="15" fillId="3" borderId="4" xfId="2" applyNumberFormat="1" applyFont="1" applyFill="1" applyBorder="1" applyAlignment="1">
      <alignment horizontal="right" vertical="center"/>
    </xf>
    <xf numFmtId="168" fontId="4" fillId="3" borderId="0" xfId="2" applyNumberFormat="1" applyFont="1" applyFill="1" applyBorder="1" applyAlignment="1">
      <alignment horizontal="right" vertical="center"/>
    </xf>
    <xf numFmtId="168" fontId="4" fillId="3" borderId="9" xfId="2" applyNumberFormat="1" applyFont="1" applyFill="1" applyBorder="1" applyAlignment="1">
      <alignment horizontal="right" vertical="center"/>
    </xf>
    <xf numFmtId="168" fontId="4" fillId="3" borderId="4" xfId="2" applyNumberFormat="1" applyFont="1" applyFill="1" applyBorder="1" applyAlignment="1">
      <alignment horizontal="right" vertical="center"/>
    </xf>
    <xf numFmtId="168" fontId="4" fillId="2" borderId="0" xfId="2" applyNumberFormat="1" applyFont="1" applyFill="1" applyBorder="1" applyAlignment="1">
      <alignment horizontal="right" vertical="center"/>
    </xf>
    <xf numFmtId="168" fontId="4" fillId="2" borderId="4" xfId="2" applyNumberFormat="1" applyFont="1" applyFill="1" applyBorder="1" applyAlignment="1">
      <alignment horizontal="right" vertical="center"/>
    </xf>
    <xf numFmtId="168" fontId="4" fillId="2" borderId="11" xfId="2" applyNumberFormat="1" applyFont="1" applyFill="1" applyBorder="1" applyAlignment="1">
      <alignment horizontal="right" vertical="center"/>
    </xf>
    <xf numFmtId="168" fontId="4" fillId="2" borderId="10" xfId="2" applyNumberFormat="1" applyFont="1" applyFill="1" applyBorder="1" applyAlignment="1">
      <alignment horizontal="right" vertical="center"/>
    </xf>
    <xf numFmtId="168" fontId="4" fillId="3" borderId="37" xfId="2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horizontal="right" vertical="center"/>
    </xf>
    <xf numFmtId="3" fontId="15" fillId="3" borderId="0" xfId="2" applyNumberFormat="1" applyFont="1" applyFill="1" applyBorder="1" applyAlignment="1">
      <alignment horizontal="right" vertical="center"/>
    </xf>
    <xf numFmtId="3" fontId="15" fillId="3" borderId="9" xfId="2" applyNumberFormat="1" applyFont="1" applyFill="1" applyBorder="1" applyAlignment="1">
      <alignment horizontal="right" vertical="center"/>
    </xf>
    <xf numFmtId="3" fontId="4" fillId="3" borderId="9" xfId="2" applyNumberFormat="1" applyFont="1" applyFill="1" applyBorder="1" applyAlignment="1">
      <alignment horizontal="right" vertical="center"/>
    </xf>
    <xf numFmtId="164" fontId="15" fillId="3" borderId="0" xfId="1" applyNumberFormat="1" applyFont="1" applyFill="1" applyBorder="1" applyAlignment="1">
      <alignment horizontal="right" vertical="center"/>
    </xf>
    <xf numFmtId="164" fontId="15" fillId="3" borderId="9" xfId="1" applyNumberFormat="1" applyFont="1" applyFill="1" applyBorder="1" applyAlignment="1">
      <alignment horizontal="right" vertical="center"/>
    </xf>
    <xf numFmtId="164" fontId="4" fillId="3" borderId="9" xfId="1" applyNumberFormat="1" applyFont="1" applyFill="1" applyBorder="1" applyAlignment="1">
      <alignment horizontal="right" vertical="center"/>
    </xf>
    <xf numFmtId="3" fontId="15" fillId="9" borderId="0" xfId="2" applyNumberFormat="1" applyFont="1" applyFill="1" applyBorder="1" applyAlignment="1">
      <alignment horizontal="right" vertical="center"/>
    </xf>
    <xf numFmtId="3" fontId="15" fillId="9" borderId="9" xfId="2" applyNumberFormat="1" applyFont="1" applyFill="1" applyBorder="1" applyAlignment="1">
      <alignment horizontal="right" vertical="center"/>
    </xf>
    <xf numFmtId="3" fontId="4" fillId="9" borderId="0" xfId="2" applyNumberFormat="1" applyFont="1" applyFill="1" applyBorder="1" applyAlignment="1">
      <alignment horizontal="right" vertical="center"/>
    </xf>
    <xf numFmtId="3" fontId="4" fillId="9" borderId="9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horizontal="right" vertical="center"/>
    </xf>
    <xf numFmtId="164" fontId="4" fillId="2" borderId="0" xfId="1" applyNumberFormat="1" applyFont="1" applyFill="1" applyAlignment="1">
      <alignment horizontal="right" vertical="center"/>
    </xf>
    <xf numFmtId="164" fontId="4" fillId="3" borderId="37" xfId="1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center" vertical="center"/>
    </xf>
    <xf numFmtId="3" fontId="4" fillId="3" borderId="37" xfId="2" applyNumberFormat="1" applyFont="1" applyFill="1" applyBorder="1" applyAlignment="1">
      <alignment horizontal="right" vertical="center"/>
    </xf>
    <xf numFmtId="3" fontId="4" fillId="9" borderId="37" xfId="2" applyNumberFormat="1" applyFont="1" applyFill="1" applyBorder="1" applyAlignment="1">
      <alignment horizontal="right" vertical="center"/>
    </xf>
    <xf numFmtId="1" fontId="17" fillId="2" borderId="0" xfId="2" applyNumberFormat="1" applyFont="1" applyFill="1" applyAlignment="1">
      <alignment horizontal="center"/>
    </xf>
    <xf numFmtId="1" fontId="47" fillId="2" borderId="0" xfId="2" applyNumberFormat="1" applyFont="1" applyFill="1" applyAlignment="1">
      <alignment horizontal="right"/>
    </xf>
    <xf numFmtId="164" fontId="44" fillId="2" borderId="72" xfId="1" applyNumberFormat="1" applyFont="1" applyFill="1" applyBorder="1" applyAlignment="1">
      <alignment horizontal="right" vertical="center"/>
    </xf>
    <xf numFmtId="164" fontId="44" fillId="3" borderId="72" xfId="1" applyNumberFormat="1" applyFont="1" applyFill="1" applyBorder="1" applyAlignment="1">
      <alignment horizontal="right" vertical="center"/>
    </xf>
    <xf numFmtId="164" fontId="44" fillId="11" borderId="72" xfId="1" applyNumberFormat="1" applyFont="1" applyFill="1" applyBorder="1" applyAlignment="1">
      <alignment horizontal="right" vertical="center"/>
    </xf>
    <xf numFmtId="0" fontId="14" fillId="2" borderId="92" xfId="2" applyFont="1" applyFill="1" applyBorder="1" applyAlignment="1"/>
    <xf numFmtId="0" fontId="32" fillId="3" borderId="0" xfId="2" applyFont="1" applyFill="1" applyBorder="1" applyAlignment="1">
      <alignment vertical="center"/>
    </xf>
    <xf numFmtId="0" fontId="7" fillId="2" borderId="0" xfId="2" applyFont="1" applyFill="1" applyAlignment="1">
      <alignment wrapText="1"/>
    </xf>
    <xf numFmtId="166" fontId="14" fillId="2" borderId="0" xfId="2" applyNumberFormat="1" applyFont="1" applyFill="1" applyBorder="1" applyAlignment="1">
      <alignment horizontal="center"/>
    </xf>
    <xf numFmtId="166" fontId="4" fillId="3" borderId="0" xfId="2" applyNumberFormat="1" applyFont="1" applyFill="1" applyBorder="1" applyAlignment="1">
      <alignment wrapText="1"/>
    </xf>
    <xf numFmtId="49" fontId="4" fillId="2" borderId="0" xfId="2" applyNumberFormat="1" applyFont="1" applyFill="1" applyBorder="1" applyAlignment="1">
      <alignment wrapText="1"/>
    </xf>
    <xf numFmtId="0" fontId="4" fillId="2" borderId="0" xfId="2" applyFont="1" applyFill="1" applyAlignment="1">
      <alignment horizontal="center"/>
    </xf>
    <xf numFmtId="166" fontId="4" fillId="3" borderId="0" xfId="2" applyNumberFormat="1" applyFont="1" applyFill="1" applyBorder="1" applyAlignment="1">
      <alignment horizontal="center" wrapText="1"/>
    </xf>
    <xf numFmtId="0" fontId="37" fillId="2" borderId="0" xfId="2" applyFont="1" applyFill="1" applyBorder="1" applyAlignment="1">
      <alignment vertical="center" wrapText="1"/>
    </xf>
    <xf numFmtId="16" fontId="4" fillId="3" borderId="0" xfId="2" applyNumberFormat="1" applyFont="1" applyFill="1" applyBorder="1" applyAlignment="1">
      <alignment horizontal="center" wrapText="1"/>
    </xf>
    <xf numFmtId="0" fontId="37" fillId="2" borderId="0" xfId="2" applyFont="1" applyFill="1" applyAlignment="1"/>
    <xf numFmtId="0" fontId="37" fillId="2" borderId="0" xfId="2" applyFont="1" applyFill="1" applyBorder="1" applyAlignment="1">
      <alignment wrapText="1"/>
    </xf>
    <xf numFmtId="0" fontId="37" fillId="2" borderId="0" xfId="2" applyFont="1" applyFill="1" applyBorder="1" applyAlignment="1">
      <alignment horizontal="center" wrapText="1"/>
    </xf>
    <xf numFmtId="2" fontId="4" fillId="2" borderId="0" xfId="2" applyNumberFormat="1" applyFont="1" applyFill="1"/>
    <xf numFmtId="166" fontId="4" fillId="3" borderId="93" xfId="2" applyNumberFormat="1" applyFont="1" applyFill="1" applyBorder="1" applyAlignment="1">
      <alignment horizontal="left" vertical="center" wrapText="1"/>
    </xf>
    <xf numFmtId="166" fontId="4" fillId="14" borderId="0" xfId="2" applyNumberFormat="1" applyFont="1" applyFill="1" applyBorder="1" applyAlignment="1">
      <alignment horizontal="center" wrapText="1"/>
    </xf>
    <xf numFmtId="3" fontId="4" fillId="2" borderId="0" xfId="2" applyNumberFormat="1" applyFont="1" applyFill="1"/>
    <xf numFmtId="166" fontId="18" fillId="3" borderId="0" xfId="2" applyNumberFormat="1" applyFont="1" applyFill="1" applyBorder="1" applyAlignment="1">
      <alignment horizontal="center" vertical="center" wrapText="1"/>
    </xf>
    <xf numFmtId="166" fontId="37" fillId="3" borderId="0" xfId="2" applyNumberFormat="1" applyFont="1" applyFill="1" applyBorder="1" applyAlignment="1">
      <alignment vertical="center" wrapText="1"/>
    </xf>
    <xf numFmtId="166" fontId="37" fillId="3" borderId="0" xfId="2" applyNumberFormat="1" applyFont="1" applyFill="1" applyBorder="1" applyAlignment="1">
      <alignment horizontal="left" wrapText="1"/>
    </xf>
    <xf numFmtId="166" fontId="37" fillId="3" borderId="0" xfId="2" applyNumberFormat="1" applyFont="1" applyFill="1" applyBorder="1" applyAlignment="1">
      <alignment horizontal="center" wrapText="1"/>
    </xf>
    <xf numFmtId="0" fontId="48" fillId="14" borderId="0" xfId="2" applyFont="1" applyFill="1" applyAlignment="1">
      <alignment horizontal="left" vertical="center" wrapText="1"/>
    </xf>
    <xf numFmtId="0" fontId="48" fillId="14" borderId="0" xfId="2" applyFont="1" applyFill="1" applyAlignment="1">
      <alignment vertical="top" wrapText="1"/>
    </xf>
    <xf numFmtId="166" fontId="4" fillId="3" borderId="0" xfId="2" applyNumberFormat="1" applyFont="1" applyFill="1" applyBorder="1" applyAlignment="1">
      <alignment horizontal="left" vertical="top" wrapText="1"/>
    </xf>
    <xf numFmtId="0" fontId="37" fillId="2" borderId="0" xfId="2" applyFont="1" applyFill="1"/>
    <xf numFmtId="0" fontId="50" fillId="3" borderId="0" xfId="2" applyFont="1" applyFill="1" applyAlignment="1">
      <alignment vertical="center" wrapText="1"/>
    </xf>
    <xf numFmtId="0" fontId="50" fillId="2" borderId="0" xfId="2" applyFont="1" applyFill="1" applyAlignment="1">
      <alignment vertical="center" wrapText="1"/>
    </xf>
    <xf numFmtId="166" fontId="50" fillId="3" borderId="0" xfId="2" applyNumberFormat="1" applyFont="1" applyFill="1" applyBorder="1" applyAlignment="1">
      <alignment vertical="center" wrapText="1"/>
    </xf>
    <xf numFmtId="3" fontId="4" fillId="2" borderId="0" xfId="2" applyNumberFormat="1" applyFont="1" applyFill="1" applyBorder="1"/>
    <xf numFmtId="166" fontId="50" fillId="3" borderId="0" xfId="2" applyNumberFormat="1" applyFont="1" applyFill="1" applyBorder="1" applyAlignment="1">
      <alignment wrapText="1"/>
    </xf>
    <xf numFmtId="16" fontId="4" fillId="3" borderId="0" xfId="2" applyNumberFormat="1" applyFont="1" applyFill="1" applyBorder="1" applyAlignment="1">
      <alignment horizontal="left" wrapText="1"/>
    </xf>
    <xf numFmtId="166" fontId="50" fillId="3" borderId="0" xfId="2" applyNumberFormat="1" applyFont="1" applyFill="1" applyBorder="1" applyAlignment="1">
      <alignment horizontal="center" wrapText="1"/>
    </xf>
    <xf numFmtId="166" fontId="4" fillId="14" borderId="0" xfId="2" applyNumberFormat="1" applyFont="1" applyFill="1" applyBorder="1" applyAlignment="1">
      <alignment wrapText="1"/>
    </xf>
    <xf numFmtId="0" fontId="50" fillId="2" borderId="0" xfId="2" applyFont="1" applyFill="1" applyBorder="1" applyAlignment="1">
      <alignment wrapText="1"/>
    </xf>
    <xf numFmtId="0" fontId="4" fillId="2" borderId="0" xfId="2" applyFont="1" applyFill="1" applyAlignment="1">
      <alignment horizontal="left"/>
    </xf>
    <xf numFmtId="0" fontId="50" fillId="2" borderId="0" xfId="2" applyFont="1" applyFill="1" applyBorder="1" applyAlignment="1">
      <alignment vertical="center" wrapText="1"/>
    </xf>
    <xf numFmtId="0" fontId="4" fillId="2" borderId="0" xfId="2" applyFont="1" applyFill="1" applyBorder="1" applyAlignment="1">
      <alignment wrapText="1"/>
    </xf>
    <xf numFmtId="0" fontId="40" fillId="3" borderId="88" xfId="0" applyFont="1" applyFill="1" applyBorder="1" applyAlignment="1">
      <alignment horizontal="left" vertical="center"/>
    </xf>
    <xf numFmtId="0" fontId="4" fillId="3" borderId="96" xfId="2" applyFont="1" applyFill="1" applyBorder="1" applyAlignment="1">
      <alignment horizontal="right" vertical="center"/>
    </xf>
    <xf numFmtId="0" fontId="4" fillId="3" borderId="97" xfId="2" applyFont="1" applyFill="1" applyBorder="1" applyAlignment="1">
      <alignment horizontal="left" vertical="center" wrapText="1"/>
    </xf>
    <xf numFmtId="164" fontId="15" fillId="3" borderId="98" xfId="1" applyNumberFormat="1" applyFont="1" applyFill="1" applyBorder="1" applyAlignment="1">
      <alignment horizontal="right" vertical="center"/>
    </xf>
    <xf numFmtId="164" fontId="15" fillId="3" borderId="97" xfId="1" applyNumberFormat="1" applyFont="1" applyFill="1" applyBorder="1" applyAlignment="1">
      <alignment horizontal="right" vertical="center"/>
    </xf>
    <xf numFmtId="164" fontId="4" fillId="3" borderId="98" xfId="1" applyNumberFormat="1" applyFont="1" applyFill="1" applyBorder="1" applyAlignment="1">
      <alignment horizontal="right" vertical="center"/>
    </xf>
    <xf numFmtId="164" fontId="4" fillId="3" borderId="97" xfId="1" applyNumberFormat="1" applyFont="1" applyFill="1" applyBorder="1" applyAlignment="1">
      <alignment horizontal="right" vertical="center"/>
    </xf>
    <xf numFmtId="164" fontId="4" fillId="3" borderId="99" xfId="1" applyNumberFormat="1" applyFont="1" applyFill="1" applyBorder="1" applyAlignment="1">
      <alignment horizontal="right" vertical="center"/>
    </xf>
    <xf numFmtId="0" fontId="4" fillId="9" borderId="96" xfId="2" applyFont="1" applyFill="1" applyBorder="1" applyAlignment="1">
      <alignment horizontal="right" vertical="center" wrapText="1"/>
    </xf>
    <xf numFmtId="0" fontId="4" fillId="9" borderId="97" xfId="2" applyFont="1" applyFill="1" applyBorder="1" applyAlignment="1">
      <alignment horizontal="left" vertical="center"/>
    </xf>
    <xf numFmtId="166" fontId="15" fillId="9" borderId="98" xfId="2" applyNumberFormat="1" applyFont="1" applyFill="1" applyBorder="1" applyAlignment="1">
      <alignment horizontal="right" vertical="center"/>
    </xf>
    <xf numFmtId="166" fontId="15" fillId="9" borderId="97" xfId="2" applyNumberFormat="1" applyFont="1" applyFill="1" applyBorder="1" applyAlignment="1">
      <alignment horizontal="right" vertical="center"/>
    </xf>
    <xf numFmtId="166" fontId="4" fillId="9" borderId="98" xfId="2" applyNumberFormat="1" applyFont="1" applyFill="1" applyBorder="1" applyAlignment="1">
      <alignment horizontal="right" vertical="center"/>
    </xf>
    <xf numFmtId="166" fontId="4" fillId="9" borderId="97" xfId="2" applyNumberFormat="1" applyFont="1" applyFill="1" applyBorder="1" applyAlignment="1">
      <alignment horizontal="right" vertical="center"/>
    </xf>
    <xf numFmtId="166" fontId="4" fillId="9" borderId="99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/>
    </xf>
    <xf numFmtId="0" fontId="4" fillId="2" borderId="37" xfId="2" applyFont="1" applyFill="1" applyBorder="1"/>
    <xf numFmtId="3" fontId="4" fillId="9" borderId="33" xfId="0" applyNumberFormat="1" applyFont="1" applyFill="1" applyBorder="1" applyAlignment="1"/>
    <xf numFmtId="3" fontId="4" fillId="9" borderId="1" xfId="0" applyNumberFormat="1" applyFont="1" applyFill="1" applyBorder="1" applyAlignment="1"/>
    <xf numFmtId="166" fontId="4" fillId="9" borderId="3" xfId="0" applyNumberFormat="1" applyFont="1" applyFill="1" applyBorder="1" applyAlignment="1">
      <alignment horizontal="center"/>
    </xf>
    <xf numFmtId="166" fontId="15" fillId="12" borderId="0" xfId="2" applyNumberFormat="1" applyFont="1" applyFill="1" applyBorder="1" applyAlignment="1">
      <alignment horizontal="right" vertical="center"/>
    </xf>
    <xf numFmtId="166" fontId="15" fillId="12" borderId="9" xfId="2" applyNumberFormat="1" applyFont="1" applyFill="1" applyBorder="1" applyAlignment="1">
      <alignment horizontal="right" vertical="center"/>
    </xf>
    <xf numFmtId="166" fontId="4" fillId="12" borderId="0" xfId="2" applyNumberFormat="1" applyFont="1" applyFill="1" applyBorder="1" applyAlignment="1">
      <alignment horizontal="right" vertical="center"/>
    </xf>
    <xf numFmtId="166" fontId="4" fillId="12" borderId="9" xfId="2" applyNumberFormat="1" applyFont="1" applyFill="1" applyBorder="1" applyAlignment="1">
      <alignment horizontal="right" vertical="center"/>
    </xf>
    <xf numFmtId="166" fontId="4" fillId="12" borderId="37" xfId="2" applyNumberFormat="1" applyFont="1" applyFill="1" applyBorder="1" applyAlignment="1">
      <alignment horizontal="right" vertical="center"/>
    </xf>
    <xf numFmtId="1" fontId="4" fillId="3" borderId="0" xfId="2" applyNumberFormat="1" applyFont="1" applyFill="1" applyAlignment="1">
      <alignment horizontal="right"/>
    </xf>
    <xf numFmtId="0" fontId="4" fillId="2" borderId="96" xfId="2" applyFont="1" applyFill="1" applyBorder="1" applyAlignment="1">
      <alignment horizontal="right" vertical="center"/>
    </xf>
    <xf numFmtId="0" fontId="4" fillId="3" borderId="97" xfId="2" applyFont="1" applyFill="1" applyBorder="1" applyAlignment="1">
      <alignment horizontal="left" vertical="center"/>
    </xf>
    <xf numFmtId="166" fontId="15" fillId="3" borderId="98" xfId="2" applyNumberFormat="1" applyFont="1" applyFill="1" applyBorder="1" applyAlignment="1">
      <alignment horizontal="right" vertical="center"/>
    </xf>
    <xf numFmtId="166" fontId="15" fillId="3" borderId="97" xfId="2" applyNumberFormat="1" applyFont="1" applyFill="1" applyBorder="1" applyAlignment="1">
      <alignment horizontal="right" vertical="center"/>
    </xf>
    <xf numFmtId="166" fontId="4" fillId="3" borderId="98" xfId="2" applyNumberFormat="1" applyFont="1" applyFill="1" applyBorder="1" applyAlignment="1">
      <alignment horizontal="right" vertical="center"/>
    </xf>
    <xf numFmtId="166" fontId="4" fillId="3" borderId="97" xfId="2" applyNumberFormat="1" applyFont="1" applyFill="1" applyBorder="1" applyAlignment="1">
      <alignment horizontal="right" vertical="center"/>
    </xf>
    <xf numFmtId="166" fontId="4" fillId="3" borderId="99" xfId="2" applyNumberFormat="1" applyFont="1" applyFill="1" applyBorder="1" applyAlignment="1">
      <alignment horizontal="right" vertical="center"/>
    </xf>
    <xf numFmtId="0" fontId="3" fillId="2" borderId="0" xfId="2" applyFont="1" applyFill="1" applyBorder="1" applyAlignment="1">
      <alignment horizontal="right"/>
    </xf>
    <xf numFmtId="0" fontId="3" fillId="2" borderId="61" xfId="2" applyFont="1" applyFill="1" applyBorder="1"/>
    <xf numFmtId="0" fontId="3" fillId="2" borderId="70" xfId="2" applyFont="1" applyFill="1" applyBorder="1"/>
    <xf numFmtId="0" fontId="3" fillId="2" borderId="100" xfId="2" applyFont="1" applyFill="1" applyBorder="1"/>
    <xf numFmtId="0" fontId="37" fillId="2" borderId="87" xfId="2" applyFont="1" applyFill="1" applyBorder="1" applyAlignment="1">
      <alignment horizontal="right"/>
    </xf>
    <xf numFmtId="166" fontId="37" fillId="3" borderId="101" xfId="2" applyNumberFormat="1" applyFont="1" applyFill="1" applyBorder="1" applyAlignment="1">
      <alignment horizontal="right" vertical="center"/>
    </xf>
    <xf numFmtId="0" fontId="37" fillId="2" borderId="89" xfId="2" applyFont="1" applyFill="1" applyBorder="1" applyAlignment="1">
      <alignment horizontal="right"/>
    </xf>
    <xf numFmtId="166" fontId="37" fillId="3" borderId="102" xfId="2" applyNumberFormat="1" applyFont="1" applyFill="1" applyBorder="1" applyAlignment="1">
      <alignment horizontal="right" vertical="center"/>
    </xf>
    <xf numFmtId="165" fontId="37" fillId="2" borderId="90" xfId="2" applyNumberFormat="1" applyFont="1" applyFill="1" applyBorder="1"/>
    <xf numFmtId="165" fontId="37" fillId="2" borderId="91" xfId="2" applyNumberFormat="1" applyFont="1" applyFill="1" applyBorder="1"/>
    <xf numFmtId="165" fontId="37" fillId="2" borderId="87" xfId="2" applyNumberFormat="1" applyFont="1" applyFill="1" applyBorder="1"/>
    <xf numFmtId="165" fontId="37" fillId="2" borderId="86" xfId="2" applyNumberFormat="1" applyFont="1" applyFill="1" applyBorder="1"/>
    <xf numFmtId="165" fontId="37" fillId="2" borderId="89" xfId="2" applyNumberFormat="1" applyFont="1" applyFill="1" applyBorder="1"/>
    <xf numFmtId="165" fontId="37" fillId="2" borderId="88" xfId="2" applyNumberFormat="1" applyFont="1" applyFill="1" applyBorder="1"/>
    <xf numFmtId="166" fontId="44" fillId="3" borderId="0" xfId="2" applyNumberFormat="1" applyFont="1" applyFill="1" applyBorder="1" applyAlignment="1">
      <alignment vertical="center" wrapText="1"/>
    </xf>
    <xf numFmtId="0" fontId="49" fillId="2" borderId="0" xfId="2" applyFont="1" applyFill="1" applyAlignment="1"/>
    <xf numFmtId="3" fontId="18" fillId="3" borderId="0" xfId="2" applyNumberFormat="1" applyFont="1" applyFill="1" applyBorder="1" applyAlignment="1">
      <alignment vertical="center" wrapText="1"/>
    </xf>
    <xf numFmtId="0" fontId="4" fillId="2" borderId="0" xfId="2" applyFont="1" applyFill="1" applyAlignment="1"/>
    <xf numFmtId="0" fontId="40" fillId="3" borderId="70" xfId="0" applyFont="1" applyFill="1" applyBorder="1" applyAlignment="1">
      <alignment horizontal="left" vertical="center"/>
    </xf>
    <xf numFmtId="1" fontId="17" fillId="2" borderId="0" xfId="2" applyNumberFormat="1" applyFont="1" applyFill="1"/>
    <xf numFmtId="14" fontId="18" fillId="2" borderId="0" xfId="0" applyNumberFormat="1" applyFont="1" applyFill="1" applyBorder="1"/>
    <xf numFmtId="168" fontId="3" fillId="2" borderId="0" xfId="0" applyNumberFormat="1" applyFont="1" applyFill="1" applyBorder="1"/>
    <xf numFmtId="14" fontId="18" fillId="3" borderId="0" xfId="0" applyNumberFormat="1" applyFont="1" applyFill="1"/>
    <xf numFmtId="9" fontId="46" fillId="2" borderId="0" xfId="1" applyFont="1" applyFill="1"/>
    <xf numFmtId="1" fontId="39" fillId="13" borderId="45" xfId="2" applyNumberFormat="1" applyFont="1" applyFill="1" applyBorder="1" applyAlignment="1">
      <alignment horizontal="center" vertical="center" wrapText="1"/>
    </xf>
    <xf numFmtId="1" fontId="38" fillId="3" borderId="0" xfId="2" applyNumberFormat="1" applyFont="1" applyFill="1" applyBorder="1" applyAlignment="1">
      <alignment horizontal="center" vertical="center" wrapText="1"/>
    </xf>
    <xf numFmtId="1" fontId="38" fillId="3" borderId="47" xfId="2" applyNumberFormat="1" applyFont="1" applyFill="1" applyBorder="1" applyAlignment="1">
      <alignment horizontal="center" vertical="center" wrapText="1"/>
    </xf>
    <xf numFmtId="0" fontId="41" fillId="10" borderId="57" xfId="0" applyFont="1" applyFill="1" applyBorder="1" applyAlignment="1">
      <alignment horizontal="center" vertical="center"/>
    </xf>
    <xf numFmtId="0" fontId="41" fillId="10" borderId="5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32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26" fillId="10" borderId="56" xfId="0" applyFont="1" applyFill="1" applyBorder="1" applyAlignment="1">
      <alignment horizontal="center" vertical="center"/>
    </xf>
    <xf numFmtId="0" fontId="26" fillId="10" borderId="6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2" applyFont="1" applyFill="1" applyBorder="1" applyAlignment="1">
      <alignment horizontal="left" wrapText="1"/>
    </xf>
    <xf numFmtId="0" fontId="32" fillId="3" borderId="0" xfId="2" applyFont="1" applyFill="1" applyBorder="1" applyAlignment="1">
      <alignment horizontal="right" vertical="center"/>
    </xf>
    <xf numFmtId="0" fontId="7" fillId="2" borderId="0" xfId="2" applyFont="1" applyFill="1" applyAlignment="1">
      <alignment horizontal="left" wrapText="1"/>
    </xf>
    <xf numFmtId="0" fontId="14" fillId="3" borderId="0" xfId="2" applyFont="1" applyFill="1" applyBorder="1" applyAlignment="1">
      <alignment horizont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3" fontId="4" fillId="2" borderId="8" xfId="2" applyNumberFormat="1" applyFont="1" applyFill="1" applyBorder="1" applyAlignment="1">
      <alignment horizontal="center" vertical="center" wrapText="1"/>
    </xf>
    <xf numFmtId="3" fontId="4" fillId="2" borderId="0" xfId="2" applyNumberFormat="1" applyFont="1" applyFill="1" applyBorder="1" applyAlignment="1">
      <alignment horizontal="center" vertical="center" wrapText="1"/>
    </xf>
    <xf numFmtId="3" fontId="4" fillId="2" borderId="9" xfId="2" applyNumberFormat="1" applyFont="1" applyFill="1" applyBorder="1" applyAlignment="1">
      <alignment horizontal="center" vertical="center" wrapText="1"/>
    </xf>
    <xf numFmtId="3" fontId="4" fillId="2" borderId="11" xfId="2" applyNumberFormat="1" applyFont="1" applyFill="1" applyBorder="1" applyAlignment="1">
      <alignment horizontal="center" vertical="center" wrapText="1"/>
    </xf>
    <xf numFmtId="3" fontId="4" fillId="2" borderId="12" xfId="2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right" vertical="center" wrapText="1"/>
    </xf>
    <xf numFmtId="0" fontId="32" fillId="2" borderId="0" xfId="2" applyFont="1" applyFill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wrapText="1"/>
    </xf>
    <xf numFmtId="0" fontId="4" fillId="2" borderId="11" xfId="0" applyFont="1" applyFill="1" applyBorder="1" applyAlignment="1">
      <alignment horizontal="right" wrapText="1"/>
    </xf>
    <xf numFmtId="1" fontId="36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4" fillId="2" borderId="0" xfId="0" applyFont="1" applyFill="1" applyBorder="1" applyAlignment="1">
      <alignment horizontal="center" wrapText="1"/>
    </xf>
    <xf numFmtId="0" fontId="44" fillId="2" borderId="61" xfId="0" applyFont="1" applyFill="1" applyBorder="1" applyAlignment="1">
      <alignment horizontal="center" wrapText="1"/>
    </xf>
    <xf numFmtId="0" fontId="44" fillId="2" borderId="62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center" vertical="top" wrapText="1"/>
    </xf>
    <xf numFmtId="0" fontId="4" fillId="9" borderId="0" xfId="0" applyFont="1" applyFill="1" applyBorder="1" applyAlignment="1">
      <alignment horizontal="right" vertical="center"/>
    </xf>
    <xf numFmtId="0" fontId="4" fillId="9" borderId="9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0" fontId="44" fillId="2" borderId="36" xfId="0" applyFont="1" applyFill="1" applyBorder="1" applyAlignment="1">
      <alignment horizontal="center" wrapText="1"/>
    </xf>
    <xf numFmtId="0" fontId="44" fillId="2" borderId="72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32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4" fillId="9" borderId="15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/>
    </xf>
    <xf numFmtId="1" fontId="36" fillId="2" borderId="0" xfId="0" applyNumberFormat="1" applyFont="1" applyFill="1" applyBorder="1" applyAlignment="1">
      <alignment horizontal="left"/>
    </xf>
    <xf numFmtId="0" fontId="36" fillId="2" borderId="0" xfId="0" applyFont="1" applyFill="1" applyBorder="1" applyAlignment="1">
      <alignment horizontal="left"/>
    </xf>
    <xf numFmtId="1" fontId="36" fillId="3" borderId="0" xfId="0" applyNumberFormat="1" applyFont="1" applyFill="1" applyBorder="1" applyAlignment="1">
      <alignment horizontal="right" wrapText="1"/>
    </xf>
    <xf numFmtId="0" fontId="36" fillId="3" borderId="0" xfId="0" applyFont="1" applyFill="1" applyBorder="1" applyAlignment="1">
      <alignment horizontal="right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/>
    </xf>
    <xf numFmtId="1" fontId="36" fillId="2" borderId="0" xfId="2" applyNumberFormat="1" applyFont="1" applyFill="1" applyAlignment="1">
      <alignment horizontal="center"/>
    </xf>
    <xf numFmtId="0" fontId="4" fillId="2" borderId="5" xfId="2" applyFont="1" applyFill="1" applyBorder="1" applyAlignment="1">
      <alignment horizontal="center" vertical="center" wrapText="1"/>
    </xf>
    <xf numFmtId="0" fontId="37" fillId="2" borderId="87" xfId="2" applyFont="1" applyFill="1" applyBorder="1" applyAlignment="1">
      <alignment horizontal="right"/>
    </xf>
    <xf numFmtId="0" fontId="37" fillId="2" borderId="89" xfId="2" applyFont="1" applyFill="1" applyBorder="1" applyAlignment="1">
      <alignment horizontal="right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82" xfId="2" applyFont="1" applyFill="1" applyBorder="1" applyAlignment="1">
      <alignment horizontal="center" vertical="center" wrapText="1"/>
    </xf>
    <xf numFmtId="0" fontId="4" fillId="9" borderId="0" xfId="2" applyFont="1" applyFill="1" applyBorder="1" applyAlignment="1">
      <alignment horizontal="center" vertical="center" wrapText="1"/>
    </xf>
    <xf numFmtId="0" fontId="4" fillId="9" borderId="11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9" borderId="5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 wrapText="1"/>
    </xf>
    <xf numFmtId="0" fontId="4" fillId="3" borderId="32" xfId="2" applyFont="1" applyFill="1" applyBorder="1" applyAlignment="1">
      <alignment horizontal="center" wrapText="1"/>
    </xf>
    <xf numFmtId="1" fontId="36" fillId="3" borderId="0" xfId="2" applyNumberFormat="1" applyFont="1" applyFill="1" applyBorder="1" applyAlignment="1">
      <alignment horizontal="center" wrapText="1"/>
    </xf>
    <xf numFmtId="0" fontId="36" fillId="3" borderId="0" xfId="2" applyFont="1" applyFill="1" applyBorder="1" applyAlignment="1">
      <alignment horizontal="center" wrapText="1"/>
    </xf>
    <xf numFmtId="0" fontId="34" fillId="3" borderId="0" xfId="2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1" fontId="4" fillId="2" borderId="35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left"/>
    </xf>
    <xf numFmtId="0" fontId="17" fillId="2" borderId="0" xfId="2" applyFont="1" applyFill="1" applyBorder="1" applyAlignment="1">
      <alignment horizontal="center" vertical="center"/>
    </xf>
    <xf numFmtId="0" fontId="17" fillId="2" borderId="11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 wrapText="1"/>
    </xf>
    <xf numFmtId="0" fontId="17" fillId="2" borderId="13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17" fillId="2" borderId="13" xfId="2" applyFont="1" applyFill="1" applyBorder="1" applyAlignment="1">
      <alignment horizontal="center" vertical="center"/>
    </xf>
    <xf numFmtId="3" fontId="18" fillId="15" borderId="0" xfId="2" applyNumberFormat="1" applyFont="1" applyFill="1" applyBorder="1" applyAlignment="1">
      <alignment horizontal="center" vertical="center" wrapText="1"/>
    </xf>
    <xf numFmtId="166" fontId="44" fillId="9" borderId="0" xfId="2" applyNumberFormat="1" applyFont="1" applyFill="1" applyBorder="1" applyAlignment="1">
      <alignment horizontal="center" vertical="center" wrapText="1"/>
    </xf>
    <xf numFmtId="3" fontId="18" fillId="16" borderId="0" xfId="2" applyNumberFormat="1" applyFont="1" applyFill="1" applyBorder="1" applyAlignment="1">
      <alignment horizontal="center" vertical="center" wrapText="1"/>
    </xf>
    <xf numFmtId="3" fontId="18" fillId="16" borderId="95" xfId="2" applyNumberFormat="1" applyFont="1" applyFill="1" applyBorder="1" applyAlignment="1">
      <alignment horizontal="center" vertical="center" wrapText="1"/>
    </xf>
    <xf numFmtId="3" fontId="18" fillId="16" borderId="94" xfId="2" applyNumberFormat="1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left" vertical="center" wrapText="1"/>
    </xf>
    <xf numFmtId="0" fontId="47" fillId="2" borderId="0" xfId="2" applyFont="1" applyFill="1" applyAlignment="1">
      <alignment horizontal="center" wrapText="1"/>
    </xf>
    <xf numFmtId="3" fontId="18" fillId="10" borderId="0" xfId="2" applyNumberFormat="1" applyFont="1" applyFill="1" applyBorder="1" applyAlignment="1">
      <alignment horizontal="center" vertical="center" wrapText="1"/>
    </xf>
    <xf numFmtId="0" fontId="48" fillId="14" borderId="0" xfId="2" applyFont="1" applyFill="1" applyAlignment="1">
      <alignment horizontal="center" vertical="center" wrapText="1"/>
    </xf>
    <xf numFmtId="0" fontId="48" fillId="14" borderId="0" xfId="2" applyFont="1" applyFill="1" applyAlignment="1">
      <alignment horizontal="center" vertical="center"/>
    </xf>
    <xf numFmtId="166" fontId="4" fillId="3" borderId="0" xfId="2" applyNumberFormat="1" applyFont="1" applyFill="1" applyBorder="1" applyAlignment="1">
      <alignment horizontal="left" wrapText="1"/>
    </xf>
    <xf numFmtId="166" fontId="4" fillId="3" borderId="0" xfId="2" applyNumberFormat="1" applyFont="1" applyFill="1" applyBorder="1" applyAlignment="1">
      <alignment horizontal="center" wrapText="1"/>
    </xf>
    <xf numFmtId="0" fontId="37" fillId="2" borderId="0" xfId="2" applyFont="1" applyFill="1" applyAlignment="1">
      <alignment horizontal="left" vertical="center" wrapText="1"/>
    </xf>
    <xf numFmtId="0" fontId="37" fillId="2" borderId="0" xfId="2" applyFont="1" applyFill="1" applyAlignment="1">
      <alignment horizontal="left" vertical="center"/>
    </xf>
    <xf numFmtId="3" fontId="44" fillId="9" borderId="0" xfId="2" applyNumberFormat="1" applyFont="1" applyFill="1" applyBorder="1" applyAlignment="1">
      <alignment horizontal="center" vertical="center" wrapText="1"/>
    </xf>
    <xf numFmtId="166" fontId="42" fillId="3" borderId="0" xfId="2" applyNumberFormat="1" applyFont="1" applyFill="1" applyBorder="1" applyAlignment="1">
      <alignment horizontal="left" wrapText="1"/>
    </xf>
    <xf numFmtId="166" fontId="51" fillId="3" borderId="0" xfId="2" applyNumberFormat="1" applyFont="1" applyFill="1" applyBorder="1" applyAlignment="1">
      <alignment horizontal="center" wrapText="1"/>
    </xf>
    <xf numFmtId="0" fontId="4" fillId="2" borderId="0" xfId="2" applyFont="1" applyFill="1" applyAlignment="1">
      <alignment horizontal="center" wrapText="1"/>
    </xf>
    <xf numFmtId="0" fontId="4" fillId="3" borderId="0" xfId="2" applyFont="1" applyFill="1" applyBorder="1" applyAlignment="1">
      <alignment horizontal="left"/>
    </xf>
    <xf numFmtId="0" fontId="37" fillId="2" borderId="0" xfId="2" applyFont="1" applyFill="1" applyAlignment="1">
      <alignment horizontal="center" vertical="center"/>
    </xf>
    <xf numFmtId="0" fontId="49" fillId="2" borderId="0" xfId="2" applyFont="1" applyFill="1" applyAlignment="1">
      <alignment horizontal="left" vertical="top" wrapText="1"/>
    </xf>
    <xf numFmtId="0" fontId="49" fillId="3" borderId="0" xfId="2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20">
    <cellStyle name="Fixed" xfId="13"/>
    <cellStyle name="Hypertextový odkaz 2" xfId="4"/>
    <cellStyle name="Normální" xfId="0" builtinId="0"/>
    <cellStyle name="Normální 2" xfId="2"/>
    <cellStyle name="Normální 2 2" xfId="14"/>
    <cellStyle name="Normální 2 2 2" xfId="15"/>
    <cellStyle name="Normální 3" xfId="5"/>
    <cellStyle name="Normální 4" xfId="6"/>
    <cellStyle name="Normální 5" xfId="16"/>
    <cellStyle name="Normální 5 2" xfId="17"/>
    <cellStyle name="Normální 5 3" xfId="19"/>
    <cellStyle name="Normální 6" xfId="18"/>
    <cellStyle name="Procenta" xfId="1" builtinId="5"/>
    <cellStyle name="Procenta 2" xfId="7"/>
    <cellStyle name="Procenta 2 2" xfId="3"/>
    <cellStyle name="SAPBEXaggData" xfId="8"/>
    <cellStyle name="SAPBEXaggItem" xfId="9"/>
    <cellStyle name="SAPBEXchaText" xfId="10"/>
    <cellStyle name="SAPBEXstdData" xfId="11"/>
    <cellStyle name="SAPBEXstdItem" xfId="12"/>
  </cellStyles>
  <dxfs count="1">
    <dxf>
      <font>
        <color theme="0" tint="-0.24994659260841701"/>
      </font>
    </dxf>
  </dxfs>
  <tableStyles count="0" defaultTableStyle="TableStyleMedium2" defaultPivotStyle="PivotStyleLight16"/>
  <colors>
    <mruColors>
      <color rgb="FFFFCCFF"/>
      <color rgb="FFFFCC66"/>
      <color rgb="FFFFFFCC"/>
      <color rgb="FFFFFF66"/>
      <color rgb="FFFFFF99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8535414389927"/>
          <c:y val="4.7461420263643514E-2"/>
          <c:w val="0.84025779695687508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8.9686098654708519E-3"/>
                  <c:y val="-1.139601139601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'4'!$F$27:$F$33</c:f>
              <c:numCache>
                <c:formatCode>#,##0</c:formatCode>
                <c:ptCount val="7"/>
                <c:pt idx="0">
                  <c:v>3359.6992668793901</c:v>
                </c:pt>
                <c:pt idx="1">
                  <c:v>-2717.2271621158748</c:v>
                </c:pt>
                <c:pt idx="2">
                  <c:v>40.534314999999999</c:v>
                </c:pt>
                <c:pt idx="3">
                  <c:v>-52.046067999999998</c:v>
                </c:pt>
                <c:pt idx="4">
                  <c:v>13.986095999999998</c:v>
                </c:pt>
                <c:pt idx="5">
                  <c:v>-22.137769122896017</c:v>
                </c:pt>
                <c:pt idx="6">
                  <c:v>-622.80867864061952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'4'!$G$27:$G$33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box"/>
        <c:axId val="117457664"/>
        <c:axId val="117459200"/>
        <c:axId val="0"/>
      </c:bar3DChart>
      <c:catAx>
        <c:axId val="117457664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117459200"/>
        <c:crosses val="autoZero"/>
        <c:auto val="1"/>
        <c:lblAlgn val="ctr"/>
        <c:lblOffset val="100"/>
        <c:noMultiLvlLbl val="0"/>
      </c:catAx>
      <c:valAx>
        <c:axId val="117459200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 m</a:t>
                </a:r>
                <a:r>
                  <a:rPr lang="cs-CZ" b="0" strike="noStrike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3.0559890775984838E-2"/>
              <c:y val="0.17580276824371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7457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(</a:t>
            </a:r>
            <a:r>
              <a:rPr lang="en-US" sz="1200"/>
              <a:t>DOM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'14'!$B$10:$M$10</c:f>
              <c:numCache>
                <c:formatCode>#,##0</c:formatCode>
                <c:ptCount val="12"/>
                <c:pt idx="0">
                  <c:v>17564</c:v>
                </c:pt>
                <c:pt idx="1">
                  <c:v>10538</c:v>
                </c:pt>
                <c:pt idx="2">
                  <c:v>10953</c:v>
                </c:pt>
                <c:pt idx="3">
                  <c:v>11210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37792"/>
        <c:axId val="126755968"/>
      </c:barChart>
      <c:catAx>
        <c:axId val="126737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26755968"/>
        <c:crosses val="autoZero"/>
        <c:auto val="1"/>
        <c:lblAlgn val="ctr"/>
        <c:lblOffset val="100"/>
        <c:noMultiLvlLbl val="0"/>
      </c:catAx>
      <c:valAx>
        <c:axId val="1267559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6737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78034588498219903"/>
        </c:manualLayout>
      </c:layout>
      <c:lineChart>
        <c:grouping val="standard"/>
        <c:varyColors val="0"/>
        <c:ser>
          <c:idx val="0"/>
          <c:order val="0"/>
          <c:tx>
            <c:strRef>
              <c:f>'15'!$T$1</c:f>
              <c:strCache>
                <c:ptCount val="1"/>
                <c:pt idx="0">
                  <c:v>2014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'15'!$T$2:$T$366</c:f>
              <c:numCache>
                <c:formatCode>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28.323624258618793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30.577419431284611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34.384923936924856</c:v>
                </c:pt>
                <c:pt idx="16">
                  <c:v>32.004779962782678</c:v>
                </c:pt>
                <c:pt idx="17">
                  <c:v>28.838252436416099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34.268652363794793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37.604357527995035</c:v>
                </c:pt>
                <c:pt idx="31">
                  <c:v>35.40180564039769</c:v>
                </c:pt>
                <c:pt idx="32">
                  <c:v>36.256133201110949</c:v>
                </c:pt>
                <c:pt idx="33">
                  <c:v>38.572839522920816</c:v>
                </c:pt>
                <c:pt idx="34">
                  <c:v>38.774449049186302</c:v>
                </c:pt>
                <c:pt idx="35">
                  <c:v>38.146355387707018</c:v>
                </c:pt>
                <c:pt idx="36">
                  <c:v>35.601336772849407</c:v>
                </c:pt>
                <c:pt idx="37">
                  <c:v>34.086895744836866</c:v>
                </c:pt>
                <c:pt idx="38">
                  <c:v>28.27191480409385</c:v>
                </c:pt>
                <c:pt idx="39">
                  <c:v>30.067092573339991</c:v>
                </c:pt>
                <c:pt idx="40">
                  <c:v>32.448626975947981</c:v>
                </c:pt>
                <c:pt idx="41">
                  <c:v>32.699052033250474</c:v>
                </c:pt>
                <c:pt idx="42">
                  <c:v>34.882585752032831</c:v>
                </c:pt>
                <c:pt idx="43">
                  <c:v>33.101919421790853</c:v>
                </c:pt>
                <c:pt idx="44">
                  <c:v>31.440608091089793</c:v>
                </c:pt>
                <c:pt idx="45">
                  <c:v>28.101454696781424</c:v>
                </c:pt>
                <c:pt idx="46">
                  <c:v>29.299297569510962</c:v>
                </c:pt>
                <c:pt idx="47">
                  <c:v>30.772013046219641</c:v>
                </c:pt>
                <c:pt idx="48">
                  <c:v>31.843277658628132</c:v>
                </c:pt>
                <c:pt idx="49">
                  <c:v>30.934519984747681</c:v>
                </c:pt>
                <c:pt idx="50">
                  <c:v>29.665237368062613</c:v>
                </c:pt>
                <c:pt idx="51">
                  <c:v>28.690933982194814</c:v>
                </c:pt>
                <c:pt idx="52">
                  <c:v>26.488220342388296</c:v>
                </c:pt>
                <c:pt idx="53">
                  <c:v>27.234455430524132</c:v>
                </c:pt>
                <c:pt idx="54">
                  <c:v>29.906002272638524</c:v>
                </c:pt>
                <c:pt idx="55">
                  <c:v>31.25101908209286</c:v>
                </c:pt>
                <c:pt idx="56">
                  <c:v>30.588975385689579</c:v>
                </c:pt>
                <c:pt idx="57">
                  <c:v>30.438781690691069</c:v>
                </c:pt>
                <c:pt idx="58">
                  <c:v>30.176460467202809</c:v>
                </c:pt>
                <c:pt idx="59">
                  <c:v>26.972210961170788</c:v>
                </c:pt>
                <c:pt idx="60">
                  <c:v>25.663281690544249</c:v>
                </c:pt>
                <c:pt idx="61">
                  <c:v>29.095378971123555</c:v>
                </c:pt>
                <c:pt idx="62">
                  <c:v>28.783560334980706</c:v>
                </c:pt>
                <c:pt idx="63">
                  <c:v>30.254379727024507</c:v>
                </c:pt>
                <c:pt idx="64">
                  <c:v>30.899557070456758</c:v>
                </c:pt>
                <c:pt idx="65">
                  <c:v>28.308059275973523</c:v>
                </c:pt>
                <c:pt idx="66">
                  <c:v>24.33782410442922</c:v>
                </c:pt>
                <c:pt idx="67">
                  <c:v>24.660186937602599</c:v>
                </c:pt>
                <c:pt idx="68">
                  <c:v>26.562216932931666</c:v>
                </c:pt>
                <c:pt idx="69">
                  <c:v>25.574273232705337</c:v>
                </c:pt>
                <c:pt idx="70">
                  <c:v>25.344286920612642</c:v>
                </c:pt>
                <c:pt idx="71">
                  <c:v>24.545954423747514</c:v>
                </c:pt>
                <c:pt idx="72">
                  <c:v>22.59019259581887</c:v>
                </c:pt>
                <c:pt idx="73">
                  <c:v>23.847542653437056</c:v>
                </c:pt>
                <c:pt idx="74">
                  <c:v>23.956114755002901</c:v>
                </c:pt>
                <c:pt idx="75">
                  <c:v>25.065700199484379</c:v>
                </c:pt>
                <c:pt idx="76">
                  <c:v>22.511141909055233</c:v>
                </c:pt>
                <c:pt idx="77">
                  <c:v>24.370961695726791</c:v>
                </c:pt>
                <c:pt idx="78">
                  <c:v>20.078517049785525</c:v>
                </c:pt>
                <c:pt idx="79">
                  <c:v>17.453166014873293</c:v>
                </c:pt>
                <c:pt idx="80">
                  <c:v>15.233368138291082</c:v>
                </c:pt>
                <c:pt idx="81">
                  <c:v>20.936694638516901</c:v>
                </c:pt>
                <c:pt idx="82">
                  <c:v>26.456047238237613</c:v>
                </c:pt>
                <c:pt idx="83">
                  <c:v>26.817220206434342</c:v>
                </c:pt>
                <c:pt idx="84">
                  <c:v>25.921574714853516</c:v>
                </c:pt>
                <c:pt idx="85">
                  <c:v>23.174491647715868</c:v>
                </c:pt>
                <c:pt idx="86">
                  <c:v>21.959607500542024</c:v>
                </c:pt>
                <c:pt idx="87">
                  <c:v>17.409087975599434</c:v>
                </c:pt>
                <c:pt idx="88">
                  <c:v>17.2534749707158</c:v>
                </c:pt>
                <c:pt idx="89">
                  <c:v>22.417243839928457</c:v>
                </c:pt>
                <c:pt idx="90">
                  <c:v>19.912844636720571</c:v>
                </c:pt>
                <c:pt idx="91">
                  <c:v>18.678675095415521</c:v>
                </c:pt>
                <c:pt idx="92">
                  <c:v>18.85328570666216</c:v>
                </c:pt>
                <c:pt idx="93">
                  <c:v>16.457363285482895</c:v>
                </c:pt>
                <c:pt idx="94">
                  <c:v>15.742495912198221</c:v>
                </c:pt>
                <c:pt idx="95">
                  <c:v>16.45697769577739</c:v>
                </c:pt>
                <c:pt idx="96">
                  <c:v>17.069519037856956</c:v>
                </c:pt>
                <c:pt idx="97">
                  <c:v>17.278928058494266</c:v>
                </c:pt>
                <c:pt idx="98">
                  <c:v>20.990001838682609</c:v>
                </c:pt>
                <c:pt idx="99">
                  <c:v>22.603656190404163</c:v>
                </c:pt>
                <c:pt idx="100">
                  <c:v>20.575423070008743</c:v>
                </c:pt>
                <c:pt idx="101">
                  <c:v>16.912020513000446</c:v>
                </c:pt>
                <c:pt idx="102">
                  <c:v>18.28948705386</c:v>
                </c:pt>
                <c:pt idx="103">
                  <c:v>23.767277346728736</c:v>
                </c:pt>
                <c:pt idx="104">
                  <c:v>26.463980480444253</c:v>
                </c:pt>
                <c:pt idx="105">
                  <c:v>25.755912410571373</c:v>
                </c:pt>
                <c:pt idx="106">
                  <c:v>22.988743556549213</c:v>
                </c:pt>
                <c:pt idx="107">
                  <c:v>22.107371793833448</c:v>
                </c:pt>
                <c:pt idx="108">
                  <c:v>16.760777760846324</c:v>
                </c:pt>
                <c:pt idx="109">
                  <c:v>14.747151369772238</c:v>
                </c:pt>
                <c:pt idx="110">
                  <c:v>15.99156011450736</c:v>
                </c:pt>
                <c:pt idx="111">
                  <c:v>17.229384863671001</c:v>
                </c:pt>
                <c:pt idx="112">
                  <c:v>15.47834789744913</c:v>
                </c:pt>
                <c:pt idx="113">
                  <c:v>14.555017812200164</c:v>
                </c:pt>
                <c:pt idx="114">
                  <c:v>13.827656517724851</c:v>
                </c:pt>
                <c:pt idx="115">
                  <c:v>11.756652419321258</c:v>
                </c:pt>
                <c:pt idx="116">
                  <c:v>11.545792216771328</c:v>
                </c:pt>
                <c:pt idx="117">
                  <c:v>13.869957514600513</c:v>
                </c:pt>
                <c:pt idx="118">
                  <c:v>14.202974548155238</c:v>
                </c:pt>
                <c:pt idx="119">
                  <c:v>13.11850774419106</c:v>
                </c:pt>
                <c:pt idx="120">
                  <c:v>11.839500627664977</c:v>
                </c:pt>
                <c:pt idx="121">
                  <c:v>13.530714254331093</c:v>
                </c:pt>
                <c:pt idx="122">
                  <c:v>16.690623805383037</c:v>
                </c:pt>
                <c:pt idx="123">
                  <c:v>16.897915301249057</c:v>
                </c:pt>
                <c:pt idx="124">
                  <c:v>18.958099619848774</c:v>
                </c:pt>
                <c:pt idx="125">
                  <c:v>16.412153539843366</c:v>
                </c:pt>
                <c:pt idx="126">
                  <c:v>16.923185342344148</c:v>
                </c:pt>
                <c:pt idx="127">
                  <c:v>13.588580026644813</c:v>
                </c:pt>
                <c:pt idx="128">
                  <c:v>13.035132222069764</c:v>
                </c:pt>
                <c:pt idx="129">
                  <c:v>11.394917291532799</c:v>
                </c:pt>
                <c:pt idx="130">
                  <c:v>13.100809517095797</c:v>
                </c:pt>
                <c:pt idx="131">
                  <c:v>15.968776169667855</c:v>
                </c:pt>
                <c:pt idx="132">
                  <c:v>16.660640374974943</c:v>
                </c:pt>
                <c:pt idx="133">
                  <c:v>18.08790069134259</c:v>
                </c:pt>
                <c:pt idx="134">
                  <c:v>19.465409272283821</c:v>
                </c:pt>
                <c:pt idx="135">
                  <c:v>19.278662465318448</c:v>
                </c:pt>
                <c:pt idx="136">
                  <c:v>16.827935520045752</c:v>
                </c:pt>
                <c:pt idx="137">
                  <c:v>16.379231071060332</c:v>
                </c:pt>
                <c:pt idx="138">
                  <c:v>14.917899861760551</c:v>
                </c:pt>
                <c:pt idx="139">
                  <c:v>12.582811552043109</c:v>
                </c:pt>
                <c:pt idx="140">
                  <c:v>11.65639295006318</c:v>
                </c:pt>
                <c:pt idx="141">
                  <c:v>11.132254807470311</c:v>
                </c:pt>
                <c:pt idx="142">
                  <c:v>10.478143930618685</c:v>
                </c:pt>
                <c:pt idx="143">
                  <c:v>9.2781211312542951</c:v>
                </c:pt>
                <c:pt idx="144">
                  <c:v>9.656171123571907</c:v>
                </c:pt>
                <c:pt idx="145">
                  <c:v>10.865945761979171</c:v>
                </c:pt>
                <c:pt idx="146">
                  <c:v>11.108612309215228</c:v>
                </c:pt>
                <c:pt idx="147">
                  <c:v>11.808502084814611</c:v>
                </c:pt>
                <c:pt idx="148">
                  <c:v>13.226022867156464</c:v>
                </c:pt>
                <c:pt idx="149">
                  <c:v>12.987815079649232</c:v>
                </c:pt>
                <c:pt idx="150">
                  <c:v>10.185478109816755</c:v>
                </c:pt>
                <c:pt idx="151">
                  <c:v>10.15248238828606</c:v>
                </c:pt>
                <c:pt idx="152">
                  <c:v>11.904707076860088</c:v>
                </c:pt>
                <c:pt idx="153">
                  <c:v>12.10654944422572</c:v>
                </c:pt>
                <c:pt idx="154">
                  <c:v>11.447167474483827</c:v>
                </c:pt>
                <c:pt idx="155">
                  <c:v>11.437560478995836</c:v>
                </c:pt>
                <c:pt idx="156">
                  <c:v>10.650905861959252</c:v>
                </c:pt>
                <c:pt idx="157">
                  <c:v>8.3705384507673894</c:v>
                </c:pt>
                <c:pt idx="158">
                  <c:v>8.5228338222967643</c:v>
                </c:pt>
                <c:pt idx="159">
                  <c:v>9.9708936924618925</c:v>
                </c:pt>
                <c:pt idx="160">
                  <c:v>10.027914164128793</c:v>
                </c:pt>
                <c:pt idx="161">
                  <c:v>10.043812557867874</c:v>
                </c:pt>
                <c:pt idx="162">
                  <c:v>10.241127851957762</c:v>
                </c:pt>
                <c:pt idx="163">
                  <c:v>9.9643058678718344</c:v>
                </c:pt>
                <c:pt idx="164">
                  <c:v>8.3940769619728677</c:v>
                </c:pt>
                <c:pt idx="165">
                  <c:v>8.9615799963818166</c:v>
                </c:pt>
                <c:pt idx="166">
                  <c:v>10.34683262302074</c:v>
                </c:pt>
                <c:pt idx="167">
                  <c:v>10.760986581887041</c:v>
                </c:pt>
                <c:pt idx="168">
                  <c:v>10.600526513886642</c:v>
                </c:pt>
                <c:pt idx="169">
                  <c:v>10.714300434425487</c:v>
                </c:pt>
                <c:pt idx="170">
                  <c:v>10.506713240675518</c:v>
                </c:pt>
                <c:pt idx="171">
                  <c:v>9.0132577703847474</c:v>
                </c:pt>
                <c:pt idx="172">
                  <c:v>9.3324508634722037</c:v>
                </c:pt>
                <c:pt idx="173">
                  <c:v>10.792906177955933</c:v>
                </c:pt>
                <c:pt idx="174">
                  <c:v>10.892712800524903</c:v>
                </c:pt>
                <c:pt idx="175">
                  <c:v>11.272654750154253</c:v>
                </c:pt>
                <c:pt idx="176">
                  <c:v>11.411749418376143</c:v>
                </c:pt>
                <c:pt idx="177">
                  <c:v>10.932077565583153</c:v>
                </c:pt>
                <c:pt idx="178">
                  <c:v>9.1549912511486013</c:v>
                </c:pt>
                <c:pt idx="179">
                  <c:v>9.5811525882221371</c:v>
                </c:pt>
                <c:pt idx="180">
                  <c:v>11.38615884981731</c:v>
                </c:pt>
                <c:pt idx="181">
                  <c:v>11.058233001489125</c:v>
                </c:pt>
                <c:pt idx="182">
                  <c:v>10.945490729591199</c:v>
                </c:pt>
                <c:pt idx="183">
                  <c:v>10.600033656597127</c:v>
                </c:pt>
                <c:pt idx="184">
                  <c:v>11.433981814725991</c:v>
                </c:pt>
                <c:pt idx="185">
                  <c:v>8.4934816050281814</c:v>
                </c:pt>
                <c:pt idx="186">
                  <c:v>8.8607905231701647</c:v>
                </c:pt>
                <c:pt idx="187">
                  <c:v>10.346897647948978</c:v>
                </c:pt>
                <c:pt idx="188">
                  <c:v>10.041092456549947</c:v>
                </c:pt>
                <c:pt idx="189">
                  <c:v>10.599996532461025</c:v>
                </c:pt>
                <c:pt idx="190">
                  <c:v>12.823204404477016</c:v>
                </c:pt>
                <c:pt idx="191">
                  <c:v>12.0528210143035</c:v>
                </c:pt>
                <c:pt idx="192">
                  <c:v>9.5699875809135833</c:v>
                </c:pt>
                <c:pt idx="193">
                  <c:v>8.6325223799616904</c:v>
                </c:pt>
                <c:pt idx="194">
                  <c:v>10.023829644110265</c:v>
                </c:pt>
                <c:pt idx="195">
                  <c:v>9.9774835818951537</c:v>
                </c:pt>
                <c:pt idx="196">
                  <c:v>9.9337418028508626</c:v>
                </c:pt>
                <c:pt idx="197">
                  <c:v>9.8346370207824485</c:v>
                </c:pt>
                <c:pt idx="198">
                  <c:v>9.1789610460226054</c:v>
                </c:pt>
                <c:pt idx="199">
                  <c:v>7.6722663783172056</c:v>
                </c:pt>
                <c:pt idx="200">
                  <c:v>7.8044073243827974</c:v>
                </c:pt>
                <c:pt idx="201">
                  <c:v>9.3012826852739359</c:v>
                </c:pt>
                <c:pt idx="202">
                  <c:v>9.613325478616396</c:v>
                </c:pt>
                <c:pt idx="203">
                  <c:v>10.428420309352932</c:v>
                </c:pt>
                <c:pt idx="204">
                  <c:v>10.63011751680351</c:v>
                </c:pt>
                <c:pt idx="205">
                  <c:v>10.150119335925959</c:v>
                </c:pt>
                <c:pt idx="206">
                  <c:v>8.739314200288657</c:v>
                </c:pt>
                <c:pt idx="207">
                  <c:v>8.6554588637650465</c:v>
                </c:pt>
                <c:pt idx="208">
                  <c:v>10.007400528645363</c:v>
                </c:pt>
                <c:pt idx="209">
                  <c:v>9.3544529085270369</c:v>
                </c:pt>
                <c:pt idx="210">
                  <c:v>9.4523264471237418</c:v>
                </c:pt>
                <c:pt idx="211">
                  <c:v>9.2471253614376749</c:v>
                </c:pt>
                <c:pt idx="212">
                  <c:v>8.7526101351575232</c:v>
                </c:pt>
                <c:pt idx="213">
                  <c:v>7.3398109362101893</c:v>
                </c:pt>
                <c:pt idx="214">
                  <c:v>7.4255598574784685</c:v>
                </c:pt>
                <c:pt idx="215">
                  <c:v>9.928633428250226</c:v>
                </c:pt>
                <c:pt idx="216">
                  <c:v>9.0057527470622318</c:v>
                </c:pt>
                <c:pt idx="217">
                  <c:v>9.0292564269688711</c:v>
                </c:pt>
                <c:pt idx="218">
                  <c:v>10.520128208517267</c:v>
                </c:pt>
                <c:pt idx="219">
                  <c:v>9.7839386392334209</c:v>
                </c:pt>
                <c:pt idx="220">
                  <c:v>7.0910306035338904</c:v>
                </c:pt>
                <c:pt idx="221">
                  <c:v>7.1634838935834511</c:v>
                </c:pt>
                <c:pt idx="222">
                  <c:v>8.8331045259040213</c:v>
                </c:pt>
                <c:pt idx="223">
                  <c:v>9.248917129711181</c:v>
                </c:pt>
                <c:pt idx="224">
                  <c:v>9.5495590540677178</c:v>
                </c:pt>
                <c:pt idx="225">
                  <c:v>9.7385542915261478</c:v>
                </c:pt>
                <c:pt idx="226">
                  <c:v>9.4648779405683712</c:v>
                </c:pt>
                <c:pt idx="227">
                  <c:v>8.1674339130343689</c:v>
                </c:pt>
                <c:pt idx="228">
                  <c:v>8.2641739384361408</c:v>
                </c:pt>
                <c:pt idx="229">
                  <c:v>10.437155900913542</c:v>
                </c:pt>
                <c:pt idx="230">
                  <c:v>10.817177006758481</c:v>
                </c:pt>
                <c:pt idx="231">
                  <c:v>10.876105489382656</c:v>
                </c:pt>
                <c:pt idx="232">
                  <c:v>11.291716303982307</c:v>
                </c:pt>
                <c:pt idx="233">
                  <c:v>10.608889207773215</c:v>
                </c:pt>
                <c:pt idx="234">
                  <c:v>9.0766717210401815</c:v>
                </c:pt>
                <c:pt idx="235">
                  <c:v>9.6811858112596934</c:v>
                </c:pt>
                <c:pt idx="236">
                  <c:v>11.401840931354577</c:v>
                </c:pt>
                <c:pt idx="237">
                  <c:v>12.199019353276988</c:v>
                </c:pt>
                <c:pt idx="238">
                  <c:v>12.040001761096969</c:v>
                </c:pt>
                <c:pt idx="239">
                  <c:v>11.614278045055139</c:v>
                </c:pt>
                <c:pt idx="240">
                  <c:v>12.05634528188342</c:v>
                </c:pt>
                <c:pt idx="241">
                  <c:v>9.031495101169039</c:v>
                </c:pt>
                <c:pt idx="242">
                  <c:v>9.5905805212413799</c:v>
                </c:pt>
                <c:pt idx="243">
                  <c:v>13.326613626984381</c:v>
                </c:pt>
                <c:pt idx="244">
                  <c:v>14.196894787642554</c:v>
                </c:pt>
                <c:pt idx="245">
                  <c:v>12.05878174257896</c:v>
                </c:pt>
                <c:pt idx="246">
                  <c:v>11.152921822205252</c:v>
                </c:pt>
                <c:pt idx="247">
                  <c:v>11.18945156841357</c:v>
                </c:pt>
                <c:pt idx="248">
                  <c:v>8.7177705120471813</c:v>
                </c:pt>
                <c:pt idx="249">
                  <c:v>9.0133461746747372</c:v>
                </c:pt>
                <c:pt idx="250">
                  <c:v>10.548433325279383</c:v>
                </c:pt>
                <c:pt idx="251">
                  <c:v>10.862729181597722</c:v>
                </c:pt>
                <c:pt idx="252">
                  <c:v>11.090167949052262</c:v>
                </c:pt>
                <c:pt idx="253">
                  <c:v>11.666969474165212</c:v>
                </c:pt>
                <c:pt idx="254">
                  <c:v>11.076569173853182</c:v>
                </c:pt>
                <c:pt idx="255">
                  <c:v>9.4018983077620142</c:v>
                </c:pt>
                <c:pt idx="256">
                  <c:v>9.9522193286723191</c:v>
                </c:pt>
                <c:pt idx="257">
                  <c:v>11.503468036013899</c:v>
                </c:pt>
                <c:pt idx="258">
                  <c:v>11.57493681078339</c:v>
                </c:pt>
                <c:pt idx="259">
                  <c:v>12.671244461294396</c:v>
                </c:pt>
                <c:pt idx="260">
                  <c:v>11.989948031649744</c:v>
                </c:pt>
                <c:pt idx="261">
                  <c:v>11.364076094157173</c:v>
                </c:pt>
                <c:pt idx="262">
                  <c:v>9.8209909016072672</c:v>
                </c:pt>
                <c:pt idx="263">
                  <c:v>10.249617120759694</c:v>
                </c:pt>
                <c:pt idx="264">
                  <c:v>13.441887604874745</c:v>
                </c:pt>
                <c:pt idx="265">
                  <c:v>15.490501500711011</c:v>
                </c:pt>
                <c:pt idx="266">
                  <c:v>16.24927609940001</c:v>
                </c:pt>
                <c:pt idx="267">
                  <c:v>15.939579205348613</c:v>
                </c:pt>
                <c:pt idx="268">
                  <c:v>15.784708074920571</c:v>
                </c:pt>
                <c:pt idx="269">
                  <c:v>12.817301637118813</c:v>
                </c:pt>
                <c:pt idx="270">
                  <c:v>12.838785139497604</c:v>
                </c:pt>
                <c:pt idx="271">
                  <c:v>14.427943495360427</c:v>
                </c:pt>
                <c:pt idx="272">
                  <c:v>14.342826680174253</c:v>
                </c:pt>
                <c:pt idx="273">
                  <c:v>14.672599361198165</c:v>
                </c:pt>
                <c:pt idx="274">
                  <c:v>14.937437234854114</c:v>
                </c:pt>
                <c:pt idx="275">
                  <c:v>15.024224818934954</c:v>
                </c:pt>
                <c:pt idx="276">
                  <c:v>14.082394436836998</c:v>
                </c:pt>
                <c:pt idx="277">
                  <c:v>14.703838786388099</c:v>
                </c:pt>
                <c:pt idx="278">
                  <c:v>16.851060623207204</c:v>
                </c:pt>
                <c:pt idx="279">
                  <c:v>17.837122085778574</c:v>
                </c:pt>
                <c:pt idx="280">
                  <c:v>16.556639874486695</c:v>
                </c:pt>
                <c:pt idx="281">
                  <c:v>15.092905475487182</c:v>
                </c:pt>
                <c:pt idx="282">
                  <c:v>14.757388313683579</c:v>
                </c:pt>
                <c:pt idx="283">
                  <c:v>12.577807255365114</c:v>
                </c:pt>
                <c:pt idx="284">
                  <c:v>12.420204680277019</c:v>
                </c:pt>
                <c:pt idx="285">
                  <c:v>14.379633515847994</c:v>
                </c:pt>
                <c:pt idx="286">
                  <c:v>14.975768861072046</c:v>
                </c:pt>
                <c:pt idx="287">
                  <c:v>16.572652806813757</c:v>
                </c:pt>
                <c:pt idx="288">
                  <c:v>16.32268119993379</c:v>
                </c:pt>
                <c:pt idx="289">
                  <c:v>16.501299539387901</c:v>
                </c:pt>
                <c:pt idx="290">
                  <c:v>14.211969279977012</c:v>
                </c:pt>
                <c:pt idx="291">
                  <c:v>14.947717499801447</c:v>
                </c:pt>
                <c:pt idx="292">
                  <c:v>17.188499080847375</c:v>
                </c:pt>
                <c:pt idx="293">
                  <c:v>17.722348648076419</c:v>
                </c:pt>
                <c:pt idx="294">
                  <c:v>22.243381728859848</c:v>
                </c:pt>
                <c:pt idx="295">
                  <c:v>23.527685238451532</c:v>
                </c:pt>
                <c:pt idx="296">
                  <c:v>24.01690304632206</c:v>
                </c:pt>
                <c:pt idx="297">
                  <c:v>22.937737450480171</c:v>
                </c:pt>
                <c:pt idx="298">
                  <c:v>21.763778511162005</c:v>
                </c:pt>
                <c:pt idx="299">
                  <c:v>24.888371905281861</c:v>
                </c:pt>
                <c:pt idx="300">
                  <c:v>25.370627351791391</c:v>
                </c:pt>
                <c:pt idx="301">
                  <c:v>28.2283612955835</c:v>
                </c:pt>
                <c:pt idx="302">
                  <c:v>26.823677433161933</c:v>
                </c:pt>
                <c:pt idx="303">
                  <c:v>24.493415582819839</c:v>
                </c:pt>
                <c:pt idx="304">
                  <c:v>20.912289029639432</c:v>
                </c:pt>
                <c:pt idx="305">
                  <c:v>21.982390211384921</c:v>
                </c:pt>
                <c:pt idx="306">
                  <c:v>25.279865911936046</c:v>
                </c:pt>
                <c:pt idx="307">
                  <c:v>23.073164608872553</c:v>
                </c:pt>
                <c:pt idx="308">
                  <c:v>21.650747595276584</c:v>
                </c:pt>
                <c:pt idx="309">
                  <c:v>22.316157050328712</c:v>
                </c:pt>
                <c:pt idx="310">
                  <c:v>22.275786396136745</c:v>
                </c:pt>
                <c:pt idx="311">
                  <c:v>20.698948451862091</c:v>
                </c:pt>
                <c:pt idx="312">
                  <c:v>21.200649889084382</c:v>
                </c:pt>
                <c:pt idx="313">
                  <c:v>22.81117837236047</c:v>
                </c:pt>
                <c:pt idx="314">
                  <c:v>21.80496826783623</c:v>
                </c:pt>
                <c:pt idx="315">
                  <c:v>21.557851782787974</c:v>
                </c:pt>
                <c:pt idx="316">
                  <c:v>22.454958396599547</c:v>
                </c:pt>
                <c:pt idx="317">
                  <c:v>22.257612890457679</c:v>
                </c:pt>
                <c:pt idx="318">
                  <c:v>19.787129472882192</c:v>
                </c:pt>
                <c:pt idx="319">
                  <c:v>20.345206402121487</c:v>
                </c:pt>
                <c:pt idx="320">
                  <c:v>22.738910999606844</c:v>
                </c:pt>
                <c:pt idx="321">
                  <c:v>25.684126201302274</c:v>
                </c:pt>
                <c:pt idx="322">
                  <c:v>27.277887054788337</c:v>
                </c:pt>
                <c:pt idx="323">
                  <c:v>29.719113556801638</c:v>
                </c:pt>
                <c:pt idx="324">
                  <c:v>29.621216859039418</c:v>
                </c:pt>
                <c:pt idx="325">
                  <c:v>26.33254105264739</c:v>
                </c:pt>
                <c:pt idx="326">
                  <c:v>27.115409336794084</c:v>
                </c:pt>
                <c:pt idx="327">
                  <c:v>30.724654955265521</c:v>
                </c:pt>
                <c:pt idx="328">
                  <c:v>31.346045493034111</c:v>
                </c:pt>
                <c:pt idx="329">
                  <c:v>32.961816098163993</c:v>
                </c:pt>
                <c:pt idx="330">
                  <c:v>34.212026424236335</c:v>
                </c:pt>
                <c:pt idx="331">
                  <c:v>34.11248068993433</c:v>
                </c:pt>
                <c:pt idx="332">
                  <c:v>31.936827460860446</c:v>
                </c:pt>
                <c:pt idx="333">
                  <c:v>32.779629590800965</c:v>
                </c:pt>
                <c:pt idx="334">
                  <c:v>37.854518178144026</c:v>
                </c:pt>
                <c:pt idx="335">
                  <c:v>38.441498500806389</c:v>
                </c:pt>
                <c:pt idx="336">
                  <c:v>36.109693127145711</c:v>
                </c:pt>
                <c:pt idx="337">
                  <c:v>33.026257705300381</c:v>
                </c:pt>
                <c:pt idx="338">
                  <c:v>31.364279491276438</c:v>
                </c:pt>
                <c:pt idx="339">
                  <c:v>28.517927459846142</c:v>
                </c:pt>
                <c:pt idx="340">
                  <c:v>29.51894368749495</c:v>
                </c:pt>
                <c:pt idx="341">
                  <c:v>34.209591018453935</c:v>
                </c:pt>
                <c:pt idx="342">
                  <c:v>37.338847312350239</c:v>
                </c:pt>
                <c:pt idx="343">
                  <c:v>38.204923429852293</c:v>
                </c:pt>
                <c:pt idx="344">
                  <c:v>35.644809926941086</c:v>
                </c:pt>
                <c:pt idx="345">
                  <c:v>31.430502833099503</c:v>
                </c:pt>
                <c:pt idx="346">
                  <c:v>27.420865255375002</c:v>
                </c:pt>
                <c:pt idx="347">
                  <c:v>28.083426580878104</c:v>
                </c:pt>
                <c:pt idx="348">
                  <c:v>30.529867411220717</c:v>
                </c:pt>
                <c:pt idx="349">
                  <c:v>30.919331233765597</c:v>
                </c:pt>
                <c:pt idx="350">
                  <c:v>31.288395402017816</c:v>
                </c:pt>
                <c:pt idx="351">
                  <c:v>28.572530961628207</c:v>
                </c:pt>
                <c:pt idx="352">
                  <c:v>25.029565808429169</c:v>
                </c:pt>
                <c:pt idx="353">
                  <c:v>25.921658317524329</c:v>
                </c:pt>
                <c:pt idx="354">
                  <c:v>27.286221259888482</c:v>
                </c:pt>
                <c:pt idx="355">
                  <c:v>27.236034880550331</c:v>
                </c:pt>
                <c:pt idx="356">
                  <c:v>24.182742733133647</c:v>
                </c:pt>
                <c:pt idx="357">
                  <c:v>23.168486093916595</c:v>
                </c:pt>
                <c:pt idx="358">
                  <c:v>25.0502196645295</c:v>
                </c:pt>
                <c:pt idx="359">
                  <c:v>30.002314163589158</c:v>
                </c:pt>
                <c:pt idx="360">
                  <c:v>33.819575464437477</c:v>
                </c:pt>
                <c:pt idx="361">
                  <c:v>38.256776847175416</c:v>
                </c:pt>
                <c:pt idx="362">
                  <c:v>41.016428883228755</c:v>
                </c:pt>
                <c:pt idx="363">
                  <c:v>40.53163433214683</c:v>
                </c:pt>
                <c:pt idx="364">
                  <c:v>37.874485907892407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'15'!$U$1</c:f>
              <c:strCache>
                <c:ptCount val="1"/>
                <c:pt idx="0">
                  <c:v>2015</c:v>
                </c:pt>
              </c:strCache>
            </c:strRef>
          </c:tx>
          <c:spPr>
            <a:ln w="3175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'15'!$U$2:$U$366</c:f>
              <c:numCache>
                <c:formatCode>0.000</c:formatCode>
                <c:ptCount val="365"/>
                <c:pt idx="0">
                  <c:v>34.064890044007484</c:v>
                </c:pt>
                <c:pt idx="1">
                  <c:v>34.422167061021369</c:v>
                </c:pt>
                <c:pt idx="2">
                  <c:v>32.964357257632088</c:v>
                </c:pt>
                <c:pt idx="3">
                  <c:v>34.923265193104555</c:v>
                </c:pt>
                <c:pt idx="4">
                  <c:v>38.71826912537675</c:v>
                </c:pt>
                <c:pt idx="5">
                  <c:v>39.255939835613098</c:v>
                </c:pt>
                <c:pt idx="6">
                  <c:v>41.345389040398715</c:v>
                </c:pt>
                <c:pt idx="7">
                  <c:v>39.126477683777225</c:v>
                </c:pt>
                <c:pt idx="8">
                  <c:v>33.924466260058615</c:v>
                </c:pt>
                <c:pt idx="9">
                  <c:v>26.684387110760138</c:v>
                </c:pt>
                <c:pt idx="10">
                  <c:v>31.703477973309223</c:v>
                </c:pt>
                <c:pt idx="11">
                  <c:v>34.493693489259286</c:v>
                </c:pt>
                <c:pt idx="12">
                  <c:v>31.606491980922041</c:v>
                </c:pt>
                <c:pt idx="13">
                  <c:v>32.53763604938851</c:v>
                </c:pt>
                <c:pt idx="14">
                  <c:v>33.557131227489101</c:v>
                </c:pt>
                <c:pt idx="15">
                  <c:v>31.887471148067611</c:v>
                </c:pt>
                <c:pt idx="16">
                  <c:v>29.413626425814616</c:v>
                </c:pt>
                <c:pt idx="17">
                  <c:v>30.849765259316179</c:v>
                </c:pt>
                <c:pt idx="18">
                  <c:v>36.90100471395121</c:v>
                </c:pt>
                <c:pt idx="19">
                  <c:v>37.099908640861287</c:v>
                </c:pt>
                <c:pt idx="20">
                  <c:v>37.194872700903773</c:v>
                </c:pt>
                <c:pt idx="21">
                  <c:v>35.784854231467648</c:v>
                </c:pt>
                <c:pt idx="22">
                  <c:v>36.443515386851018</c:v>
                </c:pt>
                <c:pt idx="23">
                  <c:v>33.255457453561711</c:v>
                </c:pt>
                <c:pt idx="24">
                  <c:v>34.315673270230164</c:v>
                </c:pt>
                <c:pt idx="25">
                  <c:v>37.706031532256496</c:v>
                </c:pt>
                <c:pt idx="26">
                  <c:v>37.401552210421542</c:v>
                </c:pt>
                <c:pt idx="27">
                  <c:v>36.851973996198218</c:v>
                </c:pt>
                <c:pt idx="28">
                  <c:v>36.422352732700475</c:v>
                </c:pt>
                <c:pt idx="29">
                  <c:v>36.207908544785177</c:v>
                </c:pt>
                <c:pt idx="30">
                  <c:v>34.216637130923509</c:v>
                </c:pt>
                <c:pt idx="31">
                  <c:v>34.443999782272932</c:v>
                </c:pt>
                <c:pt idx="32">
                  <c:v>37.810030602166719</c:v>
                </c:pt>
                <c:pt idx="33">
                  <c:v>40.079616216670246</c:v>
                </c:pt>
                <c:pt idx="34">
                  <c:v>41.461490277269561</c:v>
                </c:pt>
                <c:pt idx="35">
                  <c:v>42.621557004484409</c:v>
                </c:pt>
                <c:pt idx="36">
                  <c:v>41.002694837526164</c:v>
                </c:pt>
                <c:pt idx="37">
                  <c:v>36.310293564588683</c:v>
                </c:pt>
                <c:pt idx="38">
                  <c:v>37.694738891570495</c:v>
                </c:pt>
                <c:pt idx="39">
                  <c:v>39.125366627788033</c:v>
                </c:pt>
                <c:pt idx="40">
                  <c:v>35.860134716284335</c:v>
                </c:pt>
                <c:pt idx="41">
                  <c:v>35.500375108909473</c:v>
                </c:pt>
                <c:pt idx="42">
                  <c:v>35.94283126686328</c:v>
                </c:pt>
                <c:pt idx="43">
                  <c:v>35.457735692935167</c:v>
                </c:pt>
                <c:pt idx="44">
                  <c:v>32.32461074416856</c:v>
                </c:pt>
                <c:pt idx="45">
                  <c:v>31.653059206051871</c:v>
                </c:pt>
                <c:pt idx="46">
                  <c:v>35.010214404985817</c:v>
                </c:pt>
                <c:pt idx="47">
                  <c:v>36.27382433829149</c:v>
                </c:pt>
                <c:pt idx="48">
                  <c:v>36.879590118145963</c:v>
                </c:pt>
                <c:pt idx="49">
                  <c:v>36.528261146452671</c:v>
                </c:pt>
                <c:pt idx="50">
                  <c:v>33.703544034626219</c:v>
                </c:pt>
                <c:pt idx="51">
                  <c:v>29.747995538224668</c:v>
                </c:pt>
                <c:pt idx="52">
                  <c:v>30.593376885161437</c:v>
                </c:pt>
                <c:pt idx="53">
                  <c:v>33.462862272904239</c:v>
                </c:pt>
                <c:pt idx="54">
                  <c:v>32.092613243413886</c:v>
                </c:pt>
                <c:pt idx="55">
                  <c:v>33.199114901346874</c:v>
                </c:pt>
                <c:pt idx="56">
                  <c:v>33.339268505793576</c:v>
                </c:pt>
                <c:pt idx="57">
                  <c:v>32.085560383060248</c:v>
                </c:pt>
                <c:pt idx="58">
                  <c:v>29.662131335351482</c:v>
                </c:pt>
                <c:pt idx="59">
                  <c:v>30.248075103459318</c:v>
                </c:pt>
                <c:pt idx="60">
                  <c:v>32.156299075508116</c:v>
                </c:pt>
                <c:pt idx="61">
                  <c:v>32.090406012723975</c:v>
                </c:pt>
                <c:pt idx="62">
                  <c:v>32.451208446596773</c:v>
                </c:pt>
                <c:pt idx="63">
                  <c:v>33.669323046807904</c:v>
                </c:pt>
                <c:pt idx="64">
                  <c:v>31.400656794319055</c:v>
                </c:pt>
                <c:pt idx="65">
                  <c:v>26.889062833535807</c:v>
                </c:pt>
                <c:pt idx="66">
                  <c:v>26.222814517200824</c:v>
                </c:pt>
                <c:pt idx="67">
                  <c:v>29.386647034852071</c:v>
                </c:pt>
                <c:pt idx="68">
                  <c:v>27.738521034828363</c:v>
                </c:pt>
                <c:pt idx="69">
                  <c:v>30.854267580128589</c:v>
                </c:pt>
                <c:pt idx="70">
                  <c:v>31.574844789370491</c:v>
                </c:pt>
                <c:pt idx="71">
                  <c:v>31.625360099086652</c:v>
                </c:pt>
                <c:pt idx="72">
                  <c:v>28.96030229554378</c:v>
                </c:pt>
                <c:pt idx="73">
                  <c:v>28.31739726729889</c:v>
                </c:pt>
                <c:pt idx="74">
                  <c:v>28.14865477769661</c:v>
                </c:pt>
                <c:pt idx="75">
                  <c:v>26.093459538175829</c:v>
                </c:pt>
                <c:pt idx="76">
                  <c:v>26.280282803073259</c:v>
                </c:pt>
                <c:pt idx="77">
                  <c:v>27.010399859523108</c:v>
                </c:pt>
                <c:pt idx="78">
                  <c:v>26.666290526830888</c:v>
                </c:pt>
                <c:pt idx="79">
                  <c:v>22.949801596471193</c:v>
                </c:pt>
                <c:pt idx="80">
                  <c:v>27.487312139148294</c:v>
                </c:pt>
                <c:pt idx="81">
                  <c:v>28.462368120622408</c:v>
                </c:pt>
                <c:pt idx="82">
                  <c:v>25.948151206212366</c:v>
                </c:pt>
                <c:pt idx="83">
                  <c:v>22.929421912694004</c:v>
                </c:pt>
                <c:pt idx="84">
                  <c:v>22.748236472923228</c:v>
                </c:pt>
                <c:pt idx="85">
                  <c:v>24.769419577712856</c:v>
                </c:pt>
                <c:pt idx="86">
                  <c:v>22.43004746355092</c:v>
                </c:pt>
                <c:pt idx="87">
                  <c:v>23.594608677240302</c:v>
                </c:pt>
                <c:pt idx="88">
                  <c:v>27.27579699878557</c:v>
                </c:pt>
                <c:pt idx="89">
                  <c:v>29.153082809129909</c:v>
                </c:pt>
                <c:pt idx="90">
                  <c:v>30.677245431457621</c:v>
                </c:pt>
                <c:pt idx="91">
                  <c:v>32.46272056517094</c:v>
                </c:pt>
                <c:pt idx="92">
                  <c:v>30.588397627558081</c:v>
                </c:pt>
                <c:pt idx="93">
                  <c:v>26.488452883092407</c:v>
                </c:pt>
                <c:pt idx="94">
                  <c:v>26.800253939111631</c:v>
                </c:pt>
                <c:pt idx="95">
                  <c:v>28.979467533714494</c:v>
                </c:pt>
                <c:pt idx="96">
                  <c:v>29.118400870849975</c:v>
                </c:pt>
                <c:pt idx="97">
                  <c:v>29.123342332419892</c:v>
                </c:pt>
                <c:pt idx="98">
                  <c:v>24.524154010039346</c:v>
                </c:pt>
                <c:pt idx="99">
                  <c:v>20.355808033921317</c:v>
                </c:pt>
                <c:pt idx="100">
                  <c:v>15.817888690539146</c:v>
                </c:pt>
                <c:pt idx="101">
                  <c:v>16.178831481831637</c:v>
                </c:pt>
                <c:pt idx="102">
                  <c:v>21.02890773784463</c:v>
                </c:pt>
                <c:pt idx="103">
                  <c:v>20.307713809890178</c:v>
                </c:pt>
                <c:pt idx="104">
                  <c:v>16.590878846654931</c:v>
                </c:pt>
                <c:pt idx="105">
                  <c:v>15.76829477193891</c:v>
                </c:pt>
                <c:pt idx="106">
                  <c:v>18.568833461656315</c:v>
                </c:pt>
                <c:pt idx="107">
                  <c:v>19.614571040879646</c:v>
                </c:pt>
                <c:pt idx="108">
                  <c:v>18.656931840735112</c:v>
                </c:pt>
                <c:pt idx="109">
                  <c:v>19.563471390013991</c:v>
                </c:pt>
                <c:pt idx="110">
                  <c:v>18.07923956225083</c:v>
                </c:pt>
                <c:pt idx="111">
                  <c:v>18.07682042542401</c:v>
                </c:pt>
                <c:pt idx="112">
                  <c:v>17.194628472384942</c:v>
                </c:pt>
                <c:pt idx="113">
                  <c:v>15.382705185504731</c:v>
                </c:pt>
                <c:pt idx="114">
                  <c:v>12.336617288364373</c:v>
                </c:pt>
                <c:pt idx="115">
                  <c:v>12.659586495655699</c:v>
                </c:pt>
                <c:pt idx="116">
                  <c:v>13.818581100658111</c:v>
                </c:pt>
                <c:pt idx="117">
                  <c:v>18.711239256020551</c:v>
                </c:pt>
                <c:pt idx="118">
                  <c:v>18.289834007546062</c:v>
                </c:pt>
                <c:pt idx="119">
                  <c:v>17.044748050783795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m+1</c:v>
          </c:tx>
          <c:spPr>
            <a:ln w="31750" cap="sq">
              <a:solidFill>
                <a:schemeClr val="accent4">
                  <a:lumMod val="75000"/>
                </a:schemeClr>
              </a:solidFill>
              <a:prstDash val="sysDot"/>
              <a:miter lim="800000"/>
            </a:ln>
          </c:spPr>
          <c:marker>
            <c:symbol val="none"/>
          </c:marker>
          <c:val>
            <c:numRef>
              <c:f>'15'!$W$2:$W$367</c:f>
              <c:numCache>
                <c:formatCode>0.0</c:formatCode>
                <c:ptCount val="36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16.141417327044024</c:v>
                </c:pt>
                <c:pt idx="121">
                  <c:v>14.832061855345913</c:v>
                </c:pt>
                <c:pt idx="122">
                  <c:v>15.209887610062893</c:v>
                </c:pt>
                <c:pt idx="123">
                  <c:v>14.707495440251572</c:v>
                </c:pt>
                <c:pt idx="124">
                  <c:v>12.6389063836478</c:v>
                </c:pt>
                <c:pt idx="125">
                  <c:v>13.735501194968553</c:v>
                </c:pt>
                <c:pt idx="126">
                  <c:v>13.2862793081761</c:v>
                </c:pt>
                <c:pt idx="127">
                  <c:v>11.3222813836478</c:v>
                </c:pt>
                <c:pt idx="128">
                  <c:v>10.998669591194968</c:v>
                </c:pt>
                <c:pt idx="129">
                  <c:v>11.957636100628932</c:v>
                </c:pt>
                <c:pt idx="130">
                  <c:v>13.699037515723271</c:v>
                </c:pt>
                <c:pt idx="131">
                  <c:v>12.862737704402516</c:v>
                </c:pt>
                <c:pt idx="132">
                  <c:v>12.778284025157234</c:v>
                </c:pt>
                <c:pt idx="133">
                  <c:v>13.559357044025159</c:v>
                </c:pt>
                <c:pt idx="134">
                  <c:v>13.11099968553459</c:v>
                </c:pt>
                <c:pt idx="135">
                  <c:v>10.495220723270441</c:v>
                </c:pt>
                <c:pt idx="136">
                  <c:v>11.469317798742138</c:v>
                </c:pt>
                <c:pt idx="137">
                  <c:v>12.674593270440253</c:v>
                </c:pt>
                <c:pt idx="138">
                  <c:v>12.492694213836478</c:v>
                </c:pt>
                <c:pt idx="139">
                  <c:v>14.358728081761006</c:v>
                </c:pt>
                <c:pt idx="140">
                  <c:v>15.010875534591197</c:v>
                </c:pt>
                <c:pt idx="141">
                  <c:v>13.6070963836478</c:v>
                </c:pt>
                <c:pt idx="142">
                  <c:v>11.98406072327044</c:v>
                </c:pt>
                <c:pt idx="143">
                  <c:v>12.196096383647799</c:v>
                </c:pt>
                <c:pt idx="144">
                  <c:v>13.021245723270441</c:v>
                </c:pt>
                <c:pt idx="145">
                  <c:v>14.912257704402515</c:v>
                </c:pt>
                <c:pt idx="146">
                  <c:v>15.995267893081762</c:v>
                </c:pt>
                <c:pt idx="147">
                  <c:v>14.198370157232706</c:v>
                </c:pt>
                <c:pt idx="148">
                  <c:v>12.181487232704402</c:v>
                </c:pt>
                <c:pt idx="149">
                  <c:v>10.205619025157233</c:v>
                </c:pt>
                <c:pt idx="150">
                  <c:v>9.9993465723270436</c:v>
                </c:pt>
                <c:pt idx="151">
                  <c:v>10.333333333333334</c:v>
                </c:pt>
                <c:pt idx="152">
                  <c:v>10.333333333333334</c:v>
                </c:pt>
                <c:pt idx="153">
                  <c:v>10.333333333333334</c:v>
                </c:pt>
                <c:pt idx="154">
                  <c:v>10.333333333333334</c:v>
                </c:pt>
                <c:pt idx="155">
                  <c:v>10.333333333333334</c:v>
                </c:pt>
                <c:pt idx="156">
                  <c:v>10.333333333333334</c:v>
                </c:pt>
                <c:pt idx="157">
                  <c:v>10.333333333333334</c:v>
                </c:pt>
                <c:pt idx="158">
                  <c:v>10.333333333333334</c:v>
                </c:pt>
                <c:pt idx="159">
                  <c:v>10.333333333333334</c:v>
                </c:pt>
                <c:pt idx="160">
                  <c:v>10.333333333333334</c:v>
                </c:pt>
                <c:pt idx="161">
                  <c:v>10.333333333333334</c:v>
                </c:pt>
                <c:pt idx="162">
                  <c:v>10.333333333333334</c:v>
                </c:pt>
                <c:pt idx="163">
                  <c:v>10.333333333333334</c:v>
                </c:pt>
                <c:pt idx="164">
                  <c:v>10.333333333333334</c:v>
                </c:pt>
                <c:pt idx="165">
                  <c:v>10.333333333333334</c:v>
                </c:pt>
                <c:pt idx="166">
                  <c:v>10.333333333333334</c:v>
                </c:pt>
                <c:pt idx="167">
                  <c:v>10.333333333333334</c:v>
                </c:pt>
                <c:pt idx="168">
                  <c:v>10.333333333333334</c:v>
                </c:pt>
                <c:pt idx="169">
                  <c:v>10.333333333333334</c:v>
                </c:pt>
                <c:pt idx="170">
                  <c:v>10.333333333333334</c:v>
                </c:pt>
                <c:pt idx="171">
                  <c:v>10.333333333333334</c:v>
                </c:pt>
                <c:pt idx="172">
                  <c:v>10.333333333333334</c:v>
                </c:pt>
                <c:pt idx="173">
                  <c:v>10.333333333333334</c:v>
                </c:pt>
                <c:pt idx="174">
                  <c:v>10.333333333333334</c:v>
                </c:pt>
                <c:pt idx="175">
                  <c:v>10.333333333333334</c:v>
                </c:pt>
                <c:pt idx="176">
                  <c:v>10.333333333333334</c:v>
                </c:pt>
                <c:pt idx="177">
                  <c:v>10.333333333333334</c:v>
                </c:pt>
                <c:pt idx="178">
                  <c:v>10.333333333333334</c:v>
                </c:pt>
                <c:pt idx="179">
                  <c:v>10.333333333333334</c:v>
                </c:pt>
                <c:pt idx="180">
                  <c:v>10.333333333333334</c:v>
                </c:pt>
                <c:pt idx="181">
                  <c:v>9.3548387096774199</c:v>
                </c:pt>
                <c:pt idx="182">
                  <c:v>9.3548387096774199</c:v>
                </c:pt>
                <c:pt idx="183">
                  <c:v>9.3548387096774199</c:v>
                </c:pt>
                <c:pt idx="184">
                  <c:v>9.3548387096774199</c:v>
                </c:pt>
                <c:pt idx="185">
                  <c:v>9.3548387096774199</c:v>
                </c:pt>
                <c:pt idx="186">
                  <c:v>9.3548387096774199</c:v>
                </c:pt>
                <c:pt idx="187">
                  <c:v>9.3548387096774199</c:v>
                </c:pt>
                <c:pt idx="188">
                  <c:v>9.3548387096774199</c:v>
                </c:pt>
                <c:pt idx="189">
                  <c:v>9.3548387096774199</c:v>
                </c:pt>
                <c:pt idx="190">
                  <c:v>9.3548387096774199</c:v>
                </c:pt>
                <c:pt idx="191">
                  <c:v>9.3548387096774199</c:v>
                </c:pt>
                <c:pt idx="192">
                  <c:v>9.3548387096774199</c:v>
                </c:pt>
                <c:pt idx="193">
                  <c:v>9.3548387096774199</c:v>
                </c:pt>
                <c:pt idx="194">
                  <c:v>9.3548387096774199</c:v>
                </c:pt>
                <c:pt idx="195">
                  <c:v>9.3548387096774199</c:v>
                </c:pt>
                <c:pt idx="196">
                  <c:v>9.3548387096774199</c:v>
                </c:pt>
                <c:pt idx="197">
                  <c:v>9.3548387096774199</c:v>
                </c:pt>
                <c:pt idx="198">
                  <c:v>9.3548387096774199</c:v>
                </c:pt>
                <c:pt idx="199">
                  <c:v>9.3548387096774199</c:v>
                </c:pt>
                <c:pt idx="200">
                  <c:v>9.3548387096774199</c:v>
                </c:pt>
                <c:pt idx="201">
                  <c:v>9.3548387096774199</c:v>
                </c:pt>
                <c:pt idx="202">
                  <c:v>9.3548387096774199</c:v>
                </c:pt>
                <c:pt idx="203">
                  <c:v>9.3548387096774199</c:v>
                </c:pt>
                <c:pt idx="204">
                  <c:v>9.3548387096774199</c:v>
                </c:pt>
                <c:pt idx="205">
                  <c:v>9.3548387096774199</c:v>
                </c:pt>
                <c:pt idx="206">
                  <c:v>9.3548387096774199</c:v>
                </c:pt>
                <c:pt idx="207">
                  <c:v>9.3548387096774199</c:v>
                </c:pt>
                <c:pt idx="208">
                  <c:v>9.3548387096774199</c:v>
                </c:pt>
                <c:pt idx="209">
                  <c:v>9.3548387096774199</c:v>
                </c:pt>
                <c:pt idx="210">
                  <c:v>9.3548387096774199</c:v>
                </c:pt>
                <c:pt idx="211">
                  <c:v>9.3548387096774199</c:v>
                </c:pt>
                <c:pt idx="212">
                  <c:v>9.3548387096774199</c:v>
                </c:pt>
                <c:pt idx="213">
                  <c:v>9.3548387096774199</c:v>
                </c:pt>
                <c:pt idx="214">
                  <c:v>9.3548387096774199</c:v>
                </c:pt>
                <c:pt idx="215">
                  <c:v>9.3548387096774199</c:v>
                </c:pt>
                <c:pt idx="216">
                  <c:v>9.3548387096774199</c:v>
                </c:pt>
                <c:pt idx="217">
                  <c:v>9.3548387096774199</c:v>
                </c:pt>
                <c:pt idx="218">
                  <c:v>9.3548387096774199</c:v>
                </c:pt>
                <c:pt idx="219">
                  <c:v>9.3548387096774199</c:v>
                </c:pt>
                <c:pt idx="220">
                  <c:v>9.3548387096774199</c:v>
                </c:pt>
                <c:pt idx="221">
                  <c:v>9.3548387096774199</c:v>
                </c:pt>
                <c:pt idx="222">
                  <c:v>9.3548387096774199</c:v>
                </c:pt>
                <c:pt idx="223">
                  <c:v>9.3548387096774199</c:v>
                </c:pt>
                <c:pt idx="224">
                  <c:v>9.3548387096774199</c:v>
                </c:pt>
                <c:pt idx="225">
                  <c:v>9.3548387096774199</c:v>
                </c:pt>
                <c:pt idx="226">
                  <c:v>9.3548387096774199</c:v>
                </c:pt>
                <c:pt idx="227">
                  <c:v>9.3548387096774199</c:v>
                </c:pt>
                <c:pt idx="228">
                  <c:v>9.3548387096774199</c:v>
                </c:pt>
                <c:pt idx="229">
                  <c:v>9.3548387096774199</c:v>
                </c:pt>
                <c:pt idx="230">
                  <c:v>9.3548387096774199</c:v>
                </c:pt>
                <c:pt idx="231">
                  <c:v>9.3548387096774199</c:v>
                </c:pt>
                <c:pt idx="232">
                  <c:v>9.3548387096774199</c:v>
                </c:pt>
                <c:pt idx="233">
                  <c:v>9.3548387096774199</c:v>
                </c:pt>
                <c:pt idx="234">
                  <c:v>9.3548387096774199</c:v>
                </c:pt>
                <c:pt idx="235">
                  <c:v>9.3548387096774199</c:v>
                </c:pt>
                <c:pt idx="236">
                  <c:v>9.3548387096774199</c:v>
                </c:pt>
                <c:pt idx="237">
                  <c:v>9.3548387096774199</c:v>
                </c:pt>
                <c:pt idx="238">
                  <c:v>9.3548387096774199</c:v>
                </c:pt>
                <c:pt idx="239">
                  <c:v>9.3548387096774199</c:v>
                </c:pt>
                <c:pt idx="240">
                  <c:v>9.3548387096774199</c:v>
                </c:pt>
                <c:pt idx="241">
                  <c:v>9.3548387096774199</c:v>
                </c:pt>
                <c:pt idx="242">
                  <c:v>9.3548387096774199</c:v>
                </c:pt>
                <c:pt idx="243">
                  <c:v>12.666666666666666</c:v>
                </c:pt>
                <c:pt idx="244">
                  <c:v>12.666666666666666</c:v>
                </c:pt>
                <c:pt idx="245">
                  <c:v>12.666666666666666</c:v>
                </c:pt>
                <c:pt idx="246">
                  <c:v>12.666666666666666</c:v>
                </c:pt>
                <c:pt idx="247">
                  <c:v>12.666666666666666</c:v>
                </c:pt>
                <c:pt idx="248">
                  <c:v>12.666666666666666</c:v>
                </c:pt>
                <c:pt idx="249">
                  <c:v>12.666666666666666</c:v>
                </c:pt>
                <c:pt idx="250">
                  <c:v>12.666666666666666</c:v>
                </c:pt>
                <c:pt idx="251">
                  <c:v>12.666666666666666</c:v>
                </c:pt>
                <c:pt idx="252">
                  <c:v>12.666666666666666</c:v>
                </c:pt>
                <c:pt idx="253">
                  <c:v>12.666666666666666</c:v>
                </c:pt>
                <c:pt idx="254">
                  <c:v>12.666666666666666</c:v>
                </c:pt>
                <c:pt idx="255">
                  <c:v>12.666666666666666</c:v>
                </c:pt>
                <c:pt idx="256">
                  <c:v>12.666666666666666</c:v>
                </c:pt>
                <c:pt idx="257">
                  <c:v>12.666666666666666</c:v>
                </c:pt>
                <c:pt idx="258">
                  <c:v>12.666666666666666</c:v>
                </c:pt>
                <c:pt idx="259">
                  <c:v>12.666666666666666</c:v>
                </c:pt>
                <c:pt idx="260">
                  <c:v>12.666666666666666</c:v>
                </c:pt>
                <c:pt idx="261">
                  <c:v>12.666666666666666</c:v>
                </c:pt>
                <c:pt idx="262">
                  <c:v>12.666666666666666</c:v>
                </c:pt>
                <c:pt idx="263">
                  <c:v>12.666666666666666</c:v>
                </c:pt>
                <c:pt idx="264">
                  <c:v>12.666666666666666</c:v>
                </c:pt>
                <c:pt idx="265">
                  <c:v>12.666666666666666</c:v>
                </c:pt>
                <c:pt idx="266">
                  <c:v>12.666666666666666</c:v>
                </c:pt>
                <c:pt idx="267">
                  <c:v>12.666666666666666</c:v>
                </c:pt>
                <c:pt idx="268">
                  <c:v>12.666666666666666</c:v>
                </c:pt>
                <c:pt idx="269">
                  <c:v>12.666666666666666</c:v>
                </c:pt>
                <c:pt idx="270">
                  <c:v>12.666666666666666</c:v>
                </c:pt>
                <c:pt idx="271">
                  <c:v>12.666666666666666</c:v>
                </c:pt>
                <c:pt idx="272">
                  <c:v>12.666666666666666</c:v>
                </c:pt>
                <c:pt idx="273">
                  <c:v>20.967741935483872</c:v>
                </c:pt>
                <c:pt idx="274">
                  <c:v>20.967741935483872</c:v>
                </c:pt>
                <c:pt idx="275">
                  <c:v>20.967741935483872</c:v>
                </c:pt>
                <c:pt idx="276">
                  <c:v>20.967741935483872</c:v>
                </c:pt>
                <c:pt idx="277">
                  <c:v>20.967741935483872</c:v>
                </c:pt>
                <c:pt idx="278">
                  <c:v>20.967741935483872</c:v>
                </c:pt>
                <c:pt idx="279">
                  <c:v>20.967741935483872</c:v>
                </c:pt>
                <c:pt idx="280">
                  <c:v>20.967741935483872</c:v>
                </c:pt>
                <c:pt idx="281">
                  <c:v>20.967741935483872</c:v>
                </c:pt>
                <c:pt idx="282">
                  <c:v>20.967741935483872</c:v>
                </c:pt>
                <c:pt idx="283">
                  <c:v>20.967741935483872</c:v>
                </c:pt>
                <c:pt idx="284">
                  <c:v>20.967741935483872</c:v>
                </c:pt>
                <c:pt idx="285">
                  <c:v>20.967741935483872</c:v>
                </c:pt>
                <c:pt idx="286">
                  <c:v>20.967741935483872</c:v>
                </c:pt>
                <c:pt idx="287">
                  <c:v>20.967741935483872</c:v>
                </c:pt>
                <c:pt idx="288">
                  <c:v>20.967741935483872</c:v>
                </c:pt>
                <c:pt idx="289">
                  <c:v>20.967741935483872</c:v>
                </c:pt>
                <c:pt idx="290">
                  <c:v>20.967741935483872</c:v>
                </c:pt>
                <c:pt idx="291">
                  <c:v>20.967741935483872</c:v>
                </c:pt>
                <c:pt idx="292">
                  <c:v>20.967741935483872</c:v>
                </c:pt>
                <c:pt idx="293">
                  <c:v>20.967741935483872</c:v>
                </c:pt>
                <c:pt idx="294">
                  <c:v>20.967741935483872</c:v>
                </c:pt>
                <c:pt idx="295">
                  <c:v>20.967741935483872</c:v>
                </c:pt>
                <c:pt idx="296">
                  <c:v>20.967741935483872</c:v>
                </c:pt>
                <c:pt idx="297">
                  <c:v>20.967741935483872</c:v>
                </c:pt>
                <c:pt idx="298">
                  <c:v>20.967741935483872</c:v>
                </c:pt>
                <c:pt idx="299">
                  <c:v>20.967741935483872</c:v>
                </c:pt>
                <c:pt idx="300">
                  <c:v>20.967741935483872</c:v>
                </c:pt>
                <c:pt idx="301">
                  <c:v>20.967741935483872</c:v>
                </c:pt>
                <c:pt idx="302">
                  <c:v>20.967741935483872</c:v>
                </c:pt>
                <c:pt idx="303">
                  <c:v>20.967741935483872</c:v>
                </c:pt>
                <c:pt idx="304">
                  <c:v>30.666666666666668</c:v>
                </c:pt>
                <c:pt idx="305">
                  <c:v>30.666666666666668</c:v>
                </c:pt>
                <c:pt idx="306">
                  <c:v>30.666666666666668</c:v>
                </c:pt>
                <c:pt idx="307">
                  <c:v>30.666666666666668</c:v>
                </c:pt>
                <c:pt idx="308">
                  <c:v>30.666666666666668</c:v>
                </c:pt>
                <c:pt idx="309">
                  <c:v>30.666666666666668</c:v>
                </c:pt>
                <c:pt idx="310">
                  <c:v>30.666666666666668</c:v>
                </c:pt>
                <c:pt idx="311">
                  <c:v>30.666666666666668</c:v>
                </c:pt>
                <c:pt idx="312">
                  <c:v>30.666666666666668</c:v>
                </c:pt>
                <c:pt idx="313">
                  <c:v>30.666666666666668</c:v>
                </c:pt>
                <c:pt idx="314">
                  <c:v>30.666666666666668</c:v>
                </c:pt>
                <c:pt idx="315">
                  <c:v>30.666666666666668</c:v>
                </c:pt>
                <c:pt idx="316">
                  <c:v>30.666666666666668</c:v>
                </c:pt>
                <c:pt idx="317">
                  <c:v>30.666666666666668</c:v>
                </c:pt>
                <c:pt idx="318">
                  <c:v>30.666666666666668</c:v>
                </c:pt>
                <c:pt idx="319">
                  <c:v>30.666666666666668</c:v>
                </c:pt>
                <c:pt idx="320">
                  <c:v>30.666666666666668</c:v>
                </c:pt>
                <c:pt idx="321">
                  <c:v>30.666666666666668</c:v>
                </c:pt>
                <c:pt idx="322">
                  <c:v>30.666666666666668</c:v>
                </c:pt>
                <c:pt idx="323">
                  <c:v>30.666666666666668</c:v>
                </c:pt>
                <c:pt idx="324">
                  <c:v>30.666666666666668</c:v>
                </c:pt>
                <c:pt idx="325">
                  <c:v>30.666666666666668</c:v>
                </c:pt>
                <c:pt idx="326">
                  <c:v>30.666666666666668</c:v>
                </c:pt>
                <c:pt idx="327">
                  <c:v>30.666666666666668</c:v>
                </c:pt>
                <c:pt idx="328">
                  <c:v>30.666666666666668</c:v>
                </c:pt>
                <c:pt idx="329">
                  <c:v>30.666666666666668</c:v>
                </c:pt>
                <c:pt idx="330">
                  <c:v>30.666666666666668</c:v>
                </c:pt>
                <c:pt idx="331">
                  <c:v>30.666666666666668</c:v>
                </c:pt>
                <c:pt idx="332">
                  <c:v>30.666666666666668</c:v>
                </c:pt>
                <c:pt idx="333">
                  <c:v>30.666666666666668</c:v>
                </c:pt>
                <c:pt idx="334">
                  <c:v>34.838709677419352</c:v>
                </c:pt>
                <c:pt idx="335">
                  <c:v>34.838709677419352</c:v>
                </c:pt>
                <c:pt idx="336">
                  <c:v>34.838709677419352</c:v>
                </c:pt>
                <c:pt idx="337">
                  <c:v>34.838709677419352</c:v>
                </c:pt>
                <c:pt idx="338">
                  <c:v>34.838709677419352</c:v>
                </c:pt>
                <c:pt idx="339">
                  <c:v>34.838709677419352</c:v>
                </c:pt>
                <c:pt idx="340">
                  <c:v>34.838709677419352</c:v>
                </c:pt>
                <c:pt idx="341">
                  <c:v>34.838709677419352</c:v>
                </c:pt>
                <c:pt idx="342">
                  <c:v>34.838709677419352</c:v>
                </c:pt>
                <c:pt idx="343">
                  <c:v>34.838709677419352</c:v>
                </c:pt>
                <c:pt idx="344">
                  <c:v>34.838709677419352</c:v>
                </c:pt>
                <c:pt idx="345">
                  <c:v>34.838709677419352</c:v>
                </c:pt>
                <c:pt idx="346">
                  <c:v>34.838709677419352</c:v>
                </c:pt>
                <c:pt idx="347">
                  <c:v>34.838709677419352</c:v>
                </c:pt>
                <c:pt idx="348">
                  <c:v>34.838709677419352</c:v>
                </c:pt>
                <c:pt idx="349">
                  <c:v>34.838709677419352</c:v>
                </c:pt>
                <c:pt idx="350">
                  <c:v>34.838709677419352</c:v>
                </c:pt>
                <c:pt idx="351">
                  <c:v>34.838709677419352</c:v>
                </c:pt>
                <c:pt idx="352">
                  <c:v>34.838709677419352</c:v>
                </c:pt>
                <c:pt idx="353">
                  <c:v>34.838709677419352</c:v>
                </c:pt>
                <c:pt idx="354">
                  <c:v>34.838709677419352</c:v>
                </c:pt>
                <c:pt idx="355">
                  <c:v>34.838709677419352</c:v>
                </c:pt>
                <c:pt idx="356">
                  <c:v>34.838709677419352</c:v>
                </c:pt>
                <c:pt idx="357">
                  <c:v>34.838709677419352</c:v>
                </c:pt>
                <c:pt idx="358">
                  <c:v>34.838709677419352</c:v>
                </c:pt>
                <c:pt idx="359">
                  <c:v>34.838709677419352</c:v>
                </c:pt>
                <c:pt idx="360">
                  <c:v>34.838709677419352</c:v>
                </c:pt>
                <c:pt idx="361">
                  <c:v>34.838709677419352</c:v>
                </c:pt>
                <c:pt idx="362">
                  <c:v>34.838709677419352</c:v>
                </c:pt>
                <c:pt idx="363">
                  <c:v>34.838709677419352</c:v>
                </c:pt>
                <c:pt idx="364">
                  <c:v>34.838709677419352</c:v>
                </c:pt>
                <c:pt idx="36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26112"/>
        <c:axId val="126427904"/>
      </c:lineChart>
      <c:dateAx>
        <c:axId val="126426112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26427904"/>
        <c:crosses val="autoZero"/>
        <c:auto val="1"/>
        <c:lblOffset val="100"/>
        <c:baseTimeUnit val="days"/>
      </c:dateAx>
      <c:valAx>
        <c:axId val="126427904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2.630423373441858E-3"/>
              <c:y val="0.29114913853590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6426112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egendEntry>
        <c:idx val="2"/>
        <c:delete val="1"/>
      </c:legendEntry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'16'!$C$28</c:f>
              <c:strCache>
                <c:ptCount val="1"/>
                <c:pt idx="0">
                  <c:v>Prognóza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'16'!$D$28:$O$28</c:f>
              <c:numCache>
                <c:formatCode>0.0</c:formatCode>
                <c:ptCount val="12"/>
                <c:pt idx="0">
                  <c:v>1120</c:v>
                </c:pt>
                <c:pt idx="1">
                  <c:v>1000</c:v>
                </c:pt>
                <c:pt idx="2">
                  <c:v>910</c:v>
                </c:pt>
                <c:pt idx="3">
                  <c:v>630</c:v>
                </c:pt>
                <c:pt idx="4">
                  <c:v>400</c:v>
                </c:pt>
                <c:pt idx="5">
                  <c:v>310</c:v>
                </c:pt>
                <c:pt idx="6">
                  <c:v>290</c:v>
                </c:pt>
                <c:pt idx="7">
                  <c:v>290</c:v>
                </c:pt>
                <c:pt idx="8">
                  <c:v>380</c:v>
                </c:pt>
                <c:pt idx="9">
                  <c:v>650</c:v>
                </c:pt>
                <c:pt idx="10">
                  <c:v>920</c:v>
                </c:pt>
                <c:pt idx="11">
                  <c:v>1080</c:v>
                </c:pt>
              </c:numCache>
            </c:numRef>
          </c:val>
        </c:ser>
        <c:ser>
          <c:idx val="1"/>
          <c:order val="1"/>
          <c:tx>
            <c:strRef>
              <c:f>'16'!$C$29</c:f>
              <c:strCache>
                <c:ptCount val="1"/>
                <c:pt idx="0">
                  <c:v>Skutečnost</c:v>
                </c:pt>
              </c:strCache>
            </c:strRef>
          </c:tx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'16'!$D$29:$O$29</c:f>
              <c:numCache>
                <c:formatCode>0.0</c:formatCode>
                <c:ptCount val="12"/>
                <c:pt idx="0">
                  <c:v>1081.280644710429</c:v>
                </c:pt>
                <c:pt idx="1">
                  <c:v>989.86689164730865</c:v>
                </c:pt>
                <c:pt idx="2">
                  <c:v>865.53252041105134</c:v>
                </c:pt>
                <c:pt idx="3">
                  <c:v>622.80856614391325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'16'!$C$30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'16'!$D$30:$O$30</c:f>
              <c:numCache>
                <c:formatCode>0.0</c:formatCode>
                <c:ptCount val="12"/>
                <c:pt idx="0">
                  <c:v>1162.3827182199684</c:v>
                </c:pt>
                <c:pt idx="1">
                  <c:v>1022.8621044614633</c:v>
                </c:pt>
                <c:pt idx="2">
                  <c:v>901.33118683539692</c:v>
                </c:pt>
                <c:pt idx="3">
                  <c:v>647.29636373718301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59264"/>
        <c:axId val="126551168"/>
      </c:barChart>
      <c:catAx>
        <c:axId val="126459264"/>
        <c:scaling>
          <c:orientation val="minMax"/>
        </c:scaling>
        <c:delete val="0"/>
        <c:axPos val="b"/>
        <c:majorTickMark val="out"/>
        <c:minorTickMark val="none"/>
        <c:tickLblPos val="nextTo"/>
        <c:crossAx val="126551168"/>
        <c:crosses val="autoZero"/>
        <c:auto val="1"/>
        <c:lblAlgn val="ctr"/>
        <c:lblOffset val="100"/>
        <c:noMultiLvlLbl val="0"/>
      </c:catAx>
      <c:valAx>
        <c:axId val="126551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26459264"/>
        <c:crosses val="autoZero"/>
        <c:crossBetween val="between"/>
        <c:majorUnit val="100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198643048638831E-2"/>
          <c:y val="4.854296354316967E-2"/>
          <c:w val="0.88876085741962196"/>
          <c:h val="0.722028025185376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'6'!$E$21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'6'!$E$22:$E$25</c:f>
              <c:numCache>
                <c:formatCode>#,##0</c:formatCode>
                <c:ptCount val="4"/>
                <c:pt idx="0">
                  <c:v>71338.909813935432</c:v>
                </c:pt>
                <c:pt idx="1">
                  <c:v>522235.30982668407</c:v>
                </c:pt>
                <c:pt idx="2">
                  <c:v>26032.766000000003</c:v>
                </c:pt>
                <c:pt idx="3">
                  <c:v>3201.6929999999979</c:v>
                </c:pt>
              </c:numCache>
            </c:numRef>
          </c:val>
        </c:ser>
        <c:ser>
          <c:idx val="1"/>
          <c:order val="1"/>
          <c:tx>
            <c:strRef>
              <c:f>'6'!$F$21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'6'!$F$22:$F$25</c:f>
              <c:numCache>
                <c:formatCode>#,##0</c:formatCode>
                <c:ptCount val="4"/>
                <c:pt idx="0">
                  <c:v>56619.406999993429</c:v>
                </c:pt>
                <c:pt idx="1">
                  <c:v>446528.59222325921</c:v>
                </c:pt>
                <c:pt idx="2">
                  <c:v>20918.726000000002</c:v>
                </c:pt>
                <c:pt idx="3">
                  <c:v>9921.5920000000006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gapDepth val="110"/>
        <c:shape val="box"/>
        <c:axId val="103941248"/>
        <c:axId val="103942784"/>
        <c:axId val="0"/>
      </c:bar3DChart>
      <c:catAx>
        <c:axId val="1039412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03942784"/>
        <c:crosses val="autoZero"/>
        <c:auto val="1"/>
        <c:lblAlgn val="ctr"/>
        <c:lblOffset val="100"/>
        <c:noMultiLvlLbl val="0"/>
      </c:catAx>
      <c:valAx>
        <c:axId val="1039427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0394124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88393773136704012"/>
          <c:y val="0.5988088661692158"/>
          <c:w val="6.5015816361392809E-2"/>
          <c:h val="0.20726827994668207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30"/>
      <c:rotY val="18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21955845657967"/>
          <c:y val="0.14220985963711061"/>
          <c:w val="0.64852884914809372"/>
          <c:h val="0.71558028072577884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4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tx1"/>
              </a:solidFill>
            </c:spPr>
          </c:dPt>
          <c:dLbls>
            <c:dLbl>
              <c:idx val="0"/>
              <c:layout>
                <c:manualLayout>
                  <c:x val="-5.1919326725145487E-2"/>
                  <c:y val="7.7563049184069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8389648520437177E-2"/>
                  <c:y val="-8.760127810110693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6693358245473552E-2"/>
                  <c:y val="5.18503937007874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8952921716834702E-2"/>
                  <c:y val="8.06904028300810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'6'!$E$35:$E$38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'6'!$F$35:$F$38</c:f>
              <c:numCache>
                <c:formatCode>#,##0</c:formatCode>
                <c:ptCount val="4"/>
                <c:pt idx="0">
                  <c:v>71338.909813935432</c:v>
                </c:pt>
                <c:pt idx="1">
                  <c:v>522235.30982668407</c:v>
                </c:pt>
                <c:pt idx="2">
                  <c:v>26032.766000000003</c:v>
                </c:pt>
                <c:pt idx="3">
                  <c:v>3201.6929999999979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7983596811569591"/>
          <c:y val="0.24517516832135114"/>
          <c:w val="0.19484302520736527"/>
          <c:h val="0.5241424169804861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0"/>
          <c:w val="0.92972258620344217"/>
          <c:h val="0.5999261398857805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'9'!$D$10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'9'!$D$11:$D$24</c:f>
              <c:numCache>
                <c:formatCode>#,##0</c:formatCode>
                <c:ptCount val="14"/>
                <c:pt idx="0">
                  <c:v>21643.864000000001</c:v>
                </c:pt>
                <c:pt idx="1">
                  <c:v>81323.8</c:v>
                </c:pt>
                <c:pt idx="2">
                  <c:v>17676.5</c:v>
                </c:pt>
                <c:pt idx="3">
                  <c:v>25010.9</c:v>
                </c:pt>
                <c:pt idx="4">
                  <c:v>26533.4</c:v>
                </c:pt>
                <c:pt idx="5">
                  <c:v>71418.934999999998</c:v>
                </c:pt>
                <c:pt idx="6">
                  <c:v>33910.100000000006</c:v>
                </c:pt>
                <c:pt idx="7">
                  <c:v>29851.1</c:v>
                </c:pt>
                <c:pt idx="8">
                  <c:v>29397.7</c:v>
                </c:pt>
                <c:pt idx="9">
                  <c:v>69053.196800530161</c:v>
                </c:pt>
                <c:pt idx="10">
                  <c:v>78357.813999999998</c:v>
                </c:pt>
                <c:pt idx="11">
                  <c:v>67119.907000000007</c:v>
                </c:pt>
                <c:pt idx="12">
                  <c:v>26917.725999999999</c:v>
                </c:pt>
                <c:pt idx="13">
                  <c:v>31342.400000000001</c:v>
                </c:pt>
              </c:numCache>
            </c:numRef>
          </c:val>
        </c:ser>
        <c:ser>
          <c:idx val="1"/>
          <c:order val="1"/>
          <c:tx>
            <c:strRef>
              <c:f>'9'!$H$10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'9'!$H$11:$H$24</c:f>
              <c:numCache>
                <c:formatCode>#,##0</c:formatCode>
                <c:ptCount val="14"/>
                <c:pt idx="0">
                  <c:v>16818.232</c:v>
                </c:pt>
                <c:pt idx="1">
                  <c:v>64828.7</c:v>
                </c:pt>
                <c:pt idx="2">
                  <c:v>14039.7</c:v>
                </c:pt>
                <c:pt idx="3">
                  <c:v>21055.800000000003</c:v>
                </c:pt>
                <c:pt idx="4">
                  <c:v>21415.200000000001</c:v>
                </c:pt>
                <c:pt idx="5">
                  <c:v>60924.494999999995</c:v>
                </c:pt>
                <c:pt idx="6">
                  <c:v>28285.7</c:v>
                </c:pt>
                <c:pt idx="7">
                  <c:v>23170.5</c:v>
                </c:pt>
                <c:pt idx="8">
                  <c:v>25686.9</c:v>
                </c:pt>
                <c:pt idx="9">
                  <c:v>54710.50735681675</c:v>
                </c:pt>
                <c:pt idx="10">
                  <c:v>65414.451000000001</c:v>
                </c:pt>
                <c:pt idx="11">
                  <c:v>69581.082000000009</c:v>
                </c:pt>
                <c:pt idx="12">
                  <c:v>24986.526000000002</c:v>
                </c:pt>
                <c:pt idx="13">
                  <c:v>27622.699999999997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22330112"/>
        <c:axId val="122336000"/>
        <c:axId val="0"/>
      </c:bar3DChart>
      <c:catAx>
        <c:axId val="1223301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2336000"/>
        <c:crosses val="autoZero"/>
        <c:auto val="1"/>
        <c:lblAlgn val="ctr"/>
        <c:lblOffset val="100"/>
        <c:noMultiLvlLbl val="0"/>
      </c:catAx>
      <c:valAx>
        <c:axId val="1223360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2233011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91803666526417027"/>
          <c:y val="0.29843917751487092"/>
          <c:w val="6.4817294784716789E-2"/>
          <c:h val="0.19893588678299634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Průběh denních spotřeb zemního plynu a průměrných teplot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31908994467479"/>
          <c:y val="8.5190222644404845E-2"/>
          <c:w val="0.75566984078680988"/>
          <c:h val="0.72619934109754003"/>
        </c:manualLayout>
      </c:layout>
      <c:lineChart>
        <c:grouping val="standard"/>
        <c:varyColors val="0"/>
        <c:ser>
          <c:idx val="0"/>
          <c:order val="0"/>
          <c:tx>
            <c:strRef>
              <c:f>'10'!$I$7</c:f>
              <c:strCache>
                <c:ptCount val="1"/>
                <c:pt idx="0">
                  <c:v>Spotřeba</c:v>
                </c:pt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42095</c:v>
                </c:pt>
                <c:pt idx="1">
                  <c:v>42096</c:v>
                </c:pt>
                <c:pt idx="2">
                  <c:v>42097</c:v>
                </c:pt>
                <c:pt idx="3">
                  <c:v>42098</c:v>
                </c:pt>
                <c:pt idx="4">
                  <c:v>42099</c:v>
                </c:pt>
                <c:pt idx="5">
                  <c:v>42100</c:v>
                </c:pt>
                <c:pt idx="6">
                  <c:v>42101</c:v>
                </c:pt>
                <c:pt idx="7">
                  <c:v>42102</c:v>
                </c:pt>
                <c:pt idx="8">
                  <c:v>42103</c:v>
                </c:pt>
                <c:pt idx="9">
                  <c:v>42104</c:v>
                </c:pt>
                <c:pt idx="10">
                  <c:v>42105</c:v>
                </c:pt>
                <c:pt idx="11">
                  <c:v>42106</c:v>
                </c:pt>
                <c:pt idx="12">
                  <c:v>42107</c:v>
                </c:pt>
                <c:pt idx="13">
                  <c:v>42108</c:v>
                </c:pt>
                <c:pt idx="14">
                  <c:v>42109</c:v>
                </c:pt>
                <c:pt idx="15">
                  <c:v>42110</c:v>
                </c:pt>
                <c:pt idx="16">
                  <c:v>42111</c:v>
                </c:pt>
                <c:pt idx="17">
                  <c:v>42112</c:v>
                </c:pt>
                <c:pt idx="18">
                  <c:v>42113</c:v>
                </c:pt>
                <c:pt idx="19">
                  <c:v>42114</c:v>
                </c:pt>
                <c:pt idx="20">
                  <c:v>42115</c:v>
                </c:pt>
                <c:pt idx="21">
                  <c:v>42116</c:v>
                </c:pt>
                <c:pt idx="22">
                  <c:v>42117</c:v>
                </c:pt>
                <c:pt idx="23">
                  <c:v>42118</c:v>
                </c:pt>
                <c:pt idx="24">
                  <c:v>42119</c:v>
                </c:pt>
                <c:pt idx="25">
                  <c:v>42120</c:v>
                </c:pt>
                <c:pt idx="26">
                  <c:v>42121</c:v>
                </c:pt>
                <c:pt idx="27">
                  <c:v>42122</c:v>
                </c:pt>
                <c:pt idx="28">
                  <c:v>42123</c:v>
                </c:pt>
                <c:pt idx="29">
                  <c:v>42124</c:v>
                </c:pt>
                <c:pt idx="30">
                  <c:v>#N/A</c:v>
                </c:pt>
              </c:numCache>
            </c:numRef>
          </c:cat>
          <c:val>
            <c:numRef>
              <c:f>'10'!$I$8:$I$38</c:f>
              <c:numCache>
                <c:formatCode>#,##0</c:formatCode>
                <c:ptCount val="31"/>
                <c:pt idx="0">
                  <c:v>30.677245431457621</c:v>
                </c:pt>
                <c:pt idx="1">
                  <c:v>32.46272056517094</c:v>
                </c:pt>
                <c:pt idx="2">
                  <c:v>30.588397627558081</c:v>
                </c:pt>
                <c:pt idx="3">
                  <c:v>26.488452883092407</c:v>
                </c:pt>
                <c:pt idx="4">
                  <c:v>26.800253939111631</c:v>
                </c:pt>
                <c:pt idx="5">
                  <c:v>28.979467533714494</c:v>
                </c:pt>
                <c:pt idx="6">
                  <c:v>29.118400870849975</c:v>
                </c:pt>
                <c:pt idx="7">
                  <c:v>29.123342332419892</c:v>
                </c:pt>
                <c:pt idx="8">
                  <c:v>24.524154010039346</c:v>
                </c:pt>
                <c:pt idx="9">
                  <c:v>20.355808033921317</c:v>
                </c:pt>
                <c:pt idx="10">
                  <c:v>15.817888690539146</c:v>
                </c:pt>
                <c:pt idx="11">
                  <c:v>16.178831481831637</c:v>
                </c:pt>
                <c:pt idx="12">
                  <c:v>21.02890773784463</c:v>
                </c:pt>
                <c:pt idx="13">
                  <c:v>20.307713809890178</c:v>
                </c:pt>
                <c:pt idx="14">
                  <c:v>16.590878846654931</c:v>
                </c:pt>
                <c:pt idx="15">
                  <c:v>15.76829477193891</c:v>
                </c:pt>
                <c:pt idx="16">
                  <c:v>18.568833461656315</c:v>
                </c:pt>
                <c:pt idx="17">
                  <c:v>19.614571040879646</c:v>
                </c:pt>
                <c:pt idx="18">
                  <c:v>18.656931840735112</c:v>
                </c:pt>
                <c:pt idx="19">
                  <c:v>19.563471390013991</c:v>
                </c:pt>
                <c:pt idx="20">
                  <c:v>18.07923956225083</c:v>
                </c:pt>
                <c:pt idx="21">
                  <c:v>18.07682042542401</c:v>
                </c:pt>
                <c:pt idx="22">
                  <c:v>17.194628472384942</c:v>
                </c:pt>
                <c:pt idx="23">
                  <c:v>15.382705185504731</c:v>
                </c:pt>
                <c:pt idx="24">
                  <c:v>12.336617288364373</c:v>
                </c:pt>
                <c:pt idx="25">
                  <c:v>12.659586495655699</c:v>
                </c:pt>
                <c:pt idx="26">
                  <c:v>13.818581100658111</c:v>
                </c:pt>
                <c:pt idx="27">
                  <c:v>18.711239256020551</c:v>
                </c:pt>
                <c:pt idx="28">
                  <c:v>18.289834007546062</c:v>
                </c:pt>
                <c:pt idx="29">
                  <c:v>17.044748050783795</c:v>
                </c:pt>
                <c:pt idx="30">
                  <c:v>#N/A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56096"/>
        <c:axId val="125958016"/>
      </c:lineChart>
      <c:lineChart>
        <c:grouping val="standard"/>
        <c:varyColors val="0"/>
        <c:ser>
          <c:idx val="1"/>
          <c:order val="1"/>
          <c:tx>
            <c:strRef>
              <c:f>'10'!$J$7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42095</c:v>
                </c:pt>
                <c:pt idx="1">
                  <c:v>42096</c:v>
                </c:pt>
                <c:pt idx="2">
                  <c:v>42097</c:v>
                </c:pt>
                <c:pt idx="3">
                  <c:v>42098</c:v>
                </c:pt>
                <c:pt idx="4">
                  <c:v>42099</c:v>
                </c:pt>
                <c:pt idx="5">
                  <c:v>42100</c:v>
                </c:pt>
                <c:pt idx="6">
                  <c:v>42101</c:v>
                </c:pt>
                <c:pt idx="7">
                  <c:v>42102</c:v>
                </c:pt>
                <c:pt idx="8">
                  <c:v>42103</c:v>
                </c:pt>
                <c:pt idx="9">
                  <c:v>42104</c:v>
                </c:pt>
                <c:pt idx="10">
                  <c:v>42105</c:v>
                </c:pt>
                <c:pt idx="11">
                  <c:v>42106</c:v>
                </c:pt>
                <c:pt idx="12">
                  <c:v>42107</c:v>
                </c:pt>
                <c:pt idx="13">
                  <c:v>42108</c:v>
                </c:pt>
                <c:pt idx="14">
                  <c:v>42109</c:v>
                </c:pt>
                <c:pt idx="15">
                  <c:v>42110</c:v>
                </c:pt>
                <c:pt idx="16">
                  <c:v>42111</c:v>
                </c:pt>
                <c:pt idx="17">
                  <c:v>42112</c:v>
                </c:pt>
                <c:pt idx="18">
                  <c:v>42113</c:v>
                </c:pt>
                <c:pt idx="19">
                  <c:v>42114</c:v>
                </c:pt>
                <c:pt idx="20">
                  <c:v>42115</c:v>
                </c:pt>
                <c:pt idx="21">
                  <c:v>42116</c:v>
                </c:pt>
                <c:pt idx="22">
                  <c:v>42117</c:v>
                </c:pt>
                <c:pt idx="23">
                  <c:v>42118</c:v>
                </c:pt>
                <c:pt idx="24">
                  <c:v>42119</c:v>
                </c:pt>
                <c:pt idx="25">
                  <c:v>42120</c:v>
                </c:pt>
                <c:pt idx="26">
                  <c:v>42121</c:v>
                </c:pt>
                <c:pt idx="27">
                  <c:v>42122</c:v>
                </c:pt>
                <c:pt idx="28">
                  <c:v>42123</c:v>
                </c:pt>
                <c:pt idx="29">
                  <c:v>42124</c:v>
                </c:pt>
                <c:pt idx="30">
                  <c:v>#N/A</c:v>
                </c:pt>
              </c:numCache>
            </c:numRef>
          </c:cat>
          <c:val>
            <c:numRef>
              <c:f>'10'!$J$8:$J$38</c:f>
              <c:numCache>
                <c:formatCode>#,##0.0</c:formatCode>
                <c:ptCount val="31"/>
                <c:pt idx="0">
                  <c:v>2.2000000000000002</c:v>
                </c:pt>
                <c:pt idx="1">
                  <c:v>1.3</c:v>
                </c:pt>
                <c:pt idx="2">
                  <c:v>1.8</c:v>
                </c:pt>
                <c:pt idx="3">
                  <c:v>1.6</c:v>
                </c:pt>
                <c:pt idx="4">
                  <c:v>1.7</c:v>
                </c:pt>
                <c:pt idx="5">
                  <c:v>1</c:v>
                </c:pt>
                <c:pt idx="6">
                  <c:v>4.3</c:v>
                </c:pt>
                <c:pt idx="7">
                  <c:v>6.2</c:v>
                </c:pt>
                <c:pt idx="8">
                  <c:v>8.1</c:v>
                </c:pt>
                <c:pt idx="9">
                  <c:v>9.9</c:v>
                </c:pt>
                <c:pt idx="10">
                  <c:v>12</c:v>
                </c:pt>
                <c:pt idx="11">
                  <c:v>10.8</c:v>
                </c:pt>
                <c:pt idx="12">
                  <c:v>8.5</c:v>
                </c:pt>
                <c:pt idx="13">
                  <c:v>8.9</c:v>
                </c:pt>
                <c:pt idx="14">
                  <c:v>14.2</c:v>
                </c:pt>
                <c:pt idx="15">
                  <c:v>14.8</c:v>
                </c:pt>
                <c:pt idx="16">
                  <c:v>8.1</c:v>
                </c:pt>
                <c:pt idx="17">
                  <c:v>3.9</c:v>
                </c:pt>
                <c:pt idx="18">
                  <c:v>6.4</c:v>
                </c:pt>
                <c:pt idx="19">
                  <c:v>10.4</c:v>
                </c:pt>
                <c:pt idx="20">
                  <c:v>12</c:v>
                </c:pt>
                <c:pt idx="21">
                  <c:v>10</c:v>
                </c:pt>
                <c:pt idx="22">
                  <c:v>10.6</c:v>
                </c:pt>
                <c:pt idx="23">
                  <c:v>11.1</c:v>
                </c:pt>
                <c:pt idx="24">
                  <c:v>14.6</c:v>
                </c:pt>
                <c:pt idx="25">
                  <c:v>13.5</c:v>
                </c:pt>
                <c:pt idx="26">
                  <c:v>15.5</c:v>
                </c:pt>
                <c:pt idx="27">
                  <c:v>7.3</c:v>
                </c:pt>
                <c:pt idx="28">
                  <c:v>7.1</c:v>
                </c:pt>
                <c:pt idx="29">
                  <c:v>8.8000000000000007</c:v>
                </c:pt>
                <c:pt idx="30">
                  <c:v>#N/A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70304"/>
        <c:axId val="125968384"/>
      </c:lineChart>
      <c:dateAx>
        <c:axId val="1259560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</a:t>
                </a:r>
              </a:p>
            </c:rich>
          </c:tx>
          <c:layout>
            <c:manualLayout>
              <c:xMode val="edge"/>
              <c:yMode val="edge"/>
              <c:x val="0.45660212763259667"/>
              <c:y val="0.89314972086984323"/>
            </c:manualLayout>
          </c:layout>
          <c:overlay val="0"/>
        </c:title>
        <c:numFmt formatCode="d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cs-CZ"/>
          </a:p>
        </c:txPr>
        <c:crossAx val="125958016"/>
        <c:crossesAt val="0"/>
        <c:auto val="1"/>
        <c:lblOffset val="100"/>
        <c:baseTimeUnit val="days"/>
        <c:majorUnit val="1"/>
      </c:dateAx>
      <c:valAx>
        <c:axId val="125958016"/>
        <c:scaling>
          <c:orientation val="minMax"/>
          <c:max val="33"/>
          <c:min val="1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Spotřeba 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plynu (</a:t>
                </a: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. m</a:t>
                </a:r>
                <a:r>
                  <a:rPr lang="en-US" b="0" baseline="30000">
                    <a:solidFill>
                      <a:schemeClr val="accent4">
                        <a:lumMod val="50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883229572148891E-3"/>
              <c:y val="0.1962336127010191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25956096"/>
        <c:crosses val="autoZero"/>
        <c:crossBetween val="between"/>
        <c:majorUnit val="2"/>
      </c:valAx>
      <c:valAx>
        <c:axId val="125968384"/>
        <c:scaling>
          <c:orientation val="maxMin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3120164327285171"/>
              <c:y val="7.7684920651635112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60000"/>
                    <a:lumOff val="40000"/>
                  </a:schemeClr>
                </a:solidFill>
              </a:defRPr>
            </a:pPr>
            <a:endParaRPr lang="cs-CZ"/>
          </a:p>
        </c:txPr>
        <c:crossAx val="125970304"/>
        <c:crosses val="max"/>
        <c:crossBetween val="between"/>
        <c:majorUnit val="1.5"/>
      </c:valAx>
      <c:dateAx>
        <c:axId val="125970304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25968384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Četnost denních spotřeb zemního plynu</a:t>
            </a:r>
          </a:p>
        </c:rich>
      </c:tx>
      <c:layout>
        <c:manualLayout>
          <c:xMode val="edge"/>
          <c:yMode val="edge"/>
          <c:x val="0.28756294352094874"/>
          <c:y val="2.8119513096976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47677715295524"/>
          <c:y val="9.8898763110446208E-2"/>
          <c:w val="0.75633507007621203"/>
          <c:h val="0.68431528985608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'10'!$L$6</c:f>
              <c:strCache>
                <c:ptCount val="1"/>
                <c:pt idx="0">
                  <c:v>Četnost</c:v>
                </c:pt>
              </c:strCache>
            </c:strRef>
          </c:tx>
          <c:invertIfNegative val="0"/>
          <c:cat>
            <c:numRef>
              <c:f>('10'!$K$7:$K$38,'10'!$N$7:$N$38)</c:f>
              <c:numCache>
                <c:formatCode>m/d/yyyy</c:formatCode>
                <c:ptCount val="6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</c:numCache>
            </c:numRef>
          </c:cat>
          <c:val>
            <c:numRef>
              <c:f>'10'!$L$7:$L$38</c:f>
              <c:numCache>
                <c:formatCode>General</c:formatCode>
                <c:ptCount val="3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998976"/>
        <c:axId val="126009344"/>
      </c:barChart>
      <c:dateAx>
        <c:axId val="1259989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Velikost spotřeby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@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2600934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26009344"/>
        <c:scaling>
          <c:orientation val="minMax"/>
          <c:max val="8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aseline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en-US" baseline="0">
                    <a:solidFill>
                      <a:schemeClr val="accent4">
                        <a:lumMod val="50000"/>
                      </a:schemeClr>
                    </a:solidFill>
                  </a:rPr>
                  <a:t>Počet dnů v období</a:t>
                </a:r>
              </a:p>
            </c:rich>
          </c:tx>
          <c:layout>
            <c:manualLayout>
              <c:xMode val="edge"/>
              <c:yMode val="edge"/>
              <c:x val="1.0735373054213635E-2"/>
              <c:y val="0.1916108923884514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2599897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(VO)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'14'!$B$7:$M$7</c:f>
              <c:numCache>
                <c:formatCode>#,##0</c:formatCode>
                <c:ptCount val="12"/>
                <c:pt idx="0">
                  <c:v>281</c:v>
                </c:pt>
                <c:pt idx="1">
                  <c:v>10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371712"/>
        <c:axId val="126373248"/>
      </c:barChart>
      <c:catAx>
        <c:axId val="126371712"/>
        <c:scaling>
          <c:orientation val="minMax"/>
        </c:scaling>
        <c:delete val="0"/>
        <c:axPos val="b"/>
        <c:majorTickMark val="out"/>
        <c:minorTickMark val="none"/>
        <c:tickLblPos val="nextTo"/>
        <c:crossAx val="126373248"/>
        <c:crosses val="autoZero"/>
        <c:auto val="1"/>
        <c:lblAlgn val="ctr"/>
        <c:lblOffset val="100"/>
        <c:noMultiLvlLbl val="0"/>
      </c:catAx>
      <c:valAx>
        <c:axId val="1263732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63717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(</a:t>
            </a:r>
            <a:r>
              <a:rPr lang="en-US" sz="1200"/>
              <a:t>SO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'14'!$B$8:$M$8</c:f>
              <c:numCache>
                <c:formatCode>#,##0</c:formatCode>
                <c:ptCount val="12"/>
                <c:pt idx="0">
                  <c:v>1043</c:v>
                </c:pt>
                <c:pt idx="1">
                  <c:v>27</c:v>
                </c:pt>
                <c:pt idx="2">
                  <c:v>19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9728"/>
        <c:axId val="126694144"/>
      </c:barChart>
      <c:catAx>
        <c:axId val="126409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26694144"/>
        <c:crosses val="autoZero"/>
        <c:auto val="1"/>
        <c:lblAlgn val="ctr"/>
        <c:lblOffset val="100"/>
        <c:noMultiLvlLbl val="0"/>
      </c:catAx>
      <c:valAx>
        <c:axId val="1266941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6409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(MO)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'14'!$B$9:$M$9</c:f>
              <c:numCache>
                <c:formatCode>#,##0</c:formatCode>
                <c:ptCount val="12"/>
                <c:pt idx="0">
                  <c:v>10986</c:v>
                </c:pt>
                <c:pt idx="1">
                  <c:v>829</c:v>
                </c:pt>
                <c:pt idx="2">
                  <c:v>873</c:v>
                </c:pt>
                <c:pt idx="3">
                  <c:v>840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03872"/>
        <c:axId val="126726144"/>
      </c:barChart>
      <c:catAx>
        <c:axId val="126703872"/>
        <c:scaling>
          <c:orientation val="minMax"/>
        </c:scaling>
        <c:delete val="0"/>
        <c:axPos val="b"/>
        <c:majorTickMark val="out"/>
        <c:minorTickMark val="none"/>
        <c:tickLblPos val="nextTo"/>
        <c:crossAx val="126726144"/>
        <c:crosses val="autoZero"/>
        <c:auto val="1"/>
        <c:lblAlgn val="ctr"/>
        <c:lblOffset val="100"/>
        <c:noMultiLvlLbl val="0"/>
      </c:catAx>
      <c:valAx>
        <c:axId val="1267261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67038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hdphoto" Target="../media/hdphoto5.wdp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microsoft.com/office/2007/relationships/hdphoto" Target="../media/hdphoto2.wdp"/><Relationship Id="rId1" Type="http://schemas.openxmlformats.org/officeDocument/2006/relationships/image" Target="../media/image4.png"/><Relationship Id="rId6" Type="http://schemas.microsoft.com/office/2007/relationships/hdphoto" Target="../media/hdphoto4.wdp"/><Relationship Id="rId5" Type="http://schemas.openxmlformats.org/officeDocument/2006/relationships/image" Target="../media/image6.png"/><Relationship Id="rId10" Type="http://schemas.microsoft.com/office/2007/relationships/hdphoto" Target="../media/hdphoto6.wdp"/><Relationship Id="rId4" Type="http://schemas.microsoft.com/office/2007/relationships/hdphoto" Target="../media/hdphoto3.wdp"/><Relationship Id="rId9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microsoft.com/office/2007/relationships/hdphoto" Target="../media/hdphoto10.wdp"/><Relationship Id="rId13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3.png"/><Relationship Id="rId12" Type="http://schemas.microsoft.com/office/2007/relationships/hdphoto" Target="../media/hdphoto12.wdp"/><Relationship Id="rId2" Type="http://schemas.microsoft.com/office/2007/relationships/hdphoto" Target="../media/hdphoto7.wdp"/><Relationship Id="rId1" Type="http://schemas.openxmlformats.org/officeDocument/2006/relationships/image" Target="../media/image10.png"/><Relationship Id="rId6" Type="http://schemas.microsoft.com/office/2007/relationships/hdphoto" Target="../media/hdphoto9.wdp"/><Relationship Id="rId11" Type="http://schemas.openxmlformats.org/officeDocument/2006/relationships/image" Target="../media/image15.png"/><Relationship Id="rId5" Type="http://schemas.openxmlformats.org/officeDocument/2006/relationships/image" Target="../media/image12.png"/><Relationship Id="rId10" Type="http://schemas.microsoft.com/office/2007/relationships/hdphoto" Target="../media/hdphoto11.wdp"/><Relationship Id="rId4" Type="http://schemas.microsoft.com/office/2007/relationships/hdphoto" Target="../media/hdphoto8.wdp"/><Relationship Id="rId9" Type="http://schemas.openxmlformats.org/officeDocument/2006/relationships/image" Target="../media/image14.png"/><Relationship Id="rId14" Type="http://schemas.microsoft.com/office/2007/relationships/hdphoto" Target="../media/hdphoto13.wdp"/></Relationships>
</file>

<file path=xl/drawings/_rels/drawing8.xml.rels><?xml version="1.0" encoding="UTF-8" standalone="yes"?>
<Relationships xmlns="http://schemas.openxmlformats.org/package/2006/relationships"><Relationship Id="rId8" Type="http://schemas.microsoft.com/office/2007/relationships/hdphoto" Target="../media/hdphoto17.wdp"/><Relationship Id="rId13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0.png"/><Relationship Id="rId12" Type="http://schemas.microsoft.com/office/2007/relationships/hdphoto" Target="../media/hdphoto19.wdp"/><Relationship Id="rId2" Type="http://schemas.microsoft.com/office/2007/relationships/hdphoto" Target="../media/hdphoto14.wdp"/><Relationship Id="rId1" Type="http://schemas.openxmlformats.org/officeDocument/2006/relationships/image" Target="../media/image17.png"/><Relationship Id="rId6" Type="http://schemas.microsoft.com/office/2007/relationships/hdphoto" Target="../media/hdphoto16.wdp"/><Relationship Id="rId11" Type="http://schemas.openxmlformats.org/officeDocument/2006/relationships/image" Target="../media/image22.png"/><Relationship Id="rId5" Type="http://schemas.openxmlformats.org/officeDocument/2006/relationships/image" Target="../media/image19.png"/><Relationship Id="rId10" Type="http://schemas.microsoft.com/office/2007/relationships/hdphoto" Target="../media/hdphoto18.wdp"/><Relationship Id="rId4" Type="http://schemas.microsoft.com/office/2007/relationships/hdphoto" Target="../media/hdphoto15.wdp"/><Relationship Id="rId9" Type="http://schemas.openxmlformats.org/officeDocument/2006/relationships/image" Target="../media/image21.png"/><Relationship Id="rId14" Type="http://schemas.microsoft.com/office/2007/relationships/hdphoto" Target="../media/hdphoto20.wdp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chart" Target="../charts/chart4.xml"/><Relationship Id="rId1" Type="http://schemas.openxmlformats.org/officeDocument/2006/relationships/image" Target="../media/image9.png"/><Relationship Id="rId4" Type="http://schemas.microsoft.com/office/2007/relationships/hdphoto" Target="../media/hdphoto2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20516</xdr:colOff>
      <xdr:row>0</xdr:row>
      <xdr:rowOff>173648</xdr:rowOff>
    </xdr:from>
    <xdr:to>
      <xdr:col>1</xdr:col>
      <xdr:colOff>361950</xdr:colOff>
      <xdr:row>1</xdr:row>
      <xdr:rowOff>220917</xdr:rowOff>
    </xdr:to>
    <xdr:pic>
      <xdr:nvPicPr>
        <xdr:cNvPr id="2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6" y="173648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514350</xdr:colOff>
      <xdr:row>5</xdr:row>
      <xdr:rowOff>314325</xdr:rowOff>
    </xdr:from>
    <xdr:ext cx="5248001" cy="964431"/>
    <xdr:sp macro="" textlink="">
      <xdr:nvSpPr>
        <xdr:cNvPr id="4" name="Obdélník 3"/>
        <xdr:cNvSpPr/>
      </xdr:nvSpPr>
      <xdr:spPr>
        <a:xfrm>
          <a:off x="514350" y="2600325"/>
          <a:ext cx="5248001" cy="96443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MĚSÍČNÍ ZPRÁVA O PROVOZU</a:t>
          </a:r>
        </a:p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PLYNÁRENSKÉ SOUSTAVY ČR</a:t>
          </a:r>
        </a:p>
      </xdr:txBody>
    </xdr:sp>
    <xdr:clientData/>
  </xdr:oneCellAnchor>
  <xdr:twoCellAnchor editAs="oneCell">
    <xdr:from>
      <xdr:col>0</xdr:col>
      <xdr:colOff>381000</xdr:colOff>
      <xdr:row>8</xdr:row>
      <xdr:rowOff>28575</xdr:rowOff>
    </xdr:from>
    <xdr:to>
      <xdr:col>9</xdr:col>
      <xdr:colOff>342900</xdr:colOff>
      <xdr:row>15</xdr:row>
      <xdr:rowOff>114300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686175"/>
          <a:ext cx="5191125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3</xdr:row>
      <xdr:rowOff>85725</xdr:rowOff>
    </xdr:from>
    <xdr:to>
      <xdr:col>15</xdr:col>
      <xdr:colOff>476249</xdr:colOff>
      <xdr:row>24</xdr:row>
      <xdr:rowOff>28576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66675</xdr:colOff>
      <xdr:row>23</xdr:row>
      <xdr:rowOff>142875</xdr:rowOff>
    </xdr:from>
    <xdr:to>
      <xdr:col>15</xdr:col>
      <xdr:colOff>447674</xdr:colOff>
      <xdr:row>41</xdr:row>
      <xdr:rowOff>109537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21</xdr:row>
      <xdr:rowOff>138111</xdr:rowOff>
    </xdr:from>
    <xdr:to>
      <xdr:col>15</xdr:col>
      <xdr:colOff>533400</xdr:colOff>
      <xdr:row>39</xdr:row>
      <xdr:rowOff>28574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12</xdr:row>
      <xdr:rowOff>9525</xdr:rowOff>
    </xdr:from>
    <xdr:to>
      <xdr:col>4</xdr:col>
      <xdr:colOff>523876</xdr:colOff>
      <xdr:row>19</xdr:row>
      <xdr:rowOff>0</xdr:rowOff>
    </xdr:to>
    <xdr:cxnSp macro="">
      <xdr:nvCxnSpPr>
        <xdr:cNvPr id="2" name="Přímá spojnice se šipkou 1"/>
        <xdr:cNvCxnSpPr/>
      </xdr:nvCxnSpPr>
      <xdr:spPr>
        <a:xfrm flipH="1">
          <a:off x="2714625" y="3609975"/>
          <a:ext cx="9526" cy="2190750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22622</xdr:colOff>
      <xdr:row>5</xdr:row>
      <xdr:rowOff>3572</xdr:rowOff>
    </xdr:from>
    <xdr:to>
      <xdr:col>5</xdr:col>
      <xdr:colOff>25978</xdr:colOff>
      <xdr:row>9</xdr:row>
      <xdr:rowOff>303068</xdr:rowOff>
    </xdr:to>
    <xdr:cxnSp macro="">
      <xdr:nvCxnSpPr>
        <xdr:cNvPr id="9" name="Přímá spojnice se šipkou 8"/>
        <xdr:cNvCxnSpPr/>
      </xdr:nvCxnSpPr>
      <xdr:spPr>
        <a:xfrm>
          <a:off x="2803922" y="1403747"/>
          <a:ext cx="3356" cy="155679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482414</xdr:colOff>
      <xdr:row>21</xdr:row>
      <xdr:rowOff>20116</xdr:rowOff>
    </xdr:from>
    <xdr:to>
      <xdr:col>4</xdr:col>
      <xdr:colOff>498289</xdr:colOff>
      <xdr:row>31</xdr:row>
      <xdr:rowOff>19050</xdr:rowOff>
    </xdr:to>
    <xdr:cxnSp macro="">
      <xdr:nvCxnSpPr>
        <xdr:cNvPr id="10" name="Přímá spojnice se šipkou 9"/>
        <xdr:cNvCxnSpPr/>
      </xdr:nvCxnSpPr>
      <xdr:spPr>
        <a:xfrm flipV="1">
          <a:off x="2684370" y="6441087"/>
          <a:ext cx="15875" cy="2957287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7938</xdr:rowOff>
    </xdr:from>
    <xdr:to>
      <xdr:col>4</xdr:col>
      <xdr:colOff>492125</xdr:colOff>
      <xdr:row>5</xdr:row>
      <xdr:rowOff>9525</xdr:rowOff>
    </xdr:to>
    <xdr:cxnSp macro="">
      <xdr:nvCxnSpPr>
        <xdr:cNvPr id="14" name="Přímá spojnice se šipkou 13"/>
        <xdr:cNvCxnSpPr/>
      </xdr:nvCxnSpPr>
      <xdr:spPr>
        <a:xfrm flipH="1">
          <a:off x="1152526" y="1408113"/>
          <a:ext cx="1539874" cy="1587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5</xdr:row>
      <xdr:rowOff>8659</xdr:rowOff>
    </xdr:from>
    <xdr:to>
      <xdr:col>7</xdr:col>
      <xdr:colOff>502227</xdr:colOff>
      <xdr:row>5</xdr:row>
      <xdr:rowOff>9525</xdr:rowOff>
    </xdr:to>
    <xdr:cxnSp macro="">
      <xdr:nvCxnSpPr>
        <xdr:cNvPr id="15" name="Přímá spojnice se šipkou 14"/>
        <xdr:cNvCxnSpPr/>
      </xdr:nvCxnSpPr>
      <xdr:spPr>
        <a:xfrm flipH="1">
          <a:off x="2781301" y="1408834"/>
          <a:ext cx="1597601" cy="86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465426</xdr:colOff>
      <xdr:row>4</xdr:row>
      <xdr:rowOff>311944</xdr:rowOff>
    </xdr:from>
    <xdr:to>
      <xdr:col>4</xdr:col>
      <xdr:colOff>467916</xdr:colOff>
      <xdr:row>9</xdr:row>
      <xdr:rowOff>295130</xdr:rowOff>
    </xdr:to>
    <xdr:cxnSp macro="">
      <xdr:nvCxnSpPr>
        <xdr:cNvPr id="16" name="Přímá spojnice se šipkou 15"/>
        <xdr:cNvCxnSpPr/>
      </xdr:nvCxnSpPr>
      <xdr:spPr>
        <a:xfrm flipV="1">
          <a:off x="2665701" y="1397794"/>
          <a:ext cx="2490" cy="1554811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</xdr:row>
      <xdr:rowOff>95250</xdr:rowOff>
    </xdr:from>
    <xdr:to>
      <xdr:col>8</xdr:col>
      <xdr:colOff>542926</xdr:colOff>
      <xdr:row>3</xdr:row>
      <xdr:rowOff>285750</xdr:rowOff>
    </xdr:to>
    <xdr:cxnSp macro="">
      <xdr:nvCxnSpPr>
        <xdr:cNvPr id="17" name="Přímá spojnice se šipkou 16"/>
        <xdr:cNvCxnSpPr/>
      </xdr:nvCxnSpPr>
      <xdr:spPr>
        <a:xfrm>
          <a:off x="4933950" y="238125"/>
          <a:ext cx="1" cy="819150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528204</xdr:colOff>
      <xdr:row>1</xdr:row>
      <xdr:rowOff>95250</xdr:rowOff>
    </xdr:from>
    <xdr:to>
      <xdr:col>1</xdr:col>
      <xdr:colOff>533400</xdr:colOff>
      <xdr:row>3</xdr:row>
      <xdr:rowOff>285752</xdr:rowOff>
    </xdr:to>
    <xdr:cxnSp macro="">
      <xdr:nvCxnSpPr>
        <xdr:cNvPr id="18" name="Přímá spojnice se šipkou 17"/>
        <xdr:cNvCxnSpPr/>
      </xdr:nvCxnSpPr>
      <xdr:spPr>
        <a:xfrm flipH="1" flipV="1">
          <a:off x="585354" y="238125"/>
          <a:ext cx="5196" cy="819152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1028700</xdr:colOff>
      <xdr:row>10</xdr:row>
      <xdr:rowOff>266700</xdr:rowOff>
    </xdr:to>
    <xdr:cxnSp macro="">
      <xdr:nvCxnSpPr>
        <xdr:cNvPr id="19" name="Pravoúhlá spojnice 18"/>
        <xdr:cNvCxnSpPr/>
      </xdr:nvCxnSpPr>
      <xdr:spPr>
        <a:xfrm>
          <a:off x="1152525" y="2657475"/>
          <a:ext cx="1028700" cy="581025"/>
        </a:xfrm>
        <a:prstGeom prst="bentConnector3">
          <a:avLst/>
        </a:prstGeom>
        <a:ln w="3175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11</xdr:row>
      <xdr:rowOff>53975</xdr:rowOff>
    </xdr:from>
    <xdr:to>
      <xdr:col>3</xdr:col>
      <xdr:colOff>1012828</xdr:colOff>
      <xdr:row>13</xdr:row>
      <xdr:rowOff>9525</xdr:rowOff>
    </xdr:to>
    <xdr:cxnSp macro="">
      <xdr:nvCxnSpPr>
        <xdr:cNvPr id="20" name="Pravoúhlá spojnice 19"/>
        <xdr:cNvCxnSpPr/>
      </xdr:nvCxnSpPr>
      <xdr:spPr>
        <a:xfrm rot="10800000" flipV="1">
          <a:off x="1152525" y="3340100"/>
          <a:ext cx="1012828" cy="584200"/>
        </a:xfrm>
        <a:prstGeom prst="bentConnector3">
          <a:avLst>
            <a:gd name="adj1" fmla="val 50000"/>
          </a:avLst>
        </a:prstGeom>
        <a:ln w="3175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8662</xdr:colOff>
      <xdr:row>7</xdr:row>
      <xdr:rowOff>304799</xdr:rowOff>
    </xdr:from>
    <xdr:to>
      <xdr:col>7</xdr:col>
      <xdr:colOff>504826</xdr:colOff>
      <xdr:row>10</xdr:row>
      <xdr:rowOff>259771</xdr:rowOff>
    </xdr:to>
    <xdr:cxnSp macro="">
      <xdr:nvCxnSpPr>
        <xdr:cNvPr id="21" name="Pravoúhlá spojnice 20"/>
        <xdr:cNvCxnSpPr/>
      </xdr:nvCxnSpPr>
      <xdr:spPr>
        <a:xfrm rot="10800000" flipV="1">
          <a:off x="3304312" y="2333624"/>
          <a:ext cx="1077189" cy="897947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75000"/>
            </a:schemeClr>
          </a:solidFill>
          <a:prstDash val="sysDash"/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</xdr:row>
      <xdr:rowOff>38100</xdr:rowOff>
    </xdr:from>
    <xdr:to>
      <xdr:col>7</xdr:col>
      <xdr:colOff>495300</xdr:colOff>
      <xdr:row>14</xdr:row>
      <xdr:rowOff>19050</xdr:rowOff>
    </xdr:to>
    <xdr:cxnSp macro="">
      <xdr:nvCxnSpPr>
        <xdr:cNvPr id="22" name="Pravoúhlá spojnice 21"/>
        <xdr:cNvCxnSpPr/>
      </xdr:nvCxnSpPr>
      <xdr:spPr>
        <a:xfrm>
          <a:off x="3314700" y="3324225"/>
          <a:ext cx="1057275" cy="923925"/>
        </a:xfrm>
        <a:prstGeom prst="bentConnector3">
          <a:avLst/>
        </a:prstGeom>
        <a:ln w="12700">
          <a:solidFill>
            <a:schemeClr val="accent4">
              <a:lumMod val="75000"/>
            </a:schemeClr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309562</xdr:colOff>
      <xdr:row>19</xdr:row>
      <xdr:rowOff>127000</xdr:rowOff>
    </xdr:from>
    <xdr:to>
      <xdr:col>3</xdr:col>
      <xdr:colOff>674687</xdr:colOff>
      <xdr:row>20</xdr:row>
      <xdr:rowOff>190499</xdr:rowOff>
    </xdr:to>
    <xdr:sp macro="" textlink="">
      <xdr:nvSpPr>
        <xdr:cNvPr id="27" name="Obdélník 26"/>
        <xdr:cNvSpPr/>
      </xdr:nvSpPr>
      <xdr:spPr>
        <a:xfrm>
          <a:off x="1014412" y="5927725"/>
          <a:ext cx="812800" cy="37782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Přeshraniční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plynovod 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(PPL)</a:t>
          </a:r>
        </a:p>
      </xdr:txBody>
    </xdr:sp>
    <xdr:clientData/>
  </xdr:twoCellAnchor>
  <xdr:twoCellAnchor>
    <xdr:from>
      <xdr:col>3</xdr:col>
      <xdr:colOff>15875</xdr:colOff>
      <xdr:row>18</xdr:row>
      <xdr:rowOff>7938</xdr:rowOff>
    </xdr:from>
    <xdr:to>
      <xdr:col>3</xdr:col>
      <xdr:colOff>1020330</xdr:colOff>
      <xdr:row>19</xdr:row>
      <xdr:rowOff>293688</xdr:rowOff>
    </xdr:to>
    <xdr:cxnSp macro="">
      <xdr:nvCxnSpPr>
        <xdr:cNvPr id="28" name="Pravoúhlá spojnice 27"/>
        <xdr:cNvCxnSpPr/>
      </xdr:nvCxnSpPr>
      <xdr:spPr>
        <a:xfrm>
          <a:off x="1168400" y="5494338"/>
          <a:ext cx="1004455" cy="600075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55563</xdr:rowOff>
    </xdr:from>
    <xdr:to>
      <xdr:col>3</xdr:col>
      <xdr:colOff>1022348</xdr:colOff>
      <xdr:row>22</xdr:row>
      <xdr:rowOff>11113</xdr:rowOff>
    </xdr:to>
    <xdr:cxnSp macro="">
      <xdr:nvCxnSpPr>
        <xdr:cNvPr id="29" name="Pravoúhlá spojnice 28"/>
        <xdr:cNvCxnSpPr/>
      </xdr:nvCxnSpPr>
      <xdr:spPr>
        <a:xfrm rot="10800000" flipV="1">
          <a:off x="1152525" y="6170613"/>
          <a:ext cx="1022348" cy="584200"/>
        </a:xfrm>
        <a:prstGeom prst="bentConnector3">
          <a:avLst>
            <a:gd name="adj1" fmla="val 50000"/>
          </a:avLst>
        </a:prstGeom>
        <a:ln w="12700">
          <a:solidFill>
            <a:schemeClr val="accent4">
              <a:lumMod val="60000"/>
              <a:lumOff val="40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23</xdr:row>
      <xdr:rowOff>0</xdr:rowOff>
    </xdr:from>
    <xdr:to>
      <xdr:col>8</xdr:col>
      <xdr:colOff>19050</xdr:colOff>
      <xdr:row>23</xdr:row>
      <xdr:rowOff>0</xdr:rowOff>
    </xdr:to>
    <xdr:cxnSp macro="">
      <xdr:nvCxnSpPr>
        <xdr:cNvPr id="64" name="Přímá spojnice se šipkou 63"/>
        <xdr:cNvCxnSpPr/>
      </xdr:nvCxnSpPr>
      <xdr:spPr>
        <a:xfrm>
          <a:off x="3971925" y="7058025"/>
          <a:ext cx="438150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12</xdr:row>
      <xdr:rowOff>47626</xdr:rowOff>
    </xdr:from>
    <xdr:to>
      <xdr:col>10</xdr:col>
      <xdr:colOff>228600</xdr:colOff>
      <xdr:row>27</xdr:row>
      <xdr:rowOff>295275</xdr:rowOff>
    </xdr:to>
    <xdr:sp macro="" textlink="">
      <xdr:nvSpPr>
        <xdr:cNvPr id="68" name="Obdélník 67"/>
        <xdr:cNvSpPr/>
      </xdr:nvSpPr>
      <xdr:spPr>
        <a:xfrm>
          <a:off x="4124325" y="3648076"/>
          <a:ext cx="1590675" cy="4962524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501650</xdr:colOff>
      <xdr:row>17</xdr:row>
      <xdr:rowOff>0</xdr:rowOff>
    </xdr:from>
    <xdr:to>
      <xdr:col>7</xdr:col>
      <xdr:colOff>504825</xdr:colOff>
      <xdr:row>19</xdr:row>
      <xdr:rowOff>217488</xdr:rowOff>
    </xdr:to>
    <xdr:cxnSp macro="">
      <xdr:nvCxnSpPr>
        <xdr:cNvPr id="72" name="Pravoúhlá spojnice 71"/>
        <xdr:cNvCxnSpPr/>
      </xdr:nvCxnSpPr>
      <xdr:spPr>
        <a:xfrm flipV="1">
          <a:off x="3282950" y="5172075"/>
          <a:ext cx="1098550" cy="846138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470647</xdr:colOff>
      <xdr:row>31</xdr:row>
      <xdr:rowOff>11205</xdr:rowOff>
    </xdr:from>
    <xdr:to>
      <xdr:col>7</xdr:col>
      <xdr:colOff>100853</xdr:colOff>
      <xdr:row>31</xdr:row>
      <xdr:rowOff>22411</xdr:rowOff>
    </xdr:to>
    <xdr:cxnSp macro="">
      <xdr:nvCxnSpPr>
        <xdr:cNvPr id="85" name="Přímá spojnice se šipkou 84"/>
        <xdr:cNvCxnSpPr/>
      </xdr:nvCxnSpPr>
      <xdr:spPr>
        <a:xfrm flipH="1">
          <a:off x="2672603" y="9390529"/>
          <a:ext cx="1311088" cy="11206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22</xdr:row>
      <xdr:rowOff>304802</xdr:rowOff>
    </xdr:from>
    <xdr:to>
      <xdr:col>7</xdr:col>
      <xdr:colOff>104775</xdr:colOff>
      <xdr:row>31</xdr:row>
      <xdr:rowOff>19050</xdr:rowOff>
    </xdr:to>
    <xdr:cxnSp macro="">
      <xdr:nvCxnSpPr>
        <xdr:cNvPr id="101" name="Přímá spojnice se šipkou 100"/>
        <xdr:cNvCxnSpPr/>
      </xdr:nvCxnSpPr>
      <xdr:spPr>
        <a:xfrm flipV="1">
          <a:off x="3971925" y="7048502"/>
          <a:ext cx="9525" cy="2362198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26</xdr:row>
      <xdr:rowOff>28575</xdr:rowOff>
    </xdr:from>
    <xdr:to>
      <xdr:col>8</xdr:col>
      <xdr:colOff>19050</xdr:colOff>
      <xdr:row>26</xdr:row>
      <xdr:rowOff>28575</xdr:rowOff>
    </xdr:to>
    <xdr:cxnSp macro="">
      <xdr:nvCxnSpPr>
        <xdr:cNvPr id="113" name="Přímá spojnice se šipkou 112"/>
        <xdr:cNvCxnSpPr/>
      </xdr:nvCxnSpPr>
      <xdr:spPr>
        <a:xfrm>
          <a:off x="3981450" y="8029575"/>
          <a:ext cx="428625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503890</xdr:colOff>
      <xdr:row>20</xdr:row>
      <xdr:rowOff>140633</xdr:rowOff>
    </xdr:from>
    <xdr:to>
      <xdr:col>7</xdr:col>
      <xdr:colOff>507065</xdr:colOff>
      <xdr:row>23</xdr:row>
      <xdr:rowOff>44356</xdr:rowOff>
    </xdr:to>
    <xdr:cxnSp macro="">
      <xdr:nvCxnSpPr>
        <xdr:cNvPr id="134" name="Pravoúhlá spojnice 133"/>
        <xdr:cNvCxnSpPr/>
      </xdr:nvCxnSpPr>
      <xdr:spPr>
        <a:xfrm flipV="1">
          <a:off x="3288552" y="6247839"/>
          <a:ext cx="1101351" cy="845017"/>
        </a:xfrm>
        <a:prstGeom prst="bentConnector3">
          <a:avLst>
            <a:gd name="adj1" fmla="val 7266"/>
          </a:avLst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16436</xdr:colOff>
      <xdr:row>21</xdr:row>
      <xdr:rowOff>27547</xdr:rowOff>
    </xdr:from>
    <xdr:to>
      <xdr:col>5</xdr:col>
      <xdr:colOff>509868</xdr:colOff>
      <xdr:row>22</xdr:row>
      <xdr:rowOff>302558</xdr:rowOff>
    </xdr:to>
    <xdr:cxnSp macro="">
      <xdr:nvCxnSpPr>
        <xdr:cNvPr id="137" name="Pravoúhlá spojnice 136"/>
        <xdr:cNvCxnSpPr/>
      </xdr:nvCxnSpPr>
      <xdr:spPr>
        <a:xfrm rot="16200000" flipH="1">
          <a:off x="2753426" y="6496190"/>
          <a:ext cx="588775" cy="493432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498661</xdr:colOff>
      <xdr:row>20</xdr:row>
      <xdr:rowOff>16809</xdr:rowOff>
    </xdr:from>
    <xdr:to>
      <xdr:col>8</xdr:col>
      <xdr:colOff>4672</xdr:colOff>
      <xdr:row>20</xdr:row>
      <xdr:rowOff>19507</xdr:rowOff>
    </xdr:to>
    <xdr:cxnSp macro="">
      <xdr:nvCxnSpPr>
        <xdr:cNvPr id="139" name="Přímá spojnice se šipkou 138"/>
        <xdr:cNvCxnSpPr/>
      </xdr:nvCxnSpPr>
      <xdr:spPr>
        <a:xfrm flipV="1">
          <a:off x="3283323" y="6124015"/>
          <a:ext cx="1119658" cy="2698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95250</xdr:rowOff>
    </xdr:from>
    <xdr:to>
      <xdr:col>13</xdr:col>
      <xdr:colOff>523875</xdr:colOff>
      <xdr:row>36</xdr:row>
      <xdr:rowOff>9525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81050"/>
          <a:ext cx="8382000" cy="509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21</xdr:row>
      <xdr:rowOff>209550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9525</xdr:colOff>
      <xdr:row>23</xdr:row>
      <xdr:rowOff>190500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76200</xdr:colOff>
      <xdr:row>24</xdr:row>
      <xdr:rowOff>200025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76200" y="536257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76200" y="536257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9525</xdr:rowOff>
    </xdr:from>
    <xdr:to>
      <xdr:col>3</xdr:col>
      <xdr:colOff>752475</xdr:colOff>
      <xdr:row>26</xdr:row>
      <xdr:rowOff>142875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38150"/>
          <a:ext cx="5962650" cy="780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25</xdr:row>
      <xdr:rowOff>9525</xdr:rowOff>
    </xdr:from>
    <xdr:to>
      <xdr:col>8</xdr:col>
      <xdr:colOff>847725</xdr:colOff>
      <xdr:row>36</xdr:row>
      <xdr:rowOff>104774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25</xdr:row>
      <xdr:rowOff>151613</xdr:rowOff>
    </xdr:from>
    <xdr:to>
      <xdr:col>2</xdr:col>
      <xdr:colOff>1943100</xdr:colOff>
      <xdr:row>35</xdr:row>
      <xdr:rowOff>153884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771238"/>
          <a:ext cx="2952750" cy="1869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37</xdr:row>
      <xdr:rowOff>66675</xdr:rowOff>
    </xdr:from>
    <xdr:to>
      <xdr:col>1</xdr:col>
      <xdr:colOff>152213</xdr:colOff>
      <xdr:row>42</xdr:row>
      <xdr:rowOff>161800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" y="68008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19</xdr:row>
      <xdr:rowOff>76200</xdr:rowOff>
    </xdr:from>
    <xdr:to>
      <xdr:col>1</xdr:col>
      <xdr:colOff>171263</xdr:colOff>
      <xdr:row>24</xdr:row>
      <xdr:rowOff>171325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3552825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</xdr:row>
      <xdr:rowOff>57150</xdr:rowOff>
    </xdr:from>
    <xdr:to>
      <xdr:col>1</xdr:col>
      <xdr:colOff>161738</xdr:colOff>
      <xdr:row>33</xdr:row>
      <xdr:rowOff>152275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51625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</xdr:row>
      <xdr:rowOff>76200</xdr:rowOff>
    </xdr:from>
    <xdr:to>
      <xdr:col>1</xdr:col>
      <xdr:colOff>161738</xdr:colOff>
      <xdr:row>15</xdr:row>
      <xdr:rowOff>171325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19240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21</xdr:row>
      <xdr:rowOff>85726</xdr:rowOff>
    </xdr:from>
    <xdr:to>
      <xdr:col>0</xdr:col>
      <xdr:colOff>700988</xdr:colOff>
      <xdr:row>22</xdr:row>
      <xdr:rowOff>48285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4825" y="3924301"/>
          <a:ext cx="196163" cy="1435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9</xdr:row>
      <xdr:rowOff>161925</xdr:rowOff>
    </xdr:from>
    <xdr:to>
      <xdr:col>1</xdr:col>
      <xdr:colOff>171263</xdr:colOff>
      <xdr:row>15</xdr:row>
      <xdr:rowOff>76075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182880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45</xdr:row>
      <xdr:rowOff>85725</xdr:rowOff>
    </xdr:from>
    <xdr:to>
      <xdr:col>0</xdr:col>
      <xdr:colOff>1219237</xdr:colOff>
      <xdr:row>47</xdr:row>
      <xdr:rowOff>112938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191500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104775</xdr:colOff>
      <xdr:row>49</xdr:row>
      <xdr:rowOff>9525</xdr:rowOff>
    </xdr:from>
    <xdr:to>
      <xdr:col>1</xdr:col>
      <xdr:colOff>218888</xdr:colOff>
      <xdr:row>54</xdr:row>
      <xdr:rowOff>66550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8801100"/>
          <a:ext cx="1495238" cy="1000000"/>
        </a:xfrm>
        <a:prstGeom prst="rect">
          <a:avLst/>
        </a:prstGeom>
      </xdr:spPr>
    </xdr:pic>
    <xdr:clientData/>
  </xdr:twoCellAnchor>
  <xdr:twoCellAnchor>
    <xdr:from>
      <xdr:col>0</xdr:col>
      <xdr:colOff>76199</xdr:colOff>
      <xdr:row>19</xdr:row>
      <xdr:rowOff>171450</xdr:rowOff>
    </xdr:from>
    <xdr:to>
      <xdr:col>10</xdr:col>
      <xdr:colOff>409574</xdr:colOff>
      <xdr:row>30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85724</xdr:colOff>
      <xdr:row>32</xdr:row>
      <xdr:rowOff>161925</xdr:rowOff>
    </xdr:from>
    <xdr:to>
      <xdr:col>10</xdr:col>
      <xdr:colOff>380999</xdr:colOff>
      <xdr:row>42</xdr:row>
      <xdr:rowOff>104775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25</xdr:row>
      <xdr:rowOff>0</xdr:rowOff>
    </xdr:from>
    <xdr:to>
      <xdr:col>0</xdr:col>
      <xdr:colOff>1171481</xdr:colOff>
      <xdr:row>27</xdr:row>
      <xdr:rowOff>171386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9100" y="4362450"/>
          <a:ext cx="752381" cy="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38</xdr:row>
      <xdr:rowOff>85725</xdr:rowOff>
    </xdr:from>
    <xdr:to>
      <xdr:col>0</xdr:col>
      <xdr:colOff>1304806</xdr:colOff>
      <xdr:row>42</xdr:row>
      <xdr:rowOff>9449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6638925"/>
          <a:ext cx="952381" cy="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31</xdr:row>
      <xdr:rowOff>57150</xdr:rowOff>
    </xdr:from>
    <xdr:to>
      <xdr:col>0</xdr:col>
      <xdr:colOff>1276225</xdr:colOff>
      <xdr:row>35</xdr:row>
      <xdr:rowOff>95160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6225" y="5429250"/>
          <a:ext cx="1000000" cy="7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52</xdr:row>
      <xdr:rowOff>9525</xdr:rowOff>
    </xdr:from>
    <xdr:to>
      <xdr:col>0</xdr:col>
      <xdr:colOff>1181012</xdr:colOff>
      <xdr:row>57</xdr:row>
      <xdr:rowOff>152275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0" y="8924925"/>
          <a:ext cx="704762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17</xdr:row>
      <xdr:rowOff>19050</xdr:rowOff>
    </xdr:from>
    <xdr:to>
      <xdr:col>1</xdr:col>
      <xdr:colOff>66511</xdr:colOff>
      <xdr:row>22</xdr:row>
      <xdr:rowOff>9419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3350" y="3028950"/>
          <a:ext cx="1314286" cy="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45</xdr:row>
      <xdr:rowOff>28575</xdr:rowOff>
    </xdr:from>
    <xdr:to>
      <xdr:col>0</xdr:col>
      <xdr:colOff>1342893</xdr:colOff>
      <xdr:row>49</xdr:row>
      <xdr:rowOff>171346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5750" y="7762875"/>
          <a:ext cx="1057143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9</xdr:row>
      <xdr:rowOff>152400</xdr:rowOff>
    </xdr:from>
    <xdr:to>
      <xdr:col>1</xdr:col>
      <xdr:colOff>37963</xdr:colOff>
      <xdr:row>15</xdr:row>
      <xdr:rowOff>47511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3850" y="1819275"/>
          <a:ext cx="1095238" cy="9142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17</xdr:row>
      <xdr:rowOff>19050</xdr:rowOff>
    </xdr:from>
    <xdr:to>
      <xdr:col>0</xdr:col>
      <xdr:colOff>1161950</xdr:colOff>
      <xdr:row>22</xdr:row>
      <xdr:rowOff>123705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1950" y="3028950"/>
          <a:ext cx="800000" cy="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25</xdr:row>
      <xdr:rowOff>28575</xdr:rowOff>
    </xdr:from>
    <xdr:to>
      <xdr:col>0</xdr:col>
      <xdr:colOff>1142925</xdr:colOff>
      <xdr:row>28</xdr:row>
      <xdr:rowOff>9463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2925" y="4391025"/>
          <a:ext cx="600000" cy="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38</xdr:row>
      <xdr:rowOff>76200</xdr:rowOff>
    </xdr:from>
    <xdr:to>
      <xdr:col>0</xdr:col>
      <xdr:colOff>1342894</xdr:colOff>
      <xdr:row>43</xdr:row>
      <xdr:rowOff>47521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5275" y="6629400"/>
          <a:ext cx="1047619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30</xdr:row>
      <xdr:rowOff>142875</xdr:rowOff>
    </xdr:from>
    <xdr:to>
      <xdr:col>1</xdr:col>
      <xdr:colOff>47466</xdr:colOff>
      <xdr:row>36</xdr:row>
      <xdr:rowOff>95129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5353050"/>
          <a:ext cx="1276191" cy="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10</xdr:row>
      <xdr:rowOff>38100</xdr:rowOff>
    </xdr:from>
    <xdr:to>
      <xdr:col>0</xdr:col>
      <xdr:colOff>1342885</xdr:colOff>
      <xdr:row>14</xdr:row>
      <xdr:rowOff>28491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1866900"/>
          <a:ext cx="1123810" cy="6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45</xdr:row>
      <xdr:rowOff>38100</xdr:rowOff>
    </xdr:from>
    <xdr:to>
      <xdr:col>0</xdr:col>
      <xdr:colOff>1352410</xdr:colOff>
      <xdr:row>50</xdr:row>
      <xdr:rowOff>18945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" y="7772400"/>
          <a:ext cx="1123810" cy="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52</xdr:row>
      <xdr:rowOff>133350</xdr:rowOff>
    </xdr:from>
    <xdr:to>
      <xdr:col>0</xdr:col>
      <xdr:colOff>1161949</xdr:colOff>
      <xdr:row>56</xdr:row>
      <xdr:rowOff>76121</xdr:rowOff>
    </xdr:to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9048750"/>
          <a:ext cx="809524" cy="6285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45</xdr:row>
      <xdr:rowOff>133350</xdr:rowOff>
    </xdr:from>
    <xdr:to>
      <xdr:col>0</xdr:col>
      <xdr:colOff>1257337</xdr:colOff>
      <xdr:row>48</xdr:row>
      <xdr:rowOff>46263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7115175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31</xdr:row>
      <xdr:rowOff>133350</xdr:rowOff>
    </xdr:from>
    <xdr:to>
      <xdr:col>9</xdr:col>
      <xdr:colOff>400050</xdr:colOff>
      <xdr:row>44</xdr:row>
      <xdr:rowOff>47625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47625</xdr:colOff>
      <xdr:row>14</xdr:row>
      <xdr:rowOff>33450</xdr:rowOff>
    </xdr:from>
    <xdr:to>
      <xdr:col>2</xdr:col>
      <xdr:colOff>66675</xdr:colOff>
      <xdr:row>20</xdr:row>
      <xdr:rowOff>79785</xdr:rowOff>
    </xdr:to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86125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54</xdr:row>
      <xdr:rowOff>66675</xdr:rowOff>
    </xdr:from>
    <xdr:to>
      <xdr:col>2</xdr:col>
      <xdr:colOff>47625</xdr:colOff>
      <xdr:row>60</xdr:row>
      <xdr:rowOff>113010</xdr:rowOff>
    </xdr:to>
    <xdr:pic>
      <xdr:nvPicPr>
        <xdr:cNvPr id="17" name="Obrázek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420100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pravni%20soustav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Uskladnen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Obchod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%20-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yrob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%20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%20-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potreba%20na%20vyrobu%20elektri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pravní soustava"/>
      <sheetName val="Mapa P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>
        <row r="1">
          <cell r="C1" t="str">
            <v>Leden</v>
          </cell>
          <cell r="D1"/>
          <cell r="E1"/>
          <cell r="F1" t="str">
            <v>Únor</v>
          </cell>
          <cell r="G1"/>
          <cell r="H1"/>
          <cell r="I1" t="str">
            <v>Březen</v>
          </cell>
          <cell r="J1"/>
          <cell r="K1"/>
          <cell r="L1" t="str">
            <v>Duben</v>
          </cell>
          <cell r="M1"/>
          <cell r="N1"/>
          <cell r="O1" t="str">
            <v>Květen</v>
          </cell>
          <cell r="P1"/>
          <cell r="Q1"/>
          <cell r="R1" t="str">
            <v>Červen</v>
          </cell>
          <cell r="S1"/>
          <cell r="T1"/>
          <cell r="U1" t="str">
            <v>Červenec</v>
          </cell>
          <cell r="V1"/>
          <cell r="W1"/>
          <cell r="X1" t="str">
            <v>Srpen</v>
          </cell>
          <cell r="Y1"/>
          <cell r="Z1"/>
          <cell r="AA1" t="str">
            <v>Září</v>
          </cell>
          <cell r="AB1"/>
          <cell r="AC1"/>
          <cell r="AD1" t="str">
            <v>Říjen</v>
          </cell>
          <cell r="AE1"/>
          <cell r="AF1"/>
          <cell r="AG1" t="str">
            <v>Listopad</v>
          </cell>
          <cell r="AH1"/>
          <cell r="AI1"/>
          <cell r="AJ1" t="str">
            <v>Prosinec</v>
          </cell>
          <cell r="AK1"/>
          <cell r="AL1"/>
        </row>
        <row r="13">
          <cell r="C13">
            <v>3284597.7726739408</v>
          </cell>
          <cell r="D13">
            <v>34908877.997999996</v>
          </cell>
          <cell r="E13"/>
          <cell r="F13">
            <v>2481674.016246439</v>
          </cell>
          <cell r="G13">
            <v>26389225.865000002</v>
          </cell>
          <cell r="H13"/>
          <cell r="I13">
            <v>3307686.053381158</v>
          </cell>
          <cell r="J13">
            <v>35181867.898999996</v>
          </cell>
          <cell r="K13"/>
          <cell r="L13">
            <v>3359554.1312374724</v>
          </cell>
          <cell r="M13">
            <v>35761425.901000001</v>
          </cell>
          <cell r="N13"/>
          <cell r="O13">
            <v>0</v>
          </cell>
          <cell r="P13">
            <v>0</v>
          </cell>
          <cell r="Q13"/>
          <cell r="R13">
            <v>0</v>
          </cell>
          <cell r="S13">
            <v>0</v>
          </cell>
          <cell r="T13"/>
          <cell r="U13">
            <v>0</v>
          </cell>
          <cell r="V13">
            <v>0</v>
          </cell>
          <cell r="W13"/>
          <cell r="X13">
            <v>0</v>
          </cell>
          <cell r="Y13">
            <v>0</v>
          </cell>
          <cell r="Z13"/>
          <cell r="AA13">
            <v>0</v>
          </cell>
          <cell r="AB13">
            <v>0</v>
          </cell>
          <cell r="AC13"/>
          <cell r="AD13">
            <v>0</v>
          </cell>
          <cell r="AE13">
            <v>0</v>
          </cell>
          <cell r="AF13"/>
          <cell r="AG13">
            <v>0</v>
          </cell>
          <cell r="AH13">
            <v>0</v>
          </cell>
          <cell r="AI13"/>
          <cell r="AJ13">
            <v>0</v>
          </cell>
          <cell r="AK13">
            <v>0</v>
          </cell>
          <cell r="AL13"/>
        </row>
        <row r="22">
          <cell r="C22">
            <v>2846183.9375417819</v>
          </cell>
          <cell r="D22">
            <v>30277699.544</v>
          </cell>
          <cell r="E22"/>
          <cell r="F22">
            <v>2213891.0476241913</v>
          </cell>
          <cell r="G22">
            <v>23561182.171999998</v>
          </cell>
          <cell r="H22"/>
          <cell r="I22">
            <v>2973257.2703896565</v>
          </cell>
          <cell r="J22">
            <v>31637112.546</v>
          </cell>
          <cell r="K22"/>
          <cell r="L22">
            <v>2717204.5553303575</v>
          </cell>
          <cell r="M22">
            <v>28932320.229000002</v>
          </cell>
          <cell r="N22"/>
          <cell r="O22">
            <v>0</v>
          </cell>
          <cell r="P22">
            <v>0</v>
          </cell>
          <cell r="Q22"/>
          <cell r="R22">
            <v>0</v>
          </cell>
          <cell r="S22">
            <v>0</v>
          </cell>
          <cell r="T22"/>
          <cell r="U22">
            <v>0</v>
          </cell>
          <cell r="V22">
            <v>0</v>
          </cell>
          <cell r="W22"/>
          <cell r="X22">
            <v>0</v>
          </cell>
          <cell r="Y22">
            <v>0</v>
          </cell>
          <cell r="Z22"/>
          <cell r="AA22">
            <v>0</v>
          </cell>
          <cell r="AB22">
            <v>0</v>
          </cell>
          <cell r="AC22"/>
          <cell r="AD22">
            <v>0</v>
          </cell>
          <cell r="AE22">
            <v>0</v>
          </cell>
          <cell r="AF22"/>
          <cell r="AG22">
            <v>0</v>
          </cell>
          <cell r="AH22">
            <v>0</v>
          </cell>
          <cell r="AI22"/>
          <cell r="AJ22">
            <v>0</v>
          </cell>
          <cell r="AK22">
            <v>0</v>
          </cell>
          <cell r="AL22"/>
        </row>
        <row r="39">
          <cell r="C39">
            <v>573650.40300000005</v>
          </cell>
          <cell r="D39">
            <v>6106704.102</v>
          </cell>
          <cell r="E39">
            <v>10.65</v>
          </cell>
          <cell r="F39">
            <v>650553.049</v>
          </cell>
          <cell r="G39">
            <v>6925308.665</v>
          </cell>
          <cell r="H39">
            <v>10.65</v>
          </cell>
          <cell r="I39">
            <v>520993.69699999999</v>
          </cell>
          <cell r="J39">
            <v>5543431.2829999998</v>
          </cell>
          <cell r="K39">
            <v>10.64</v>
          </cell>
          <cell r="L39">
            <v>19612.136999999999</v>
          </cell>
          <cell r="M39">
            <v>209480.465</v>
          </cell>
          <cell r="N39">
            <v>10.68</v>
          </cell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</row>
        <row r="40">
          <cell r="C40">
            <v>89425.907999999996</v>
          </cell>
          <cell r="D40">
            <v>953215.14300000004</v>
          </cell>
          <cell r="E40">
            <v>10.66</v>
          </cell>
          <cell r="F40">
            <v>80291.332999999999</v>
          </cell>
          <cell r="G40">
            <v>856155.28</v>
          </cell>
          <cell r="H40">
            <v>10.66</v>
          </cell>
          <cell r="I40">
            <v>10269.011</v>
          </cell>
          <cell r="J40">
            <v>109649.08900000001</v>
          </cell>
          <cell r="K40">
            <v>10.68</v>
          </cell>
          <cell r="L40">
            <v>20922.178</v>
          </cell>
          <cell r="M40">
            <v>223151.84099999999</v>
          </cell>
          <cell r="N40">
            <v>10.67</v>
          </cell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</row>
        <row r="41">
          <cell r="C41">
            <v>663076.31099999999</v>
          </cell>
          <cell r="D41">
            <v>7059919.2450000001</v>
          </cell>
          <cell r="E41"/>
          <cell r="F41">
            <v>730844.38199999998</v>
          </cell>
          <cell r="G41">
            <v>7781463.9450000003</v>
          </cell>
          <cell r="H41"/>
          <cell r="I41">
            <v>531262.70799999998</v>
          </cell>
          <cell r="J41">
            <v>5653080.3719999995</v>
          </cell>
          <cell r="K41"/>
          <cell r="L41">
            <v>40534.315000000002</v>
          </cell>
          <cell r="M41">
            <v>432632.30599999998</v>
          </cell>
          <cell r="N41"/>
          <cell r="O41">
            <v>0</v>
          </cell>
          <cell r="P41">
            <v>0</v>
          </cell>
          <cell r="Q41"/>
          <cell r="R41">
            <v>0</v>
          </cell>
          <cell r="S41">
            <v>0</v>
          </cell>
          <cell r="T41"/>
          <cell r="U41">
            <v>0</v>
          </cell>
          <cell r="V41">
            <v>0</v>
          </cell>
          <cell r="W41"/>
          <cell r="X41">
            <v>0</v>
          </cell>
          <cell r="Y41">
            <v>0</v>
          </cell>
          <cell r="Z41"/>
          <cell r="AA41">
            <v>0</v>
          </cell>
          <cell r="AB41">
            <v>0</v>
          </cell>
          <cell r="AC41"/>
          <cell r="AD41">
            <v>0</v>
          </cell>
          <cell r="AE41">
            <v>0</v>
          </cell>
          <cell r="AF41"/>
          <cell r="AG41">
            <v>0</v>
          </cell>
          <cell r="AH41">
            <v>0</v>
          </cell>
          <cell r="AI41"/>
          <cell r="AJ41">
            <v>0</v>
          </cell>
          <cell r="AK41">
            <v>0</v>
          </cell>
          <cell r="AL41"/>
        </row>
        <row r="43">
          <cell r="C43">
            <v>16494.134999999998</v>
          </cell>
          <cell r="D43">
            <v>175246.745</v>
          </cell>
          <cell r="E43">
            <v>10.62</v>
          </cell>
          <cell r="F43">
            <v>9555.2060000000001</v>
          </cell>
          <cell r="G43">
            <v>101322.443</v>
          </cell>
          <cell r="H43">
            <v>10.6</v>
          </cell>
          <cell r="I43">
            <v>7337.4359999999997</v>
          </cell>
          <cell r="J43">
            <v>77854.175000000003</v>
          </cell>
          <cell r="K43">
            <v>10.61</v>
          </cell>
          <cell r="L43">
            <v>47143.756999999998</v>
          </cell>
          <cell r="M43">
            <v>501814.75199999998</v>
          </cell>
          <cell r="N43">
            <v>10.638799537605836</v>
          </cell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1700.079</v>
          </cell>
          <cell r="J44">
            <v>18102.565999999999</v>
          </cell>
          <cell r="K44">
            <v>10.64807341305904</v>
          </cell>
          <cell r="L44">
            <v>4902.3109999999997</v>
          </cell>
          <cell r="M44">
            <v>52154.703999999998</v>
          </cell>
          <cell r="N44">
            <v>10.638799537605836</v>
          </cell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</row>
        <row r="45">
          <cell r="C45">
            <v>16494.134999999998</v>
          </cell>
          <cell r="D45">
            <v>175246.745</v>
          </cell>
          <cell r="E45"/>
          <cell r="F45">
            <v>9555.2060000000001</v>
          </cell>
          <cell r="G45">
            <v>101322.443</v>
          </cell>
          <cell r="H45"/>
          <cell r="I45">
            <v>9037.5149999999994</v>
          </cell>
          <cell r="J45">
            <v>95956.741000000009</v>
          </cell>
          <cell r="K45"/>
          <cell r="L45">
            <v>52046.067999999999</v>
          </cell>
          <cell r="M45">
            <v>553969.45600000001</v>
          </cell>
          <cell r="N45"/>
          <cell r="O45">
            <v>0</v>
          </cell>
          <cell r="P45">
            <v>0</v>
          </cell>
          <cell r="Q45"/>
          <cell r="R45">
            <v>0</v>
          </cell>
          <cell r="S45">
            <v>0</v>
          </cell>
          <cell r="T45"/>
          <cell r="U45">
            <v>0</v>
          </cell>
          <cell r="V45">
            <v>0</v>
          </cell>
          <cell r="W45"/>
          <cell r="X45">
            <v>0</v>
          </cell>
          <cell r="Y45">
            <v>0</v>
          </cell>
          <cell r="Z45"/>
          <cell r="AA45">
            <v>0</v>
          </cell>
          <cell r="AB45">
            <v>0</v>
          </cell>
          <cell r="AC45"/>
          <cell r="AD45">
            <v>0</v>
          </cell>
          <cell r="AE45">
            <v>0</v>
          </cell>
          <cell r="AF45"/>
          <cell r="AG45">
            <v>0</v>
          </cell>
          <cell r="AH45">
            <v>0</v>
          </cell>
          <cell r="AI45"/>
          <cell r="AJ45">
            <v>0</v>
          </cell>
          <cell r="AK45">
            <v>0</v>
          </cell>
          <cell r="AL45"/>
        </row>
        <row r="49">
          <cell r="C49">
            <v>18117.960132158838</v>
          </cell>
          <cell r="D49">
            <v>179509.49799999513</v>
          </cell>
          <cell r="E49"/>
          <cell r="F49">
            <v>12684.402622247586</v>
          </cell>
          <cell r="G49">
            <v>129101.78000000303</v>
          </cell>
          <cell r="H49"/>
          <cell r="I49">
            <v>6013.9529915014427</v>
          </cell>
          <cell r="J49">
            <v>61052.843999995297</v>
          </cell>
          <cell r="K49"/>
          <cell r="L49">
            <v>22137.01290711484</v>
          </cell>
          <cell r="M49">
            <v>234875.3429999979</v>
          </cell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ZP přehled (kontrola)"/>
      <sheetName val="PZP ČR (den 1-12)"/>
      <sheetName val="PZP celk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Stav zásob Č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C3">
            <v>1506.0067398421697</v>
          </cell>
          <cell r="D3">
            <v>784.71756384216962</v>
          </cell>
          <cell r="E3">
            <v>262.49237084216952</v>
          </cell>
          <cell r="F3">
            <v>274.00412384216952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C4">
            <v>16158.764895715989</v>
          </cell>
          <cell r="D4">
            <v>8478.6233937159905</v>
          </cell>
          <cell r="E4">
            <v>2921.4997627159905</v>
          </cell>
          <cell r="F4">
            <v>3042.8369127159904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EIC"/>
      <sheetName val="SzD"/>
      <sheetName val="OPM-ZD"/>
      <sheetName val="+DZ"/>
      <sheetName val="+DZ (RU,NO,EU)"/>
      <sheetName val="-VZ"/>
      <sheetName val="RD"/>
      <sheetName val="List1"/>
      <sheetName val="List2"/>
      <sheetName val="Podklady MZ"/>
      <sheetName val="BS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B3">
            <v>281</v>
          </cell>
          <cell r="C3">
            <v>10</v>
          </cell>
          <cell r="D3">
            <v>3</v>
          </cell>
          <cell r="E3">
            <v>2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</row>
        <row r="4">
          <cell r="B4">
            <v>1043</v>
          </cell>
          <cell r="C4">
            <v>27</v>
          </cell>
          <cell r="D4">
            <v>19</v>
          </cell>
          <cell r="E4">
            <v>33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10986</v>
          </cell>
          <cell r="C5">
            <v>829</v>
          </cell>
          <cell r="D5">
            <v>873</v>
          </cell>
          <cell r="E5">
            <v>840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17564</v>
          </cell>
          <cell r="C6">
            <v>10538</v>
          </cell>
          <cell r="D6">
            <v>10953</v>
          </cell>
          <cell r="E6">
            <v>11210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</sheetData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  <sheetName val="max-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D18">
            <v>29819936.957415216</v>
          </cell>
        </row>
        <row r="19">
          <cell r="D19">
            <v>32181140.578438226</v>
          </cell>
        </row>
        <row r="20">
          <cell r="D20">
            <v>30611301.271536976</v>
          </cell>
        </row>
        <row r="21">
          <cell r="D21">
            <v>28224276.360862739</v>
          </cell>
        </row>
        <row r="22">
          <cell r="D22">
            <v>28323624.258618794</v>
          </cell>
        </row>
        <row r="23">
          <cell r="D23">
            <v>31171524.739816651</v>
          </cell>
        </row>
        <row r="24">
          <cell r="D24">
            <v>30816836.681936197</v>
          </cell>
        </row>
        <row r="25">
          <cell r="D25">
            <v>30577419.43128461</v>
          </cell>
        </row>
        <row r="26">
          <cell r="D26">
            <v>30777918.144393019</v>
          </cell>
        </row>
        <row r="27">
          <cell r="D27">
            <v>30132613.917439219</v>
          </cell>
        </row>
        <row r="28">
          <cell r="D28">
            <v>28231570.981800593</v>
          </cell>
        </row>
        <row r="29">
          <cell r="D29">
            <v>31152940.276994567</v>
          </cell>
        </row>
        <row r="30">
          <cell r="D30">
            <v>35425663.245407186</v>
          </cell>
        </row>
        <row r="31">
          <cell r="D31">
            <v>34838520.341589764</v>
          </cell>
        </row>
        <row r="32">
          <cell r="D32">
            <v>34682102.113843575</v>
          </cell>
        </row>
        <row r="33">
          <cell r="D33">
            <v>34384923.93692486</v>
          </cell>
        </row>
        <row r="34">
          <cell r="D34">
            <v>32004779.962782681</v>
          </cell>
        </row>
        <row r="35">
          <cell r="D35">
            <v>28838252.436416097</v>
          </cell>
        </row>
        <row r="36">
          <cell r="D36">
            <v>26914539.897812866</v>
          </cell>
        </row>
        <row r="37">
          <cell r="D37">
            <v>30805382.238471903</v>
          </cell>
        </row>
        <row r="38">
          <cell r="D38">
            <v>34268652.363794796</v>
          </cell>
        </row>
        <row r="39">
          <cell r="D39">
            <v>36969258.31873972</v>
          </cell>
        </row>
        <row r="40">
          <cell r="D40">
            <v>39515937.993420221</v>
          </cell>
        </row>
        <row r="41">
          <cell r="D41">
            <v>39912823.833141237</v>
          </cell>
        </row>
        <row r="42">
          <cell r="D42">
            <v>41907181.763192102</v>
          </cell>
        </row>
        <row r="43">
          <cell r="D43">
            <v>43863809.0545035</v>
          </cell>
        </row>
        <row r="44">
          <cell r="D44">
            <v>44959295.144984566</v>
          </cell>
        </row>
        <row r="45">
          <cell r="D45">
            <v>42900737.261999913</v>
          </cell>
        </row>
        <row r="46">
          <cell r="D46">
            <v>43300079.571630463</v>
          </cell>
        </row>
        <row r="47">
          <cell r="D47">
            <v>42101394.085754596</v>
          </cell>
        </row>
        <row r="48">
          <cell r="D48">
            <v>37604357.527995035</v>
          </cell>
        </row>
        <row r="49">
          <cell r="D49">
            <v>35401805.64039769</v>
          </cell>
        </row>
        <row r="50">
          <cell r="D50">
            <v>36256133.201110952</v>
          </cell>
        </row>
        <row r="51">
          <cell r="D51">
            <v>38572839.522920817</v>
          </cell>
        </row>
        <row r="52">
          <cell r="D52">
            <v>38774449.049186304</v>
          </cell>
        </row>
        <row r="53">
          <cell r="D53">
            <v>38146355.387707017</v>
          </cell>
        </row>
        <row r="54">
          <cell r="D54">
            <v>35601336.772849411</v>
          </cell>
        </row>
        <row r="55">
          <cell r="D55">
            <v>34086895.744836867</v>
          </cell>
        </row>
        <row r="56">
          <cell r="D56">
            <v>28271914.804093849</v>
          </cell>
        </row>
        <row r="57">
          <cell r="D57">
            <v>30067092.573339991</v>
          </cell>
        </row>
        <row r="58">
          <cell r="D58">
            <v>32448626.975947984</v>
          </cell>
        </row>
        <row r="59">
          <cell r="D59">
            <v>32699052.033250473</v>
          </cell>
        </row>
        <row r="60">
          <cell r="D60">
            <v>34882585.752032831</v>
          </cell>
        </row>
        <row r="61">
          <cell r="D61">
            <v>33101919.421790853</v>
          </cell>
        </row>
        <row r="62">
          <cell r="D62">
            <v>31440608.091089793</v>
          </cell>
        </row>
        <row r="63">
          <cell r="D63">
            <v>28101454.696781423</v>
          </cell>
        </row>
        <row r="64">
          <cell r="D64">
            <v>29299297.569510963</v>
          </cell>
        </row>
        <row r="65">
          <cell r="D65">
            <v>30772013.046219639</v>
          </cell>
        </row>
        <row r="66">
          <cell r="D66">
            <v>31843277.658628132</v>
          </cell>
        </row>
        <row r="67">
          <cell r="D67">
            <v>30934519.984747682</v>
          </cell>
        </row>
        <row r="68">
          <cell r="D68">
            <v>29665237.368062612</v>
          </cell>
        </row>
        <row r="69">
          <cell r="D69">
            <v>28690933.982194815</v>
          </cell>
        </row>
        <row r="70">
          <cell r="D70">
            <v>26488220.342388295</v>
          </cell>
        </row>
        <row r="71">
          <cell r="D71">
            <v>27234455.430524133</v>
          </cell>
        </row>
        <row r="72">
          <cell r="D72">
            <v>29906002.272638526</v>
          </cell>
        </row>
        <row r="73">
          <cell r="D73">
            <v>31251019.082092859</v>
          </cell>
        </row>
        <row r="74">
          <cell r="D74">
            <v>30588975.385689579</v>
          </cell>
        </row>
        <row r="75">
          <cell r="D75">
            <v>30438781.690691069</v>
          </cell>
        </row>
        <row r="76">
          <cell r="D76">
            <v>30176460.467202809</v>
          </cell>
        </row>
        <row r="77">
          <cell r="D77">
            <v>0</v>
          </cell>
        </row>
        <row r="78">
          <cell r="D78">
            <v>26972210.961170789</v>
          </cell>
        </row>
        <row r="79">
          <cell r="D79">
            <v>25663281.690544248</v>
          </cell>
        </row>
        <row r="80">
          <cell r="D80">
            <v>29095378.971123554</v>
          </cell>
        </row>
        <row r="81">
          <cell r="D81">
            <v>28783560.334980708</v>
          </cell>
        </row>
        <row r="82">
          <cell r="D82">
            <v>30254379.727024507</v>
          </cell>
        </row>
        <row r="83">
          <cell r="D83">
            <v>30899557.070456758</v>
          </cell>
        </row>
        <row r="84">
          <cell r="D84">
            <v>28308059.275973525</v>
          </cell>
        </row>
        <row r="85">
          <cell r="D85">
            <v>24337824.104429219</v>
          </cell>
        </row>
        <row r="86">
          <cell r="D86">
            <v>24660186.937602598</v>
          </cell>
        </row>
        <row r="87">
          <cell r="D87">
            <v>26562216.932931665</v>
          </cell>
        </row>
        <row r="88">
          <cell r="D88">
            <v>25574273.232705336</v>
          </cell>
        </row>
        <row r="89">
          <cell r="D89">
            <v>25344286.920612641</v>
          </cell>
        </row>
        <row r="90">
          <cell r="D90">
            <v>24545954.423747513</v>
          </cell>
        </row>
        <row r="91">
          <cell r="D91">
            <v>22590192.59581887</v>
          </cell>
        </row>
        <row r="92">
          <cell r="D92">
            <v>23847542.653437056</v>
          </cell>
        </row>
        <row r="93">
          <cell r="D93">
            <v>23956114.755002901</v>
          </cell>
        </row>
        <row r="94">
          <cell r="D94">
            <v>25065700.199484378</v>
          </cell>
        </row>
        <row r="95">
          <cell r="D95">
            <v>22511141.909055233</v>
          </cell>
        </row>
        <row r="96">
          <cell r="D96">
            <v>24370961.69572679</v>
          </cell>
        </row>
        <row r="97">
          <cell r="D97">
            <v>20078517.049785525</v>
          </cell>
        </row>
        <row r="98">
          <cell r="D98">
            <v>17453166.014873292</v>
          </cell>
        </row>
        <row r="99">
          <cell r="D99">
            <v>15233368.138291081</v>
          </cell>
        </row>
        <row r="100">
          <cell r="D100">
            <v>20936694.638516899</v>
          </cell>
        </row>
        <row r="101">
          <cell r="D101">
            <v>26456047.238237612</v>
          </cell>
        </row>
        <row r="102">
          <cell r="D102">
            <v>26817220.206434343</v>
          </cell>
        </row>
        <row r="103">
          <cell r="D103">
            <v>25921574.714853518</v>
          </cell>
        </row>
        <row r="104">
          <cell r="D104">
            <v>23174491.647715867</v>
          </cell>
        </row>
        <row r="105">
          <cell r="D105">
            <v>21959607.500542022</v>
          </cell>
        </row>
        <row r="106">
          <cell r="D106">
            <v>17409087.975599434</v>
          </cell>
        </row>
        <row r="107">
          <cell r="D107">
            <v>17253474.970715798</v>
          </cell>
        </row>
        <row r="108">
          <cell r="D108">
            <v>22417243.839928456</v>
          </cell>
        </row>
        <row r="109">
          <cell r="D109">
            <v>19912844.636720572</v>
          </cell>
        </row>
        <row r="110">
          <cell r="D110">
            <v>18678675.095415521</v>
          </cell>
        </row>
        <row r="111">
          <cell r="D111">
            <v>18853285.706662159</v>
          </cell>
        </row>
        <row r="112">
          <cell r="D112">
            <v>16457363.285482896</v>
          </cell>
        </row>
        <row r="113">
          <cell r="D113">
            <v>15742495.912198221</v>
          </cell>
        </row>
        <row r="114">
          <cell r="D114">
            <v>16456977.695777388</v>
          </cell>
        </row>
        <row r="115">
          <cell r="D115">
            <v>17069519.037856955</v>
          </cell>
        </row>
        <row r="116">
          <cell r="D116">
            <v>17278928.058494266</v>
          </cell>
        </row>
        <row r="117">
          <cell r="D117">
            <v>20990001.838682611</v>
          </cell>
        </row>
        <row r="118">
          <cell r="D118">
            <v>22603656.190404162</v>
          </cell>
        </row>
        <row r="119">
          <cell r="D119">
            <v>20575423.070008744</v>
          </cell>
        </row>
        <row r="120">
          <cell r="D120">
            <v>16912020.513000447</v>
          </cell>
        </row>
        <row r="121">
          <cell r="D121">
            <v>18289487.053860001</v>
          </cell>
        </row>
        <row r="122">
          <cell r="D122">
            <v>23767277.346728735</v>
          </cell>
        </row>
        <row r="123">
          <cell r="D123">
            <v>26463980.480444252</v>
          </cell>
        </row>
        <row r="124">
          <cell r="D124">
            <v>25755912.410571374</v>
          </cell>
        </row>
        <row r="125">
          <cell r="D125">
            <v>22988743.556549214</v>
          </cell>
        </row>
        <row r="126">
          <cell r="D126">
            <v>22107371.793833446</v>
          </cell>
        </row>
        <row r="127">
          <cell r="D127">
            <v>16760777.760846324</v>
          </cell>
        </row>
        <row r="128">
          <cell r="D128">
            <v>14747151.369772239</v>
          </cell>
        </row>
        <row r="129">
          <cell r="D129">
            <v>15991560.11450736</v>
          </cell>
        </row>
        <row r="130">
          <cell r="D130">
            <v>17229384.863671001</v>
          </cell>
        </row>
        <row r="131">
          <cell r="D131">
            <v>15478347.89744913</v>
          </cell>
        </row>
        <row r="132">
          <cell r="D132">
            <v>14555017.812200164</v>
          </cell>
        </row>
        <row r="133">
          <cell r="D133">
            <v>13827656.517724851</v>
          </cell>
        </row>
        <row r="134">
          <cell r="D134">
            <v>11756652.419321258</v>
          </cell>
        </row>
        <row r="135">
          <cell r="D135">
            <v>11545792.216771329</v>
          </cell>
        </row>
        <row r="136">
          <cell r="D136">
            <v>13869957.514600514</v>
          </cell>
        </row>
        <row r="137">
          <cell r="D137">
            <v>14202974.548155237</v>
          </cell>
        </row>
        <row r="138">
          <cell r="D138">
            <v>13118507.74419106</v>
          </cell>
        </row>
        <row r="139">
          <cell r="D139">
            <v>11839500.627664978</v>
          </cell>
        </row>
        <row r="140">
          <cell r="D140">
            <v>13530714.254331093</v>
          </cell>
        </row>
        <row r="141">
          <cell r="D141">
            <v>16690623.805383038</v>
          </cell>
        </row>
        <row r="142">
          <cell r="D142">
            <v>16897915.301249057</v>
          </cell>
        </row>
        <row r="143">
          <cell r="D143">
            <v>18958099.619848773</v>
          </cell>
        </row>
        <row r="144">
          <cell r="D144">
            <v>16412153.539843367</v>
          </cell>
        </row>
        <row r="145">
          <cell r="D145">
            <v>16923185.342344146</v>
          </cell>
        </row>
        <row r="146">
          <cell r="D146">
            <v>13588580.026644813</v>
          </cell>
        </row>
        <row r="147">
          <cell r="D147">
            <v>13035132.222069765</v>
          </cell>
        </row>
        <row r="148">
          <cell r="D148">
            <v>11394917.2915328</v>
          </cell>
        </row>
        <row r="149">
          <cell r="D149">
            <v>13100809.517095797</v>
          </cell>
        </row>
        <row r="150">
          <cell r="D150">
            <v>15968776.169667855</v>
          </cell>
        </row>
        <row r="151">
          <cell r="D151">
            <v>16660640.374974944</v>
          </cell>
        </row>
        <row r="152">
          <cell r="D152">
            <v>18087900.691342589</v>
          </cell>
        </row>
        <row r="153">
          <cell r="D153">
            <v>19465409.272283822</v>
          </cell>
        </row>
        <row r="154">
          <cell r="D154">
            <v>19278662.465318449</v>
          </cell>
        </row>
        <row r="155">
          <cell r="D155">
            <v>16827935.520045754</v>
          </cell>
        </row>
        <row r="156">
          <cell r="D156">
            <v>16379231.071060332</v>
          </cell>
        </row>
        <row r="157">
          <cell r="D157">
            <v>14917899.861760551</v>
          </cell>
        </row>
        <row r="158">
          <cell r="D158">
            <v>12582811.55204311</v>
          </cell>
        </row>
        <row r="159">
          <cell r="D159">
            <v>11656392.95006318</v>
          </cell>
        </row>
        <row r="160">
          <cell r="D160">
            <v>11132254.80747031</v>
          </cell>
        </row>
        <row r="161">
          <cell r="D161">
            <v>10478143.930618685</v>
          </cell>
        </row>
        <row r="162">
          <cell r="D162">
            <v>9278121.1312542949</v>
          </cell>
        </row>
        <row r="163">
          <cell r="D163">
            <v>9656171.1235719062</v>
          </cell>
        </row>
        <row r="164">
          <cell r="D164">
            <v>10865945.761979172</v>
          </cell>
        </row>
        <row r="165">
          <cell r="D165">
            <v>11108612.309215229</v>
          </cell>
        </row>
        <row r="166">
          <cell r="D166">
            <v>11808502.084814612</v>
          </cell>
        </row>
        <row r="167">
          <cell r="D167">
            <v>13226022.867156465</v>
          </cell>
        </row>
        <row r="168">
          <cell r="D168">
            <v>12987815.079649232</v>
          </cell>
        </row>
        <row r="169">
          <cell r="D169">
            <v>10185478.109816754</v>
          </cell>
        </row>
        <row r="170">
          <cell r="D170">
            <v>10152482.38828606</v>
          </cell>
        </row>
        <row r="171">
          <cell r="D171">
            <v>11904707.076860089</v>
          </cell>
        </row>
        <row r="172">
          <cell r="D172">
            <v>12106549.444225721</v>
          </cell>
        </row>
        <row r="173">
          <cell r="D173">
            <v>11447167.474483827</v>
          </cell>
        </row>
        <row r="174">
          <cell r="D174">
            <v>11437560.478995835</v>
          </cell>
        </row>
        <row r="175">
          <cell r="D175">
            <v>10650905.861959253</v>
          </cell>
        </row>
        <row r="176">
          <cell r="D176">
            <v>8370538.4507673895</v>
          </cell>
        </row>
        <row r="177">
          <cell r="D177">
            <v>8522833.8222967647</v>
          </cell>
        </row>
        <row r="178">
          <cell r="D178">
            <v>9970893.692461893</v>
          </cell>
        </row>
        <row r="179">
          <cell r="D179">
            <v>10027914.164128793</v>
          </cell>
        </row>
        <row r="180">
          <cell r="D180">
            <v>10043812.557867873</v>
          </cell>
        </row>
        <row r="181">
          <cell r="D181">
            <v>10241127.851957763</v>
          </cell>
        </row>
        <row r="182">
          <cell r="D182">
            <v>9964305.867871834</v>
          </cell>
        </row>
        <row r="183">
          <cell r="D183">
            <v>8394076.9619728681</v>
          </cell>
        </row>
        <row r="184">
          <cell r="D184">
            <v>8961579.9963818174</v>
          </cell>
        </row>
        <row r="185">
          <cell r="D185">
            <v>10346832.62302074</v>
          </cell>
        </row>
        <row r="186">
          <cell r="D186">
            <v>10760986.58188704</v>
          </cell>
        </row>
        <row r="187">
          <cell r="D187">
            <v>10600526.513886642</v>
          </cell>
        </row>
        <row r="188">
          <cell r="D188">
            <v>10714300.434425488</v>
          </cell>
        </row>
        <row r="189">
          <cell r="D189">
            <v>10506713.240675518</v>
          </cell>
        </row>
        <row r="190">
          <cell r="D190">
            <v>9013257.7703847475</v>
          </cell>
        </row>
        <row r="191">
          <cell r="D191">
            <v>9332450.8634722028</v>
          </cell>
        </row>
        <row r="192">
          <cell r="D192">
            <v>10792906.177955933</v>
          </cell>
        </row>
        <row r="193">
          <cell r="D193">
            <v>10892712.800524903</v>
          </cell>
        </row>
        <row r="194">
          <cell r="D194">
            <v>11272654.750154253</v>
          </cell>
        </row>
        <row r="195">
          <cell r="D195">
            <v>11411749.418376142</v>
          </cell>
        </row>
        <row r="196">
          <cell r="D196">
            <v>10932077.565583153</v>
          </cell>
        </row>
        <row r="197">
          <cell r="D197">
            <v>9154991.251148602</v>
          </cell>
        </row>
        <row r="198">
          <cell r="D198">
            <v>9581152.5882221367</v>
          </cell>
        </row>
        <row r="199">
          <cell r="D199">
            <v>11386158.84981731</v>
          </cell>
        </row>
        <row r="200">
          <cell r="D200">
            <v>11058233.001489125</v>
          </cell>
        </row>
        <row r="201">
          <cell r="D201">
            <v>10945490.7295912</v>
          </cell>
        </row>
        <row r="202">
          <cell r="D202">
            <v>10600033.656597126</v>
          </cell>
        </row>
        <row r="203">
          <cell r="D203">
            <v>11433981.814725991</v>
          </cell>
        </row>
        <row r="204">
          <cell r="D204">
            <v>8493481.6050281823</v>
          </cell>
        </row>
        <row r="205">
          <cell r="D205">
            <v>8860790.5231701639</v>
          </cell>
        </row>
        <row r="206">
          <cell r="D206">
            <v>10346897.647948978</v>
          </cell>
        </row>
        <row r="207">
          <cell r="D207">
            <v>10041092.456549946</v>
          </cell>
        </row>
        <row r="208">
          <cell r="D208">
            <v>10599996.532461025</v>
          </cell>
        </row>
        <row r="209">
          <cell r="D209">
            <v>12823204.404477015</v>
          </cell>
        </row>
        <row r="210">
          <cell r="D210">
            <v>12052821.0143035</v>
          </cell>
        </row>
        <row r="211">
          <cell r="D211">
            <v>9569987.5809135828</v>
          </cell>
        </row>
        <row r="212">
          <cell r="D212">
            <v>8632522.3799616899</v>
          </cell>
        </row>
        <row r="213">
          <cell r="D213">
            <v>10023829.644110264</v>
          </cell>
        </row>
        <row r="214">
          <cell r="D214">
            <v>9977483.581895154</v>
          </cell>
        </row>
        <row r="215">
          <cell r="D215">
            <v>9933741.802850863</v>
          </cell>
        </row>
        <row r="216">
          <cell r="D216">
            <v>9834637.0207824484</v>
          </cell>
        </row>
        <row r="217">
          <cell r="D217">
            <v>9178961.0460226052</v>
          </cell>
        </row>
        <row r="218">
          <cell r="D218">
            <v>7672266.3783172052</v>
          </cell>
        </row>
        <row r="219">
          <cell r="D219">
            <v>7804407.3243827978</v>
          </cell>
        </row>
        <row r="220">
          <cell r="D220">
            <v>9301282.685273936</v>
          </cell>
        </row>
        <row r="221">
          <cell r="D221">
            <v>9613325.478616396</v>
          </cell>
        </row>
        <row r="222">
          <cell r="D222">
            <v>10428420.309352932</v>
          </cell>
        </row>
        <row r="223">
          <cell r="D223">
            <v>10630117.51680351</v>
          </cell>
        </row>
        <row r="224">
          <cell r="D224">
            <v>10150119.335925959</v>
          </cell>
        </row>
        <row r="225">
          <cell r="D225">
            <v>8739314.2002886571</v>
          </cell>
        </row>
        <row r="226">
          <cell r="D226">
            <v>8655458.863765046</v>
          </cell>
        </row>
        <row r="227">
          <cell r="D227">
            <v>10007400.528645363</v>
          </cell>
        </row>
        <row r="228">
          <cell r="D228">
            <v>9354452.9085270371</v>
          </cell>
        </row>
        <row r="229">
          <cell r="D229">
            <v>9452326.4471237417</v>
          </cell>
        </row>
        <row r="230">
          <cell r="D230">
            <v>9247125.3614376746</v>
          </cell>
        </row>
        <row r="231">
          <cell r="D231">
            <v>8752610.1351575237</v>
          </cell>
        </row>
        <row r="232">
          <cell r="D232">
            <v>7339810.936210189</v>
          </cell>
        </row>
        <row r="233">
          <cell r="D233">
            <v>7425559.8574784687</v>
          </cell>
        </row>
        <row r="234">
          <cell r="D234">
            <v>9928633.4282502253</v>
          </cell>
        </row>
        <row r="235">
          <cell r="D235">
            <v>9005752.7470622323</v>
          </cell>
        </row>
        <row r="236">
          <cell r="D236">
            <v>9029256.4269688707</v>
          </cell>
        </row>
        <row r="237">
          <cell r="D237">
            <v>10520128.208517266</v>
          </cell>
        </row>
        <row r="238">
          <cell r="D238">
            <v>9783938.6392334215</v>
          </cell>
        </row>
        <row r="239">
          <cell r="D239">
            <v>7091030.6035338901</v>
          </cell>
        </row>
        <row r="240">
          <cell r="D240">
            <v>7163483.8935834514</v>
          </cell>
        </row>
        <row r="241">
          <cell r="D241">
            <v>8833104.5259040222</v>
          </cell>
        </row>
        <row r="242">
          <cell r="D242">
            <v>9248917.1297111809</v>
          </cell>
        </row>
        <row r="243">
          <cell r="D243">
            <v>9549559.0540677179</v>
          </cell>
        </row>
        <row r="244">
          <cell r="D244">
            <v>9738554.2915261481</v>
          </cell>
        </row>
        <row r="245">
          <cell r="D245">
            <v>9464877.9405683707</v>
          </cell>
        </row>
        <row r="246">
          <cell r="D246">
            <v>8167433.9130343692</v>
          </cell>
        </row>
        <row r="247">
          <cell r="D247">
            <v>8264173.9384361403</v>
          </cell>
        </row>
        <row r="248">
          <cell r="D248">
            <v>10437155.900913542</v>
          </cell>
        </row>
        <row r="249">
          <cell r="D249">
            <v>10817177.006758481</v>
          </cell>
        </row>
        <row r="250">
          <cell r="D250">
            <v>10876105.489382656</v>
          </cell>
        </row>
        <row r="251">
          <cell r="D251">
            <v>11291716.303982306</v>
          </cell>
        </row>
        <row r="252">
          <cell r="D252">
            <v>10608889.207773214</v>
          </cell>
        </row>
        <row r="253">
          <cell r="D253">
            <v>9076671.7210401818</v>
          </cell>
        </row>
        <row r="254">
          <cell r="D254">
            <v>9681185.8112596925</v>
          </cell>
        </row>
        <row r="255">
          <cell r="D255">
            <v>11401840.931354577</v>
          </cell>
        </row>
        <row r="256">
          <cell r="D256">
            <v>12199019.353276988</v>
          </cell>
        </row>
        <row r="257">
          <cell r="D257">
            <v>12040001.761096969</v>
          </cell>
        </row>
        <row r="258">
          <cell r="D258">
            <v>11614278.045055138</v>
          </cell>
        </row>
        <row r="259">
          <cell r="D259">
            <v>12056345.28188342</v>
          </cell>
        </row>
        <row r="260">
          <cell r="D260">
            <v>9031495.1011690386</v>
          </cell>
        </row>
        <row r="261">
          <cell r="D261">
            <v>9590580.5212413799</v>
          </cell>
        </row>
        <row r="262">
          <cell r="D262">
            <v>13326613.62698438</v>
          </cell>
        </row>
        <row r="263">
          <cell r="D263">
            <v>14196894.787642553</v>
          </cell>
        </row>
        <row r="264">
          <cell r="D264">
            <v>12058781.742578959</v>
          </cell>
        </row>
        <row r="265">
          <cell r="D265">
            <v>11152921.822205253</v>
          </cell>
        </row>
        <row r="266">
          <cell r="D266">
            <v>11189451.568413571</v>
          </cell>
        </row>
        <row r="267">
          <cell r="D267">
            <v>8717770.5120471809</v>
          </cell>
        </row>
        <row r="268">
          <cell r="D268">
            <v>9013346.1746747363</v>
          </cell>
        </row>
        <row r="269">
          <cell r="D269">
            <v>10548433.325279383</v>
          </cell>
        </row>
        <row r="270">
          <cell r="D270">
            <v>10862729.181597721</v>
          </cell>
        </row>
        <row r="271">
          <cell r="D271">
            <v>11090167.949052261</v>
          </cell>
        </row>
        <row r="272">
          <cell r="D272">
            <v>11666969.474165212</v>
          </cell>
        </row>
        <row r="273">
          <cell r="D273">
            <v>11076569.173853181</v>
          </cell>
        </row>
        <row r="274">
          <cell r="D274">
            <v>9401898.3077620137</v>
          </cell>
        </row>
        <row r="275">
          <cell r="D275">
            <v>9952219.3286723197</v>
          </cell>
        </row>
        <row r="276">
          <cell r="D276">
            <v>11503468.036013899</v>
          </cell>
        </row>
        <row r="277">
          <cell r="D277">
            <v>11574936.81078339</v>
          </cell>
        </row>
        <row r="278">
          <cell r="D278">
            <v>12671244.461294396</v>
          </cell>
        </row>
        <row r="279">
          <cell r="D279">
            <v>11989948.031649744</v>
          </cell>
        </row>
        <row r="280">
          <cell r="D280">
            <v>11364076.094157174</v>
          </cell>
        </row>
        <row r="281">
          <cell r="D281">
            <v>9820990.9016072676</v>
          </cell>
        </row>
        <row r="282">
          <cell r="D282">
            <v>10249617.120759694</v>
          </cell>
        </row>
        <row r="283">
          <cell r="D283">
            <v>13441887.604874745</v>
          </cell>
        </row>
        <row r="284">
          <cell r="D284">
            <v>15490501.500711011</v>
          </cell>
        </row>
        <row r="285">
          <cell r="D285">
            <v>16249276.09940001</v>
          </cell>
        </row>
        <row r="286">
          <cell r="D286">
            <v>15939579.205348613</v>
          </cell>
        </row>
        <row r="287">
          <cell r="D287">
            <v>15784708.07492057</v>
          </cell>
        </row>
        <row r="288">
          <cell r="D288">
            <v>12817301.637118813</v>
          </cell>
        </row>
        <row r="289">
          <cell r="D289">
            <v>12838785.139497604</v>
          </cell>
        </row>
        <row r="290">
          <cell r="D290">
            <v>14427943.495360427</v>
          </cell>
        </row>
        <row r="291">
          <cell r="D291">
            <v>14342826.680174254</v>
          </cell>
        </row>
        <row r="292">
          <cell r="D292">
            <v>14672599.361198165</v>
          </cell>
        </row>
        <row r="293">
          <cell r="D293">
            <v>14937437.234854113</v>
          </cell>
        </row>
        <row r="294">
          <cell r="D294">
            <v>15024224.818934955</v>
          </cell>
        </row>
        <row r="295">
          <cell r="D295">
            <v>14082394.436836997</v>
          </cell>
        </row>
        <row r="296">
          <cell r="D296">
            <v>14703838.786388099</v>
          </cell>
        </row>
        <row r="297">
          <cell r="D297">
            <v>16851060.623207204</v>
          </cell>
        </row>
        <row r="298">
          <cell r="D298">
            <v>17837122.085778575</v>
          </cell>
        </row>
        <row r="299">
          <cell r="D299">
            <v>16556639.874486694</v>
          </cell>
        </row>
        <row r="300">
          <cell r="D300">
            <v>15092905.475487182</v>
          </cell>
        </row>
        <row r="301">
          <cell r="D301">
            <v>14757388.313683579</v>
          </cell>
        </row>
        <row r="302">
          <cell r="D302">
            <v>12577807.255365115</v>
          </cell>
        </row>
        <row r="303">
          <cell r="D303">
            <v>12420204.680277018</v>
          </cell>
        </row>
        <row r="304">
          <cell r="D304">
            <v>14379633.515847994</v>
          </cell>
        </row>
        <row r="305">
          <cell r="D305">
            <v>14975768.861072047</v>
          </cell>
        </row>
        <row r="306">
          <cell r="D306">
            <v>16572652.806813756</v>
          </cell>
        </row>
        <row r="307">
          <cell r="D307">
            <v>16322681.19993379</v>
          </cell>
        </row>
        <row r="308">
          <cell r="D308">
            <v>16501299.5393879</v>
          </cell>
        </row>
        <row r="309">
          <cell r="D309">
            <v>14211969.279977012</v>
          </cell>
        </row>
        <row r="310">
          <cell r="D310">
            <v>14947717.499801448</v>
          </cell>
        </row>
        <row r="311">
          <cell r="D311">
            <v>17188499.080847375</v>
          </cell>
        </row>
        <row r="312">
          <cell r="D312">
            <v>17722348.648076419</v>
          </cell>
        </row>
        <row r="313">
          <cell r="D313">
            <v>22243381.728859849</v>
          </cell>
        </row>
        <row r="314">
          <cell r="D314">
            <v>23527685.238451533</v>
          </cell>
        </row>
        <row r="315">
          <cell r="D315">
            <v>24016903.046322059</v>
          </cell>
        </row>
        <row r="316">
          <cell r="D316">
            <v>22937737.450480171</v>
          </cell>
        </row>
        <row r="317">
          <cell r="D317">
            <v>21763778.511162005</v>
          </cell>
        </row>
        <row r="318">
          <cell r="D318">
            <v>24888371.90528186</v>
          </cell>
        </row>
        <row r="319">
          <cell r="D319">
            <v>25370627.351791393</v>
          </cell>
        </row>
        <row r="320">
          <cell r="D320">
            <v>28228361.295583501</v>
          </cell>
        </row>
        <row r="321">
          <cell r="D321">
            <v>26823677.433161933</v>
          </cell>
        </row>
        <row r="322">
          <cell r="D322">
            <v>24493415.582819838</v>
          </cell>
        </row>
        <row r="323">
          <cell r="D323">
            <v>20912289.02963943</v>
          </cell>
        </row>
        <row r="324">
          <cell r="D324">
            <v>21982390.211384922</v>
          </cell>
        </row>
        <row r="325">
          <cell r="D325">
            <v>25279865.911936045</v>
          </cell>
        </row>
        <row r="326">
          <cell r="D326">
            <v>23073164.608872551</v>
          </cell>
        </row>
        <row r="327">
          <cell r="D327">
            <v>21650747.595276583</v>
          </cell>
        </row>
        <row r="328">
          <cell r="D328">
            <v>22316157.050328713</v>
          </cell>
        </row>
        <row r="329">
          <cell r="D329">
            <v>22275786.396136746</v>
          </cell>
        </row>
        <row r="330">
          <cell r="D330">
            <v>20698948.451862089</v>
          </cell>
        </row>
        <row r="331">
          <cell r="D331">
            <v>21200649.88908438</v>
          </cell>
        </row>
        <row r="332">
          <cell r="D332">
            <v>22811178.372360468</v>
          </cell>
        </row>
        <row r="333">
          <cell r="D333">
            <v>21804968.267836232</v>
          </cell>
        </row>
        <row r="334">
          <cell r="D334">
            <v>21557851.782787975</v>
          </cell>
        </row>
        <row r="335">
          <cell r="D335">
            <v>22454958.396599546</v>
          </cell>
        </row>
        <row r="336">
          <cell r="D336">
            <v>22257612.890457679</v>
          </cell>
        </row>
        <row r="337">
          <cell r="D337">
            <v>19787129.472882193</v>
          </cell>
        </row>
        <row r="338">
          <cell r="D338">
            <v>20345206.402121488</v>
          </cell>
        </row>
        <row r="339">
          <cell r="D339">
            <v>22738910.999606844</v>
          </cell>
        </row>
        <row r="340">
          <cell r="D340">
            <v>25684126.201302275</v>
          </cell>
        </row>
        <row r="341">
          <cell r="D341">
            <v>27277887.054788336</v>
          </cell>
        </row>
        <row r="342">
          <cell r="D342">
            <v>29719113.556801639</v>
          </cell>
        </row>
        <row r="343">
          <cell r="D343">
            <v>29621216.859039418</v>
          </cell>
        </row>
        <row r="344">
          <cell r="D344">
            <v>26332541.052647389</v>
          </cell>
        </row>
        <row r="345">
          <cell r="D345">
            <v>27115409.336794082</v>
          </cell>
        </row>
        <row r="346">
          <cell r="D346">
            <v>30724654.955265522</v>
          </cell>
        </row>
        <row r="347">
          <cell r="D347">
            <v>31346045.493034113</v>
          </cell>
        </row>
        <row r="348">
          <cell r="D348">
            <v>32961816.098163992</v>
          </cell>
        </row>
        <row r="349">
          <cell r="D349">
            <v>34212026.424236335</v>
          </cell>
        </row>
        <row r="350">
          <cell r="D350">
            <v>34112480.689934328</v>
          </cell>
        </row>
        <row r="351">
          <cell r="D351">
            <v>31936827.460860446</v>
          </cell>
        </row>
        <row r="352">
          <cell r="D352">
            <v>32779629.590800963</v>
          </cell>
        </row>
        <row r="353">
          <cell r="D353">
            <v>37854518.178144023</v>
          </cell>
        </row>
        <row r="354">
          <cell r="D354">
            <v>38441498.500806391</v>
          </cell>
        </row>
        <row r="355">
          <cell r="D355">
            <v>36109693.127145708</v>
          </cell>
        </row>
        <row r="356">
          <cell r="D356">
            <v>33026257.705300383</v>
          </cell>
        </row>
        <row r="357">
          <cell r="D357">
            <v>31364279.491276439</v>
          </cell>
        </row>
        <row r="358">
          <cell r="D358">
            <v>28517927.459846143</v>
          </cell>
        </row>
        <row r="359">
          <cell r="D359">
            <v>29518943.687494949</v>
          </cell>
        </row>
        <row r="360">
          <cell r="D360">
            <v>34209591.018453933</v>
          </cell>
        </row>
        <row r="361">
          <cell r="D361">
            <v>37338847.312350236</v>
          </cell>
        </row>
        <row r="362">
          <cell r="D362">
            <v>38204923.429852292</v>
          </cell>
        </row>
        <row r="363">
          <cell r="D363">
            <v>35644809.926941089</v>
          </cell>
        </row>
        <row r="364">
          <cell r="D364">
            <v>31430502.833099503</v>
          </cell>
        </row>
        <row r="365">
          <cell r="D365">
            <v>27420865.255375002</v>
          </cell>
        </row>
        <row r="366">
          <cell r="D366">
            <v>28083426.580878105</v>
          </cell>
        </row>
        <row r="367">
          <cell r="D367">
            <v>30529867.411220718</v>
          </cell>
        </row>
        <row r="368">
          <cell r="D368">
            <v>30919331.233765598</v>
          </cell>
        </row>
        <row r="369">
          <cell r="D369">
            <v>31288395.402017817</v>
          </cell>
        </row>
        <row r="370">
          <cell r="D370">
            <v>28572530.961628206</v>
          </cell>
        </row>
        <row r="371">
          <cell r="D371">
            <v>25029565.80842917</v>
          </cell>
        </row>
        <row r="372">
          <cell r="D372">
            <v>25921658.317524329</v>
          </cell>
        </row>
        <row r="373">
          <cell r="D373">
            <v>27286221.259888481</v>
          </cell>
        </row>
        <row r="374">
          <cell r="D374">
            <v>27236034.880550332</v>
          </cell>
        </row>
        <row r="375">
          <cell r="D375">
            <v>24182742.733133648</v>
          </cell>
        </row>
        <row r="376">
          <cell r="D376">
            <v>23168486.093916595</v>
          </cell>
        </row>
        <row r="377">
          <cell r="D377">
            <v>25050219.664529499</v>
          </cell>
        </row>
        <row r="378">
          <cell r="D378">
            <v>30002314.163589157</v>
          </cell>
        </row>
        <row r="379">
          <cell r="D379">
            <v>33819575.464437477</v>
          </cell>
        </row>
        <row r="380">
          <cell r="D380">
            <v>38256776.847175419</v>
          </cell>
        </row>
        <row r="381">
          <cell r="D381">
            <v>41016428.883228756</v>
          </cell>
        </row>
        <row r="382">
          <cell r="D382">
            <v>40531634.332146831</v>
          </cell>
        </row>
        <row r="383">
          <cell r="D383">
            <v>37874485.907892406</v>
          </cell>
        </row>
      </sheetData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D4">
            <v>34.426418786756024</v>
          </cell>
          <cell r="E4">
            <v>31.969366569568837</v>
          </cell>
          <cell r="F4">
            <v>24.143655429913611</v>
          </cell>
          <cell r="G4">
            <v>17.799591482063381</v>
          </cell>
          <cell r="H4">
            <v>14.029818022003704</v>
          </cell>
          <cell r="I4">
            <v>10.296530917335085</v>
          </cell>
          <cell r="J4">
            <v>9.8536517348819075</v>
          </cell>
          <cell r="K4">
            <v>9.6812899388848699</v>
          </cell>
          <cell r="L4">
            <v>12.15872859562001</v>
          </cell>
          <cell r="M4">
            <v>18.278340649690602</v>
          </cell>
          <cell r="N4">
            <v>25.565706350094761</v>
          </cell>
          <cell r="O4">
            <v>31.866204963614152</v>
          </cell>
        </row>
        <row r="5">
          <cell r="D5">
            <v>366.70694240674038</v>
          </cell>
          <cell r="E5">
            <v>339.93743587233706</v>
          </cell>
          <cell r="F5">
            <v>256.47298146433201</v>
          </cell>
          <cell r="G5">
            <v>189.30613124016651</v>
          </cell>
          <cell r="H5">
            <v>149.31306196781159</v>
          </cell>
          <cell r="I5">
            <v>109.61034014534772</v>
          </cell>
          <cell r="J5">
            <v>104.42863376725933</v>
          </cell>
          <cell r="K5">
            <v>103.3116008201003</v>
          </cell>
          <cell r="L5">
            <v>129.52152849227559</v>
          </cell>
          <cell r="M5">
            <v>194.21809878892401</v>
          </cell>
          <cell r="N5">
            <v>271.54852778688797</v>
          </cell>
          <cell r="O5">
            <v>338.17047241786503</v>
          </cell>
        </row>
        <row r="6">
          <cell r="D6">
            <v>1.5321804729824582</v>
          </cell>
          <cell r="E6">
            <v>1.562740852404906</v>
          </cell>
          <cell r="F6">
            <v>0.97956040953488865</v>
          </cell>
          <cell r="G6">
            <v>1.1020731733440596</v>
          </cell>
          <cell r="H6">
            <v>0.57410943884344612</v>
          </cell>
          <cell r="I6">
            <v>0.13831682531817241</v>
          </cell>
          <cell r="J6">
            <v>0.22886050046818632</v>
          </cell>
          <cell r="K6">
            <v>0.32703314228528513</v>
          </cell>
          <cell r="L6">
            <v>0.5537919709257193</v>
          </cell>
          <cell r="M6">
            <v>1.2295590453146168</v>
          </cell>
          <cell r="N6">
            <v>1.2210835941697429</v>
          </cell>
          <cell r="O6">
            <v>1.285121574442708</v>
          </cell>
        </row>
        <row r="7">
          <cell r="D7">
            <v>16.320640841064211</v>
          </cell>
          <cell r="E7">
            <v>16.616973537572306</v>
          </cell>
          <cell r="F7">
            <v>10.40566452280312</v>
          </cell>
          <cell r="G7">
            <v>11.721011069246879</v>
          </cell>
          <cell r="H7">
            <v>6.1099893158909557</v>
          </cell>
          <cell r="I7">
            <v>1.4724332294700115</v>
          </cell>
          <cell r="J7">
            <v>2.4254550526257601</v>
          </cell>
          <cell r="K7">
            <v>3.489856998809405</v>
          </cell>
          <cell r="L7">
            <v>5.8992995835837538</v>
          </cell>
          <cell r="M7">
            <v>13.064786607627402</v>
          </cell>
          <cell r="N7">
            <v>12.969852964781724</v>
          </cell>
          <cell r="O7">
            <v>13.637964434105347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DS"/>
      <sheetName val="Z Z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N4G PPZ"/>
    </sheetNames>
    <sheetDataSet>
      <sheetData sheetId="0"/>
      <sheetData sheetId="1"/>
      <sheetData sheetId="2">
        <row r="1">
          <cell r="C1" t="str">
            <v>Leden</v>
          </cell>
          <cell r="G1" t="str">
            <v>Únor</v>
          </cell>
          <cell r="K1" t="str">
            <v>Březen</v>
          </cell>
          <cell r="O1" t="str">
            <v>Duben</v>
          </cell>
          <cell r="S1" t="str">
            <v>Květen</v>
          </cell>
          <cell r="W1" t="str">
            <v>Červen</v>
          </cell>
          <cell r="AA1" t="str">
            <v>Červenec</v>
          </cell>
          <cell r="AE1" t="str">
            <v>Srpen</v>
          </cell>
          <cell r="AI1" t="str">
            <v>Září</v>
          </cell>
          <cell r="AM1" t="str">
            <v>Říjen</v>
          </cell>
          <cell r="AQ1" t="str">
            <v>Listopad</v>
          </cell>
          <cell r="AU1" t="str">
            <v>Prosinec</v>
          </cell>
        </row>
        <row r="31">
          <cell r="C31">
            <v>249.5656058970462</v>
          </cell>
          <cell r="D31">
            <v>2620.2800119999993</v>
          </cell>
          <cell r="G31">
            <v>236.45044478516033</v>
          </cell>
          <cell r="H31">
            <v>2482.6423470000004</v>
          </cell>
          <cell r="K31">
            <v>208.71708223635312</v>
          </cell>
          <cell r="L31">
            <v>2191.6113779999996</v>
          </cell>
          <cell r="O31">
            <v>145.13564191763442</v>
          </cell>
          <cell r="P31">
            <v>1523.5945649999996</v>
          </cell>
          <cell r="S31">
            <v>0</v>
          </cell>
          <cell r="T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0</v>
          </cell>
          <cell r="AF31">
            <v>0</v>
          </cell>
          <cell r="AI31">
            <v>0</v>
          </cell>
          <cell r="AJ31">
            <v>0</v>
          </cell>
          <cell r="AM31">
            <v>0</v>
          </cell>
          <cell r="AN31">
            <v>0</v>
          </cell>
          <cell r="AQ31">
            <v>0</v>
          </cell>
          <cell r="AR31">
            <v>0</v>
          </cell>
          <cell r="AU31">
            <v>0</v>
          </cell>
          <cell r="AV31">
            <v>0</v>
          </cell>
          <cell r="AY31">
            <v>839.86877483619412</v>
          </cell>
          <cell r="AZ31">
            <v>8818.1283019999992</v>
          </cell>
        </row>
      </sheetData>
      <sheetData sheetId="3"/>
      <sheetData sheetId="4">
        <row r="1">
          <cell r="C1" t="str">
            <v>Leden</v>
          </cell>
          <cell r="F1" t="str">
            <v>Únor</v>
          </cell>
          <cell r="I1" t="str">
            <v>Březen</v>
          </cell>
          <cell r="L1" t="str">
            <v>Duben</v>
          </cell>
          <cell r="O1" t="str">
            <v>Květen</v>
          </cell>
          <cell r="R1" t="str">
            <v>Červen</v>
          </cell>
          <cell r="U1" t="str">
            <v>Červenec</v>
          </cell>
          <cell r="X1" t="str">
            <v>Srpen</v>
          </cell>
          <cell r="AA1" t="str">
            <v>Září</v>
          </cell>
          <cell r="AD1" t="str">
            <v>Říjen</v>
          </cell>
          <cell r="AG1" t="str">
            <v>Listopad</v>
          </cell>
          <cell r="AJ1" t="str">
            <v>Prosinec</v>
          </cell>
          <cell r="AM1" t="str">
            <v>Rok</v>
          </cell>
        </row>
        <row r="32">
          <cell r="C32">
            <v>26.797221674844355</v>
          </cell>
          <cell r="D32">
            <v>284.96165860000002</v>
          </cell>
          <cell r="F32">
            <v>27.33351530625648</v>
          </cell>
          <cell r="G32">
            <v>290.75764429999998</v>
          </cell>
          <cell r="I32">
            <v>24.866158273468219</v>
          </cell>
          <cell r="J32">
            <v>264.42516999999998</v>
          </cell>
          <cell r="L32">
            <v>22.606785517017283</v>
          </cell>
          <cell r="M32">
            <v>240.55074999999999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M32">
            <v>101.60368077158634</v>
          </cell>
          <cell r="AN32">
            <v>1080.6952228999999</v>
          </cell>
        </row>
      </sheetData>
      <sheetData sheetId="5"/>
      <sheetData sheetId="6"/>
      <sheetData sheetId="7"/>
      <sheetData sheetId="8"/>
      <sheetData sheetId="9">
        <row r="3">
          <cell r="B3">
            <v>116</v>
          </cell>
          <cell r="C3">
            <v>11359.380999999999</v>
          </cell>
          <cell r="D3">
            <v>120568.46400000001</v>
          </cell>
          <cell r="E3">
            <v>116</v>
          </cell>
          <cell r="F3">
            <v>10558.898000000001</v>
          </cell>
          <cell r="G3">
            <v>112100.795</v>
          </cell>
          <cell r="H3">
            <v>116</v>
          </cell>
          <cell r="I3">
            <v>10754.157000000001</v>
          </cell>
          <cell r="J3">
            <v>114178.001</v>
          </cell>
          <cell r="K3">
            <v>116</v>
          </cell>
          <cell r="L3">
            <v>9977.0860000000011</v>
          </cell>
          <cell r="M3">
            <v>106144.87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116</v>
          </cell>
          <cell r="AM3">
            <v>21918.279000000002</v>
          </cell>
        </row>
        <row r="4">
          <cell r="B4">
            <v>308</v>
          </cell>
          <cell r="C4">
            <v>2060.3240000000001</v>
          </cell>
          <cell r="D4">
            <v>21869.119525999999</v>
          </cell>
          <cell r="E4">
            <v>308</v>
          </cell>
          <cell r="F4">
            <v>2137.2729999999997</v>
          </cell>
          <cell r="G4">
            <v>22692.558065999998</v>
          </cell>
          <cell r="H4">
            <v>308</v>
          </cell>
          <cell r="I4">
            <v>1767.2269999999999</v>
          </cell>
          <cell r="J4">
            <v>18763.852115000002</v>
          </cell>
          <cell r="K4">
            <v>309</v>
          </cell>
          <cell r="L4">
            <v>1232.33</v>
          </cell>
          <cell r="M4">
            <v>13110.94965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308</v>
          </cell>
          <cell r="AM4">
            <v>4197.5969999999998</v>
          </cell>
        </row>
        <row r="5">
          <cell r="B5">
            <v>7261</v>
          </cell>
          <cell r="C5">
            <v>7612.4791140000007</v>
          </cell>
          <cell r="D5">
            <v>80807.090938000008</v>
          </cell>
          <cell r="E5">
            <v>7262</v>
          </cell>
          <cell r="F5">
            <v>7025.8289759999998</v>
          </cell>
          <cell r="G5">
            <v>74593.286842000001</v>
          </cell>
          <cell r="H5">
            <v>7262</v>
          </cell>
          <cell r="I5">
            <v>6189.2158500000005</v>
          </cell>
          <cell r="J5">
            <v>65714.614050000004</v>
          </cell>
          <cell r="K5">
            <v>7263</v>
          </cell>
          <cell r="L5">
            <v>3367.3126559999996</v>
          </cell>
          <cell r="M5">
            <v>35825.501036000001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7262</v>
          </cell>
          <cell r="AM5">
            <v>14638.30809</v>
          </cell>
        </row>
        <row r="6">
          <cell r="B6">
            <v>99702</v>
          </cell>
          <cell r="C6">
            <v>15978.357886</v>
          </cell>
          <cell r="D6">
            <v>169609.73806200002</v>
          </cell>
          <cell r="E6">
            <v>99704</v>
          </cell>
          <cell r="F6">
            <v>14747.679023999999</v>
          </cell>
          <cell r="G6">
            <v>156576.17415800001</v>
          </cell>
          <cell r="H6">
            <v>99706</v>
          </cell>
          <cell r="I6">
            <v>11473.21515</v>
          </cell>
          <cell r="J6">
            <v>121817.86895</v>
          </cell>
          <cell r="K6">
            <v>99708</v>
          </cell>
          <cell r="L6">
            <v>7067.1353440000012</v>
          </cell>
          <cell r="M6">
            <v>75188.636964000005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99704</v>
          </cell>
          <cell r="AM6">
            <v>30726.036909999999</v>
          </cell>
        </row>
        <row r="9">
          <cell r="B9">
            <v>193</v>
          </cell>
          <cell r="C9">
            <v>55842.7</v>
          </cell>
          <cell r="D9">
            <v>593830.81553099968</v>
          </cell>
          <cell r="E9">
            <v>193</v>
          </cell>
          <cell r="F9">
            <v>49680.1</v>
          </cell>
          <cell r="G9">
            <v>528467.67168400018</v>
          </cell>
          <cell r="H9">
            <v>193</v>
          </cell>
          <cell r="I9">
            <v>43292.5</v>
          </cell>
          <cell r="J9">
            <v>460369.47941699991</v>
          </cell>
          <cell r="K9">
            <v>190</v>
          </cell>
          <cell r="L9">
            <v>31503.7</v>
          </cell>
          <cell r="M9">
            <v>335219.57809999987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193</v>
          </cell>
          <cell r="AM9">
            <v>105522.79999999999</v>
          </cell>
        </row>
        <row r="10">
          <cell r="B10">
            <v>947</v>
          </cell>
          <cell r="C10">
            <v>16546.599999999999</v>
          </cell>
          <cell r="D10">
            <v>175956.56400300015</v>
          </cell>
          <cell r="E10">
            <v>946</v>
          </cell>
          <cell r="F10">
            <v>14890.5</v>
          </cell>
          <cell r="G10">
            <v>158396.5142429999</v>
          </cell>
          <cell r="H10">
            <v>927</v>
          </cell>
          <cell r="I10">
            <v>12676.4</v>
          </cell>
          <cell r="J10">
            <v>134799.69106200017</v>
          </cell>
          <cell r="K10">
            <v>928</v>
          </cell>
          <cell r="L10">
            <v>8808.7000000000007</v>
          </cell>
          <cell r="M10">
            <v>93730.149671999825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946</v>
          </cell>
          <cell r="AM10">
            <v>31437.1</v>
          </cell>
        </row>
        <row r="11">
          <cell r="B11">
            <v>23870</v>
          </cell>
          <cell r="C11">
            <v>24081.9</v>
          </cell>
          <cell r="D11">
            <v>256086.7</v>
          </cell>
          <cell r="E11">
            <v>23870</v>
          </cell>
          <cell r="F11">
            <v>21820.5</v>
          </cell>
          <cell r="G11">
            <v>232113.5</v>
          </cell>
          <cell r="H11">
            <v>23880</v>
          </cell>
          <cell r="I11">
            <v>17704.599999999999</v>
          </cell>
          <cell r="J11">
            <v>188270</v>
          </cell>
          <cell r="K11">
            <v>23864</v>
          </cell>
          <cell r="L11">
            <v>10986.1</v>
          </cell>
          <cell r="M11">
            <v>116898.8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23870</v>
          </cell>
          <cell r="AM11">
            <v>45902.400000000001</v>
          </cell>
        </row>
        <row r="12">
          <cell r="B12">
            <v>362171</v>
          </cell>
          <cell r="C12">
            <v>65816.600000000006</v>
          </cell>
          <cell r="D12">
            <v>699893.4</v>
          </cell>
          <cell r="E12">
            <v>362171</v>
          </cell>
          <cell r="F12">
            <v>59636.1</v>
          </cell>
          <cell r="G12">
            <v>634373.69999999995</v>
          </cell>
          <cell r="H12">
            <v>361989</v>
          </cell>
          <cell r="I12">
            <v>48387.3</v>
          </cell>
          <cell r="J12">
            <v>514548</v>
          </cell>
          <cell r="K12">
            <v>361867</v>
          </cell>
          <cell r="L12">
            <v>30025.3</v>
          </cell>
          <cell r="M12">
            <v>319488.2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362171</v>
          </cell>
          <cell r="AM12">
            <v>125452.70000000001</v>
          </cell>
        </row>
        <row r="15">
          <cell r="B15">
            <v>50</v>
          </cell>
          <cell r="C15">
            <v>10676.2</v>
          </cell>
          <cell r="D15">
            <v>113531.12335599998</v>
          </cell>
          <cell r="E15">
            <v>50</v>
          </cell>
          <cell r="F15">
            <v>10034.1</v>
          </cell>
          <cell r="G15">
            <v>106736.93180200002</v>
          </cell>
          <cell r="H15">
            <v>50</v>
          </cell>
          <cell r="I15">
            <v>10018.6</v>
          </cell>
          <cell r="J15">
            <v>106537.02722500001</v>
          </cell>
          <cell r="K15">
            <v>50</v>
          </cell>
          <cell r="L15">
            <v>9343.7000000000007</v>
          </cell>
          <cell r="M15">
            <v>99423.096540000028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50</v>
          </cell>
          <cell r="AM15">
            <v>20710.300000000003</v>
          </cell>
        </row>
        <row r="16">
          <cell r="B16">
            <v>194</v>
          </cell>
          <cell r="C16">
            <v>3135.1</v>
          </cell>
          <cell r="D16">
            <v>33338.634742000002</v>
          </cell>
          <cell r="E16">
            <v>194</v>
          </cell>
          <cell r="F16">
            <v>2989.6</v>
          </cell>
          <cell r="G16">
            <v>31801.094799999981</v>
          </cell>
          <cell r="H16">
            <v>192</v>
          </cell>
          <cell r="I16">
            <v>2590.1999999999998</v>
          </cell>
          <cell r="J16">
            <v>27544.175816000028</v>
          </cell>
          <cell r="K16">
            <v>192</v>
          </cell>
          <cell r="L16">
            <v>2000.2</v>
          </cell>
          <cell r="M16">
            <v>21283.51079800001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194</v>
          </cell>
          <cell r="AM16">
            <v>6124.7</v>
          </cell>
        </row>
        <row r="17">
          <cell r="B17">
            <v>5988</v>
          </cell>
          <cell r="C17">
            <v>5781.7</v>
          </cell>
          <cell r="D17">
            <v>61482.6</v>
          </cell>
          <cell r="E17">
            <v>5988</v>
          </cell>
          <cell r="F17">
            <v>5238.8</v>
          </cell>
          <cell r="G17">
            <v>55727</v>
          </cell>
          <cell r="H17">
            <v>5991</v>
          </cell>
          <cell r="I17">
            <v>4250.6000000000004</v>
          </cell>
          <cell r="J17">
            <v>45200.800000000003</v>
          </cell>
          <cell r="K17">
            <v>5986</v>
          </cell>
          <cell r="L17">
            <v>2637.6</v>
          </cell>
          <cell r="M17">
            <v>28065.7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5988</v>
          </cell>
          <cell r="AM17">
            <v>11020.5</v>
          </cell>
        </row>
        <row r="18">
          <cell r="B18">
            <v>80049</v>
          </cell>
          <cell r="C18">
            <v>8099.7</v>
          </cell>
          <cell r="D18">
            <v>86131.7</v>
          </cell>
          <cell r="E18">
            <v>80049</v>
          </cell>
          <cell r="F18">
            <v>7339.1</v>
          </cell>
          <cell r="G18">
            <v>78068.600000000006</v>
          </cell>
          <cell r="H18">
            <v>80009</v>
          </cell>
          <cell r="I18">
            <v>5954.7</v>
          </cell>
          <cell r="J18">
            <v>63322.3</v>
          </cell>
          <cell r="K18">
            <v>79982</v>
          </cell>
          <cell r="L18">
            <v>3695</v>
          </cell>
          <cell r="M18">
            <v>39317.5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80049</v>
          </cell>
          <cell r="AM18">
            <v>15438.8</v>
          </cell>
        </row>
        <row r="21">
          <cell r="B21">
            <v>80</v>
          </cell>
          <cell r="C21">
            <v>14336.3</v>
          </cell>
          <cell r="D21">
            <v>152452.39841299999</v>
          </cell>
          <cell r="E21">
            <v>80</v>
          </cell>
          <cell r="F21">
            <v>12624.3</v>
          </cell>
          <cell r="G21">
            <v>134289.88596000004</v>
          </cell>
          <cell r="H21">
            <v>81</v>
          </cell>
          <cell r="I21">
            <v>12400.3</v>
          </cell>
          <cell r="J21">
            <v>131863.71740599998</v>
          </cell>
          <cell r="K21">
            <v>81</v>
          </cell>
          <cell r="L21">
            <v>10530.1</v>
          </cell>
          <cell r="M21">
            <v>112047.03569999996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80</v>
          </cell>
          <cell r="AM21">
            <v>26960.6</v>
          </cell>
        </row>
        <row r="22">
          <cell r="B22">
            <v>266</v>
          </cell>
          <cell r="C22">
            <v>4273.6000000000004</v>
          </cell>
          <cell r="D22">
            <v>45445.357922999989</v>
          </cell>
          <cell r="E22">
            <v>263</v>
          </cell>
          <cell r="F22">
            <v>3916.6</v>
          </cell>
          <cell r="G22">
            <v>41662.740229000032</v>
          </cell>
          <cell r="H22">
            <v>255</v>
          </cell>
          <cell r="I22">
            <v>3291.3</v>
          </cell>
          <cell r="J22">
            <v>34999.558914000008</v>
          </cell>
          <cell r="K22">
            <v>256</v>
          </cell>
          <cell r="L22">
            <v>2395.3000000000002</v>
          </cell>
          <cell r="M22">
            <v>25487.578733999984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263</v>
          </cell>
          <cell r="AM22">
            <v>8190.2000000000007</v>
          </cell>
        </row>
        <row r="23">
          <cell r="B23">
            <v>9429</v>
          </cell>
          <cell r="C23">
            <v>9072.4</v>
          </cell>
          <cell r="D23">
            <v>96475.4</v>
          </cell>
          <cell r="E23">
            <v>9429</v>
          </cell>
          <cell r="F23">
            <v>8220.4</v>
          </cell>
          <cell r="G23">
            <v>87444</v>
          </cell>
          <cell r="H23">
            <v>9433</v>
          </cell>
          <cell r="I23">
            <v>6669.9</v>
          </cell>
          <cell r="J23">
            <v>70926.899999999994</v>
          </cell>
          <cell r="K23">
            <v>9426</v>
          </cell>
          <cell r="L23">
            <v>4138.8</v>
          </cell>
          <cell r="M23">
            <v>44039.199999999997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9429</v>
          </cell>
          <cell r="AM23">
            <v>17292.8</v>
          </cell>
        </row>
        <row r="24">
          <cell r="B24">
            <v>108944</v>
          </cell>
          <cell r="C24">
            <v>17419.599999999999</v>
          </cell>
          <cell r="D24">
            <v>185239.7</v>
          </cell>
          <cell r="E24">
            <v>108944</v>
          </cell>
          <cell r="F24">
            <v>15783.8</v>
          </cell>
          <cell r="G24">
            <v>167898.7</v>
          </cell>
          <cell r="H24">
            <v>108890</v>
          </cell>
          <cell r="I24">
            <v>12806.6</v>
          </cell>
          <cell r="J24">
            <v>136184.6</v>
          </cell>
          <cell r="K24">
            <v>108853</v>
          </cell>
          <cell r="L24">
            <v>7946.7</v>
          </cell>
          <cell r="M24">
            <v>84558.399999999994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108944</v>
          </cell>
          <cell r="AM24">
            <v>33203.399999999994</v>
          </cell>
        </row>
        <row r="27">
          <cell r="B27">
            <v>92</v>
          </cell>
          <cell r="C27">
            <v>19816.7</v>
          </cell>
          <cell r="D27">
            <v>210730.97947300001</v>
          </cell>
          <cell r="E27">
            <v>92</v>
          </cell>
          <cell r="F27">
            <v>18458.5</v>
          </cell>
          <cell r="G27">
            <v>196350.45570699996</v>
          </cell>
          <cell r="H27">
            <v>93</v>
          </cell>
          <cell r="I27">
            <v>16671.5</v>
          </cell>
          <cell r="J27">
            <v>177283.6741</v>
          </cell>
          <cell r="K27">
            <v>93</v>
          </cell>
          <cell r="L27">
            <v>13087.9</v>
          </cell>
          <cell r="M27">
            <v>139263.89343999996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92</v>
          </cell>
          <cell r="AM27">
            <v>38275.199999999997</v>
          </cell>
        </row>
        <row r="28">
          <cell r="B28">
            <v>309</v>
          </cell>
          <cell r="C28">
            <v>5299</v>
          </cell>
          <cell r="D28">
            <v>56349.049073000024</v>
          </cell>
          <cell r="E28">
            <v>308</v>
          </cell>
          <cell r="F28">
            <v>4951.3999999999996</v>
          </cell>
          <cell r="G28">
            <v>52670.536578000021</v>
          </cell>
          <cell r="H28">
            <v>305</v>
          </cell>
          <cell r="I28">
            <v>4369.3999999999996</v>
          </cell>
          <cell r="J28">
            <v>46463.956092</v>
          </cell>
          <cell r="K28">
            <v>305</v>
          </cell>
          <cell r="L28">
            <v>3306.8</v>
          </cell>
          <cell r="M28">
            <v>35186.450359999995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308</v>
          </cell>
          <cell r="AM28">
            <v>10250.4</v>
          </cell>
        </row>
        <row r="29">
          <cell r="B29">
            <v>8549</v>
          </cell>
          <cell r="C29">
            <v>9011.5</v>
          </cell>
          <cell r="D29">
            <v>95828.800000000003</v>
          </cell>
          <cell r="E29">
            <v>8549</v>
          </cell>
          <cell r="F29">
            <v>8165.3</v>
          </cell>
          <cell r="G29">
            <v>86857.9</v>
          </cell>
          <cell r="H29">
            <v>8553</v>
          </cell>
          <cell r="I29">
            <v>6625.2</v>
          </cell>
          <cell r="J29">
            <v>70451.5</v>
          </cell>
          <cell r="K29">
            <v>8547</v>
          </cell>
          <cell r="L29">
            <v>4111</v>
          </cell>
          <cell r="M29">
            <v>43744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8549</v>
          </cell>
          <cell r="AM29">
            <v>17176.8</v>
          </cell>
        </row>
        <row r="30">
          <cell r="B30">
            <v>83835</v>
          </cell>
          <cell r="C30">
            <v>13212.9</v>
          </cell>
          <cell r="D30">
            <v>140506.1</v>
          </cell>
          <cell r="E30">
            <v>83835</v>
          </cell>
          <cell r="F30">
            <v>11972.2</v>
          </cell>
          <cell r="G30">
            <v>127352.8</v>
          </cell>
          <cell r="H30">
            <v>83793</v>
          </cell>
          <cell r="I30">
            <v>9713.9</v>
          </cell>
          <cell r="J30">
            <v>103297.3</v>
          </cell>
          <cell r="K30">
            <v>83765</v>
          </cell>
          <cell r="L30">
            <v>6027.7</v>
          </cell>
          <cell r="M30">
            <v>64138.400000000001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83835</v>
          </cell>
          <cell r="AM30">
            <v>25185.1</v>
          </cell>
        </row>
        <row r="33">
          <cell r="B33">
            <v>131</v>
          </cell>
          <cell r="C33">
            <v>47661</v>
          </cell>
          <cell r="D33">
            <v>506655.45176200004</v>
          </cell>
          <cell r="E33">
            <v>131</v>
          </cell>
          <cell r="F33">
            <v>47049.3</v>
          </cell>
          <cell r="G33">
            <v>500330.07380999991</v>
          </cell>
          <cell r="H33">
            <v>131</v>
          </cell>
          <cell r="I33">
            <v>48177.5</v>
          </cell>
          <cell r="J33">
            <v>512153.49854</v>
          </cell>
          <cell r="K33">
            <v>131</v>
          </cell>
          <cell r="L33">
            <v>41439.199999999997</v>
          </cell>
          <cell r="M33">
            <v>440799.06076999992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131</v>
          </cell>
          <cell r="AM33">
            <v>94710.3</v>
          </cell>
        </row>
        <row r="34">
          <cell r="B34">
            <v>487</v>
          </cell>
          <cell r="C34">
            <v>8084</v>
          </cell>
          <cell r="D34">
            <v>85949.99489699988</v>
          </cell>
          <cell r="E34">
            <v>489</v>
          </cell>
          <cell r="F34">
            <v>7395.1</v>
          </cell>
          <cell r="G34">
            <v>78647.095310000048</v>
          </cell>
          <cell r="H34">
            <v>480</v>
          </cell>
          <cell r="I34">
            <v>6382.5</v>
          </cell>
          <cell r="J34">
            <v>67850.044908999946</v>
          </cell>
          <cell r="K34">
            <v>479</v>
          </cell>
          <cell r="L34">
            <v>4691.1000000000004</v>
          </cell>
          <cell r="M34">
            <v>49897.236119999958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489</v>
          </cell>
          <cell r="AM34">
            <v>15479.1</v>
          </cell>
        </row>
        <row r="35">
          <cell r="B35">
            <v>18034</v>
          </cell>
          <cell r="C35">
            <v>16707.34</v>
          </cell>
          <cell r="D35">
            <v>177656.25999999998</v>
          </cell>
          <cell r="E35">
            <v>18034</v>
          </cell>
          <cell r="F35">
            <v>15145.031000000001</v>
          </cell>
          <cell r="G35">
            <v>161091.50700000001</v>
          </cell>
          <cell r="H35">
            <v>18043</v>
          </cell>
          <cell r="I35">
            <v>12288.445</v>
          </cell>
          <cell r="J35">
            <v>130656.476</v>
          </cell>
          <cell r="K35">
            <v>18032</v>
          </cell>
          <cell r="L35">
            <v>7616.0349999999999</v>
          </cell>
          <cell r="M35">
            <v>81032.42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18034</v>
          </cell>
          <cell r="AM35">
            <v>31852.370999999999</v>
          </cell>
        </row>
        <row r="36">
          <cell r="B36">
            <v>367430</v>
          </cell>
          <cell r="C36">
            <v>38739.1</v>
          </cell>
          <cell r="D36">
            <v>411951.1</v>
          </cell>
          <cell r="E36">
            <v>367430</v>
          </cell>
          <cell r="F36">
            <v>35101.300000000003</v>
          </cell>
          <cell r="G36">
            <v>373386.8</v>
          </cell>
          <cell r="H36">
            <v>367246</v>
          </cell>
          <cell r="I36">
            <v>28480.400000000001</v>
          </cell>
          <cell r="J36">
            <v>302858.40000000002</v>
          </cell>
          <cell r="K36">
            <v>367122</v>
          </cell>
          <cell r="L36">
            <v>17672.599999999999</v>
          </cell>
          <cell r="M36">
            <v>188047.9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367430</v>
          </cell>
          <cell r="AM36">
            <v>73840.399999999994</v>
          </cell>
        </row>
        <row r="39">
          <cell r="B39">
            <v>109</v>
          </cell>
          <cell r="C39">
            <v>16787.599999999999</v>
          </cell>
          <cell r="D39">
            <v>178519.22238300001</v>
          </cell>
          <cell r="E39">
            <v>109</v>
          </cell>
          <cell r="F39">
            <v>16032.8</v>
          </cell>
          <cell r="G39">
            <v>170546.99534899998</v>
          </cell>
          <cell r="H39">
            <v>109</v>
          </cell>
          <cell r="I39">
            <v>16228.6</v>
          </cell>
          <cell r="J39">
            <v>172574.42683699998</v>
          </cell>
          <cell r="K39">
            <v>110</v>
          </cell>
          <cell r="L39">
            <v>13672.2</v>
          </cell>
          <cell r="M39">
            <v>145480.71457999991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109</v>
          </cell>
          <cell r="AM39">
            <v>32820.399999999994</v>
          </cell>
        </row>
        <row r="40">
          <cell r="B40">
            <v>389</v>
          </cell>
          <cell r="C40">
            <v>6700.2</v>
          </cell>
          <cell r="D40">
            <v>71249.995389000003</v>
          </cell>
          <cell r="E40">
            <v>389</v>
          </cell>
          <cell r="F40">
            <v>5968.3</v>
          </cell>
          <cell r="G40">
            <v>63487.570394999959</v>
          </cell>
          <cell r="H40">
            <v>375</v>
          </cell>
          <cell r="I40">
            <v>5064.1000000000004</v>
          </cell>
          <cell r="J40">
            <v>53850.861585999963</v>
          </cell>
          <cell r="K40">
            <v>374</v>
          </cell>
          <cell r="L40">
            <v>3415.2</v>
          </cell>
          <cell r="M40">
            <v>36340.300940000016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389</v>
          </cell>
          <cell r="AM40">
            <v>12668.5</v>
          </cell>
        </row>
        <row r="41">
          <cell r="B41">
            <v>12794</v>
          </cell>
          <cell r="C41">
            <v>11839.6</v>
          </cell>
          <cell r="D41">
            <v>125901.9</v>
          </cell>
          <cell r="E41">
            <v>12794</v>
          </cell>
          <cell r="F41">
            <v>10727.8</v>
          </cell>
          <cell r="G41">
            <v>114115.8</v>
          </cell>
          <cell r="H41">
            <v>12799</v>
          </cell>
          <cell r="I41">
            <v>8704.2999999999993</v>
          </cell>
          <cell r="J41">
            <v>92560.6</v>
          </cell>
          <cell r="K41">
            <v>12790</v>
          </cell>
          <cell r="L41">
            <v>5401.2</v>
          </cell>
          <cell r="M41">
            <v>57471.9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12794</v>
          </cell>
          <cell r="AM41">
            <v>22567.4</v>
          </cell>
        </row>
        <row r="42">
          <cell r="B42">
            <v>174713</v>
          </cell>
          <cell r="C42">
            <v>25036.400000000001</v>
          </cell>
          <cell r="D42">
            <v>266236.7</v>
          </cell>
          <cell r="E42">
            <v>174713</v>
          </cell>
          <cell r="F42">
            <v>22685.4</v>
          </cell>
          <cell r="G42">
            <v>241313.3</v>
          </cell>
          <cell r="H42">
            <v>174625</v>
          </cell>
          <cell r="I42">
            <v>18406.400000000001</v>
          </cell>
          <cell r="J42">
            <v>195732</v>
          </cell>
          <cell r="K42">
            <v>174567</v>
          </cell>
          <cell r="L42">
            <v>11421.5</v>
          </cell>
          <cell r="M42">
            <v>121532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174713</v>
          </cell>
          <cell r="AM42">
            <v>47721.8</v>
          </cell>
        </row>
        <row r="45">
          <cell r="B45">
            <v>75</v>
          </cell>
          <cell r="C45">
            <v>12974</v>
          </cell>
          <cell r="D45">
            <v>137965.96614899996</v>
          </cell>
          <cell r="E45">
            <v>75</v>
          </cell>
          <cell r="F45">
            <v>12723.1</v>
          </cell>
          <cell r="G45">
            <v>135340.74415800002</v>
          </cell>
          <cell r="H45">
            <v>75</v>
          </cell>
          <cell r="I45">
            <v>14548</v>
          </cell>
          <cell r="J45">
            <v>154702.96693400003</v>
          </cell>
          <cell r="K45">
            <v>75</v>
          </cell>
          <cell r="L45">
            <v>13356</v>
          </cell>
          <cell r="M45">
            <v>142116.78551999995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75</v>
          </cell>
          <cell r="AM45">
            <v>25697.1</v>
          </cell>
        </row>
        <row r="46">
          <cell r="B46">
            <v>291</v>
          </cell>
          <cell r="C46">
            <v>4882.7</v>
          </cell>
          <cell r="D46">
            <v>51922.669860000024</v>
          </cell>
          <cell r="E46">
            <v>291</v>
          </cell>
          <cell r="F46">
            <v>4505.1000000000004</v>
          </cell>
          <cell r="G46">
            <v>47922.386803999951</v>
          </cell>
          <cell r="H46">
            <v>288</v>
          </cell>
          <cell r="I46">
            <v>3955.2</v>
          </cell>
          <cell r="J46">
            <v>42059.560846000015</v>
          </cell>
          <cell r="K46">
            <v>287</v>
          </cell>
          <cell r="L46">
            <v>2844.4</v>
          </cell>
          <cell r="M46">
            <v>30266.6394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291</v>
          </cell>
          <cell r="AM46">
            <v>9387.7999999999993</v>
          </cell>
        </row>
        <row r="47">
          <cell r="B47">
            <v>10836</v>
          </cell>
          <cell r="C47">
            <v>9891</v>
          </cell>
          <cell r="D47">
            <v>105180.9</v>
          </cell>
          <cell r="E47">
            <v>10836</v>
          </cell>
          <cell r="F47">
            <v>8962.2000000000007</v>
          </cell>
          <cell r="G47">
            <v>95334.5</v>
          </cell>
          <cell r="H47">
            <v>10840</v>
          </cell>
          <cell r="I47">
            <v>7271.7</v>
          </cell>
          <cell r="J47">
            <v>77326.899999999994</v>
          </cell>
          <cell r="K47">
            <v>10833</v>
          </cell>
          <cell r="L47">
            <v>4512.2</v>
          </cell>
          <cell r="M47">
            <v>48013.1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10836</v>
          </cell>
          <cell r="AM47">
            <v>18853.2</v>
          </cell>
        </row>
        <row r="48">
          <cell r="B48">
            <v>125366</v>
          </cell>
          <cell r="C48">
            <v>20031.900000000001</v>
          </cell>
          <cell r="D48">
            <v>213019.5</v>
          </cell>
          <cell r="E48">
            <v>125366</v>
          </cell>
          <cell r="F48">
            <v>18150.900000000001</v>
          </cell>
          <cell r="G48">
            <v>193078</v>
          </cell>
          <cell r="H48">
            <v>125303</v>
          </cell>
          <cell r="I48">
            <v>14727.2</v>
          </cell>
          <cell r="J48">
            <v>156607.79999999999</v>
          </cell>
          <cell r="K48">
            <v>125261</v>
          </cell>
          <cell r="L48">
            <v>9138.5</v>
          </cell>
          <cell r="M48">
            <v>97239.4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125366</v>
          </cell>
          <cell r="AM48">
            <v>38182.800000000003</v>
          </cell>
        </row>
        <row r="51">
          <cell r="B51">
            <v>82</v>
          </cell>
          <cell r="C51">
            <v>14833.2</v>
          </cell>
          <cell r="D51">
            <v>157736.02646000002</v>
          </cell>
          <cell r="E51">
            <v>82</v>
          </cell>
          <cell r="F51">
            <v>14328.6</v>
          </cell>
          <cell r="G51">
            <v>152419.40995</v>
          </cell>
          <cell r="H51">
            <v>82</v>
          </cell>
          <cell r="I51">
            <v>14080.7</v>
          </cell>
          <cell r="J51">
            <v>149733.01279000001</v>
          </cell>
          <cell r="K51">
            <v>82</v>
          </cell>
          <cell r="L51">
            <v>12480.5</v>
          </cell>
          <cell r="M51">
            <v>132800.57638000001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82</v>
          </cell>
          <cell r="AM51">
            <v>29161.800000000003</v>
          </cell>
        </row>
        <row r="52">
          <cell r="B52">
            <v>342</v>
          </cell>
          <cell r="C52">
            <v>5903.2</v>
          </cell>
          <cell r="D52">
            <v>62774.462028000045</v>
          </cell>
          <cell r="E52">
            <v>344</v>
          </cell>
          <cell r="F52">
            <v>5826.2</v>
          </cell>
          <cell r="G52">
            <v>61976.036105000036</v>
          </cell>
          <cell r="H52">
            <v>340</v>
          </cell>
          <cell r="I52">
            <v>4737.1000000000004</v>
          </cell>
          <cell r="J52">
            <v>50373.60822099998</v>
          </cell>
          <cell r="K52">
            <v>340</v>
          </cell>
          <cell r="L52">
            <v>3421</v>
          </cell>
          <cell r="M52">
            <v>36401.368319999965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344</v>
          </cell>
          <cell r="AM52">
            <v>11729.4</v>
          </cell>
        </row>
        <row r="53">
          <cell r="B53">
            <v>11387</v>
          </cell>
          <cell r="C53">
            <v>10919.4</v>
          </cell>
          <cell r="D53">
            <v>116116.6</v>
          </cell>
          <cell r="E53">
            <v>11387</v>
          </cell>
          <cell r="F53">
            <v>9894</v>
          </cell>
          <cell r="G53">
            <v>105246.5</v>
          </cell>
          <cell r="H53">
            <v>11392</v>
          </cell>
          <cell r="I53">
            <v>8027.8</v>
          </cell>
          <cell r="J53">
            <v>85366.6</v>
          </cell>
          <cell r="K53">
            <v>11384</v>
          </cell>
          <cell r="L53">
            <v>4981.3999999999996</v>
          </cell>
          <cell r="M53">
            <v>53005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11387</v>
          </cell>
          <cell r="AM53">
            <v>20813.400000000001</v>
          </cell>
        </row>
        <row r="54">
          <cell r="B54">
            <v>147673</v>
          </cell>
          <cell r="C54">
            <v>18664.7</v>
          </cell>
          <cell r="D54">
            <v>198480.7</v>
          </cell>
          <cell r="E54">
            <v>147673</v>
          </cell>
          <cell r="F54">
            <v>16912</v>
          </cell>
          <cell r="G54">
            <v>179900.1</v>
          </cell>
          <cell r="H54">
            <v>147598</v>
          </cell>
          <cell r="I54">
            <v>13722</v>
          </cell>
          <cell r="J54">
            <v>145919.1</v>
          </cell>
          <cell r="K54">
            <v>147549</v>
          </cell>
          <cell r="L54">
            <v>8514.7999999999993</v>
          </cell>
          <cell r="M54">
            <v>90602.7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147673</v>
          </cell>
          <cell r="AM54">
            <v>35576.699999999997</v>
          </cell>
        </row>
        <row r="57">
          <cell r="B57">
            <v>183</v>
          </cell>
          <cell r="C57">
            <v>30639.122752987834</v>
          </cell>
          <cell r="D57">
            <v>324841.30200000003</v>
          </cell>
          <cell r="E57">
            <v>183</v>
          </cell>
          <cell r="F57">
            <v>28997.952322102396</v>
          </cell>
          <cell r="G57">
            <v>307775.07500000001</v>
          </cell>
          <cell r="H57">
            <v>182</v>
          </cell>
          <cell r="I57">
            <v>25317.265663945698</v>
          </cell>
          <cell r="J57">
            <v>268824.717</v>
          </cell>
          <cell r="K57">
            <v>182</v>
          </cell>
          <cell r="L57">
            <v>18931.912845140083</v>
          </cell>
          <cell r="M57">
            <v>201238.992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183</v>
          </cell>
          <cell r="AM57">
            <v>59637.07507509023</v>
          </cell>
        </row>
        <row r="58">
          <cell r="B58">
            <v>1615</v>
          </cell>
          <cell r="C58">
            <v>24995.48537872847</v>
          </cell>
          <cell r="D58">
            <v>265006.484</v>
          </cell>
          <cell r="E58">
            <v>1617</v>
          </cell>
          <cell r="F58">
            <v>23382.232094319937</v>
          </cell>
          <cell r="G58">
            <v>248156.929</v>
          </cell>
          <cell r="H58">
            <v>1616</v>
          </cell>
          <cell r="I58">
            <v>19298.449932228268</v>
          </cell>
          <cell r="J58">
            <v>204915.435</v>
          </cell>
          <cell r="K58">
            <v>1617</v>
          </cell>
          <cell r="L58">
            <v>13603.197377537306</v>
          </cell>
          <cell r="M58">
            <v>144596.61199999999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1617</v>
          </cell>
          <cell r="AM58">
            <v>48377.717473048411</v>
          </cell>
        </row>
        <row r="59">
          <cell r="B59">
            <v>38997</v>
          </cell>
          <cell r="C59">
            <v>31440.396389816757</v>
          </cell>
          <cell r="D59">
            <v>333336.55164473061</v>
          </cell>
          <cell r="E59">
            <v>38945</v>
          </cell>
          <cell r="F59">
            <v>29231.574355203127</v>
          </cell>
          <cell r="G59">
            <v>310236.32357085904</v>
          </cell>
          <cell r="H59">
            <v>38844</v>
          </cell>
          <cell r="I59">
            <v>22960.04471553738</v>
          </cell>
          <cell r="J59">
            <v>243795.10100687933</v>
          </cell>
          <cell r="K59">
            <v>38786</v>
          </cell>
          <cell r="L59">
            <v>14488.897854727258</v>
          </cell>
          <cell r="M59">
            <v>154011.2580346101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38945</v>
          </cell>
          <cell r="AM59">
            <v>60671.970745019884</v>
          </cell>
        </row>
        <row r="60">
          <cell r="B60">
            <v>390381</v>
          </cell>
          <cell r="C60">
            <v>46032.14606104172</v>
          </cell>
          <cell r="D60">
            <v>488040.81992312468</v>
          </cell>
          <cell r="E60">
            <v>390079</v>
          </cell>
          <cell r="F60">
            <v>42638.932365505483</v>
          </cell>
          <cell r="G60">
            <v>452529.35942898894</v>
          </cell>
          <cell r="H60">
            <v>389865</v>
          </cell>
          <cell r="I60">
            <v>34032.523786300444</v>
          </cell>
          <cell r="J60">
            <v>361365.26199295558</v>
          </cell>
          <cell r="K60">
            <v>389436</v>
          </cell>
          <cell r="L60">
            <v>22029.18872312551</v>
          </cell>
          <cell r="M60">
            <v>234161.56996534171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390079</v>
          </cell>
          <cell r="AM60">
            <v>88671.078426547203</v>
          </cell>
        </row>
        <row r="63">
          <cell r="B63">
            <v>180</v>
          </cell>
          <cell r="C63">
            <v>59554.527000000002</v>
          </cell>
          <cell r="D63">
            <v>633262.67791999993</v>
          </cell>
          <cell r="E63">
            <v>181</v>
          </cell>
          <cell r="F63">
            <v>47916.845000000001</v>
          </cell>
          <cell r="G63">
            <v>509690.10971799958</v>
          </cell>
          <cell r="H63">
            <v>182</v>
          </cell>
          <cell r="I63">
            <v>54511.09</v>
          </cell>
          <cell r="J63">
            <v>579692.49793700012</v>
          </cell>
          <cell r="K63">
            <v>180</v>
          </cell>
          <cell r="L63">
            <v>43389.014000000003</v>
          </cell>
          <cell r="M63">
            <v>461673.10963999998</v>
          </cell>
          <cell r="N63">
            <v>10</v>
          </cell>
          <cell r="O63">
            <v>0</v>
          </cell>
          <cell r="P63">
            <v>0</v>
          </cell>
          <cell r="Q63">
            <v>10</v>
          </cell>
          <cell r="R63">
            <v>0</v>
          </cell>
          <cell r="S63">
            <v>0</v>
          </cell>
          <cell r="T63">
            <v>10</v>
          </cell>
          <cell r="U63">
            <v>0</v>
          </cell>
          <cell r="V63">
            <v>0</v>
          </cell>
          <cell r="W63">
            <v>10</v>
          </cell>
          <cell r="X63">
            <v>0</v>
          </cell>
          <cell r="Y63">
            <v>0</v>
          </cell>
          <cell r="Z63">
            <v>10</v>
          </cell>
          <cell r="AA63">
            <v>0</v>
          </cell>
          <cell r="AB63">
            <v>0</v>
          </cell>
          <cell r="AC63">
            <v>10</v>
          </cell>
          <cell r="AD63">
            <v>0</v>
          </cell>
          <cell r="AE63">
            <v>0</v>
          </cell>
          <cell r="AF63">
            <v>10</v>
          </cell>
          <cell r="AG63">
            <v>0</v>
          </cell>
          <cell r="AH63">
            <v>0</v>
          </cell>
          <cell r="AI63">
            <v>10</v>
          </cell>
          <cell r="AJ63">
            <v>0</v>
          </cell>
          <cell r="AK63">
            <v>0</v>
          </cell>
          <cell r="AL63">
            <v>181</v>
          </cell>
          <cell r="AM63">
            <v>107471.372</v>
          </cell>
        </row>
        <row r="64">
          <cell r="B64">
            <v>651</v>
          </cell>
          <cell r="C64">
            <v>11431.9</v>
          </cell>
          <cell r="D64">
            <v>121566.842271</v>
          </cell>
          <cell r="E64">
            <v>652</v>
          </cell>
          <cell r="F64">
            <v>10793.6</v>
          </cell>
          <cell r="G64">
            <v>114815.51756599995</v>
          </cell>
          <cell r="H64">
            <v>638</v>
          </cell>
          <cell r="I64">
            <v>9022.2000000000007</v>
          </cell>
          <cell r="J64">
            <v>95941.635624999952</v>
          </cell>
          <cell r="K64">
            <v>639</v>
          </cell>
          <cell r="L64">
            <v>6670</v>
          </cell>
          <cell r="M64">
            <v>70973.031440000035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652</v>
          </cell>
          <cell r="AM64">
            <v>22225.5</v>
          </cell>
        </row>
        <row r="65">
          <cell r="B65">
            <v>17979</v>
          </cell>
          <cell r="C65">
            <v>17822.400000000001</v>
          </cell>
          <cell r="D65">
            <v>189523.1</v>
          </cell>
          <cell r="E65">
            <v>17979</v>
          </cell>
          <cell r="F65">
            <v>16148.8</v>
          </cell>
          <cell r="G65">
            <v>171781.1</v>
          </cell>
          <cell r="H65">
            <v>17987</v>
          </cell>
          <cell r="I65">
            <v>13102.7</v>
          </cell>
          <cell r="J65">
            <v>139333.70000000001</v>
          </cell>
          <cell r="K65">
            <v>17974</v>
          </cell>
          <cell r="L65">
            <v>8130.5</v>
          </cell>
          <cell r="M65">
            <v>86513.7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17979</v>
          </cell>
          <cell r="AM65">
            <v>33971.199999999997</v>
          </cell>
        </row>
        <row r="66">
          <cell r="B66">
            <v>234865</v>
          </cell>
          <cell r="C66">
            <v>44209.7</v>
          </cell>
          <cell r="D66">
            <v>470126.1</v>
          </cell>
          <cell r="E66">
            <v>234865</v>
          </cell>
          <cell r="F66">
            <v>40058.300000000003</v>
          </cell>
          <cell r="G66">
            <v>426115.8</v>
          </cell>
          <cell r="H66">
            <v>234747</v>
          </cell>
          <cell r="I66">
            <v>32502.3</v>
          </cell>
          <cell r="J66">
            <v>345627.6</v>
          </cell>
          <cell r="K66">
            <v>234668</v>
          </cell>
          <cell r="L66">
            <v>20168.3</v>
          </cell>
          <cell r="M66">
            <v>214603.7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234865</v>
          </cell>
          <cell r="AM66">
            <v>84268</v>
          </cell>
        </row>
        <row r="69">
          <cell r="B69">
            <v>130</v>
          </cell>
          <cell r="C69">
            <v>59430.087</v>
          </cell>
          <cell r="D69">
            <v>631769.96576399985</v>
          </cell>
          <cell r="E69">
            <v>131</v>
          </cell>
          <cell r="F69">
            <v>57220.86</v>
          </cell>
          <cell r="G69">
            <v>608573.19798600033</v>
          </cell>
          <cell r="H69">
            <v>132</v>
          </cell>
          <cell r="I69">
            <v>53106.775999999998</v>
          </cell>
          <cell r="J69">
            <v>564734.36721500033</v>
          </cell>
          <cell r="K69">
            <v>132</v>
          </cell>
          <cell r="L69">
            <v>48210.307000000001</v>
          </cell>
          <cell r="M69">
            <v>512988.38781999989</v>
          </cell>
          <cell r="N69">
            <v>1</v>
          </cell>
          <cell r="O69">
            <v>0</v>
          </cell>
          <cell r="P69">
            <v>0</v>
          </cell>
          <cell r="Q69">
            <v>1</v>
          </cell>
          <cell r="R69">
            <v>0</v>
          </cell>
          <cell r="S69">
            <v>0</v>
          </cell>
          <cell r="T69">
            <v>1</v>
          </cell>
          <cell r="U69">
            <v>0</v>
          </cell>
          <cell r="V69">
            <v>0</v>
          </cell>
          <cell r="W69">
            <v>1</v>
          </cell>
          <cell r="X69">
            <v>0</v>
          </cell>
          <cell r="Y69">
            <v>0</v>
          </cell>
          <cell r="Z69">
            <v>1</v>
          </cell>
          <cell r="AA69">
            <v>0</v>
          </cell>
          <cell r="AB69">
            <v>0</v>
          </cell>
          <cell r="AC69">
            <v>1</v>
          </cell>
          <cell r="AD69">
            <v>0</v>
          </cell>
          <cell r="AE69">
            <v>0</v>
          </cell>
          <cell r="AF69">
            <v>1</v>
          </cell>
          <cell r="AG69">
            <v>0</v>
          </cell>
          <cell r="AH69">
            <v>0</v>
          </cell>
          <cell r="AI69">
            <v>1</v>
          </cell>
          <cell r="AJ69">
            <v>0</v>
          </cell>
          <cell r="AK69">
            <v>0</v>
          </cell>
          <cell r="AL69">
            <v>131</v>
          </cell>
          <cell r="AM69">
            <v>116650.947</v>
          </cell>
        </row>
        <row r="70">
          <cell r="B70">
            <v>343</v>
          </cell>
          <cell r="C70">
            <v>5535.3</v>
          </cell>
          <cell r="D70">
            <v>58862.018685999959</v>
          </cell>
          <cell r="E70">
            <v>343</v>
          </cell>
          <cell r="F70">
            <v>5200.1000000000004</v>
          </cell>
          <cell r="G70">
            <v>55315.352717000038</v>
          </cell>
          <cell r="H70">
            <v>339</v>
          </cell>
          <cell r="I70">
            <v>4550.7</v>
          </cell>
          <cell r="J70">
            <v>48392.283255000002</v>
          </cell>
          <cell r="K70">
            <v>338</v>
          </cell>
          <cell r="L70">
            <v>3436.9</v>
          </cell>
          <cell r="M70">
            <v>36570.923750999973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343</v>
          </cell>
          <cell r="AM70">
            <v>10735.400000000001</v>
          </cell>
        </row>
        <row r="71">
          <cell r="B71">
            <v>12369</v>
          </cell>
          <cell r="C71">
            <v>10459.1</v>
          </cell>
          <cell r="D71">
            <v>111222.5</v>
          </cell>
          <cell r="E71">
            <v>12369</v>
          </cell>
          <cell r="F71">
            <v>9477</v>
          </cell>
          <cell r="G71">
            <v>100810.6</v>
          </cell>
          <cell r="H71">
            <v>12374</v>
          </cell>
          <cell r="I71">
            <v>7689.4</v>
          </cell>
          <cell r="J71">
            <v>81768.600000000006</v>
          </cell>
          <cell r="K71">
            <v>12366</v>
          </cell>
          <cell r="L71">
            <v>4771.3999999999996</v>
          </cell>
          <cell r="M71">
            <v>50771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12369</v>
          </cell>
          <cell r="AM71">
            <v>19936.099999999999</v>
          </cell>
        </row>
        <row r="72">
          <cell r="B72">
            <v>214274</v>
          </cell>
          <cell r="C72">
            <v>23457.7</v>
          </cell>
          <cell r="D72">
            <v>249448.7</v>
          </cell>
          <cell r="E72">
            <v>214274</v>
          </cell>
          <cell r="F72">
            <v>21254.9</v>
          </cell>
          <cell r="G72">
            <v>226096.8</v>
          </cell>
          <cell r="H72">
            <v>214166</v>
          </cell>
          <cell r="I72">
            <v>17245.7</v>
          </cell>
          <cell r="J72">
            <v>183389.8</v>
          </cell>
          <cell r="K72">
            <v>214094</v>
          </cell>
          <cell r="L72">
            <v>10701.3</v>
          </cell>
          <cell r="M72">
            <v>113868.6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214274</v>
          </cell>
          <cell r="AM72">
            <v>44712.600000000006</v>
          </cell>
        </row>
        <row r="75">
          <cell r="B75">
            <v>97</v>
          </cell>
          <cell r="C75">
            <v>13816.921</v>
          </cell>
          <cell r="D75">
            <v>146893.66351300004</v>
          </cell>
          <cell r="E75">
            <v>97</v>
          </cell>
          <cell r="F75">
            <v>13037.625</v>
          </cell>
          <cell r="G75">
            <v>138651.78842800006</v>
          </cell>
          <cell r="H75">
            <v>97</v>
          </cell>
          <cell r="I75">
            <v>12641.225</v>
          </cell>
          <cell r="J75">
            <v>134398.43673000002</v>
          </cell>
          <cell r="K75">
            <v>97</v>
          </cell>
          <cell r="L75">
            <v>9973.8320000000003</v>
          </cell>
          <cell r="M75">
            <v>106125.88035999995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97</v>
          </cell>
          <cell r="AM75">
            <v>26854.546000000002</v>
          </cell>
        </row>
        <row r="76">
          <cell r="B76">
            <v>346</v>
          </cell>
          <cell r="C76">
            <v>5414.9629999999997</v>
          </cell>
          <cell r="D76">
            <v>57570.067545000034</v>
          </cell>
          <cell r="E76">
            <v>345</v>
          </cell>
          <cell r="F76">
            <v>4841.6939999999995</v>
          </cell>
          <cell r="G76">
            <v>51491.635300000016</v>
          </cell>
          <cell r="H76">
            <v>336</v>
          </cell>
          <cell r="I76">
            <v>4286.5940000000001</v>
          </cell>
          <cell r="J76">
            <v>45574.558063000004</v>
          </cell>
          <cell r="K76">
            <v>335</v>
          </cell>
          <cell r="L76">
            <v>3130.2280000000001</v>
          </cell>
          <cell r="M76">
            <v>33307.558479999992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345</v>
          </cell>
          <cell r="AM76">
            <v>10256.656999999999</v>
          </cell>
        </row>
        <row r="77">
          <cell r="B77">
            <v>10021</v>
          </cell>
          <cell r="C77">
            <v>9833.2154800000008</v>
          </cell>
          <cell r="D77">
            <v>104547.09306</v>
          </cell>
          <cell r="E77">
            <v>10021</v>
          </cell>
          <cell r="F77">
            <v>8968.5423200000005</v>
          </cell>
          <cell r="G77">
            <v>95382.078972000003</v>
          </cell>
          <cell r="H77">
            <v>10025</v>
          </cell>
          <cell r="I77">
            <v>7378.7664999999997</v>
          </cell>
          <cell r="J77">
            <v>78451.120800000004</v>
          </cell>
          <cell r="K77">
            <v>10019</v>
          </cell>
          <cell r="L77">
            <v>4755.6308520000002</v>
          </cell>
          <cell r="M77">
            <v>50601.391252000001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10021</v>
          </cell>
          <cell r="AM77">
            <v>18801.757799999999</v>
          </cell>
        </row>
        <row r="78">
          <cell r="B78">
            <v>105065</v>
          </cell>
          <cell r="C78">
            <v>18610.624519999998</v>
          </cell>
          <cell r="D78">
            <v>197864.53694000002</v>
          </cell>
          <cell r="E78">
            <v>105066</v>
          </cell>
          <cell r="F78">
            <v>16986.517680000001</v>
          </cell>
          <cell r="G78">
            <v>180651.34702800002</v>
          </cell>
          <cell r="H78">
            <v>105017</v>
          </cell>
          <cell r="I78">
            <v>13782.2235</v>
          </cell>
          <cell r="J78">
            <v>146531.86720000001</v>
          </cell>
          <cell r="K78">
            <v>104985</v>
          </cell>
          <cell r="L78">
            <v>9058.035147999999</v>
          </cell>
          <cell r="M78">
            <v>96380.574747999999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105066</v>
          </cell>
          <cell r="AM78">
            <v>35597.142200000002</v>
          </cell>
        </row>
        <row r="81">
          <cell r="B81">
            <v>72</v>
          </cell>
          <cell r="C81">
            <v>17904.400000000001</v>
          </cell>
          <cell r="D81">
            <v>190395.19484899996</v>
          </cell>
          <cell r="E81">
            <v>72</v>
          </cell>
          <cell r="F81">
            <v>14676.8</v>
          </cell>
          <cell r="G81">
            <v>156123.07934200001</v>
          </cell>
          <cell r="H81">
            <v>70</v>
          </cell>
          <cell r="I81">
            <v>14626.8</v>
          </cell>
          <cell r="J81">
            <v>155540.50303000005</v>
          </cell>
          <cell r="K81">
            <v>70</v>
          </cell>
          <cell r="L81">
            <v>12302.6</v>
          </cell>
          <cell r="M81">
            <v>130907.38328999998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72</v>
          </cell>
          <cell r="AM81">
            <v>32581.200000000001</v>
          </cell>
        </row>
        <row r="82">
          <cell r="B82">
            <v>357</v>
          </cell>
          <cell r="C82">
            <v>5178</v>
          </cell>
          <cell r="D82">
            <v>55063.167627999981</v>
          </cell>
          <cell r="E82">
            <v>354</v>
          </cell>
          <cell r="F82">
            <v>4670.5</v>
          </cell>
          <cell r="G82">
            <v>49681.890343999999</v>
          </cell>
          <cell r="H82">
            <v>347</v>
          </cell>
          <cell r="I82">
            <v>3979.2</v>
          </cell>
          <cell r="J82">
            <v>42314.556595000009</v>
          </cell>
          <cell r="K82">
            <v>345</v>
          </cell>
          <cell r="L82">
            <v>2723.4</v>
          </cell>
          <cell r="M82">
            <v>28978.887359999993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354</v>
          </cell>
          <cell r="AM82">
            <v>9848.5</v>
          </cell>
        </row>
        <row r="83">
          <cell r="B83">
            <v>10413</v>
          </cell>
          <cell r="C83">
            <v>10983.3</v>
          </cell>
          <cell r="D83">
            <v>116796.3</v>
          </cell>
          <cell r="E83">
            <v>10413</v>
          </cell>
          <cell r="F83">
            <v>9951.9</v>
          </cell>
          <cell r="G83">
            <v>105862.5</v>
          </cell>
          <cell r="H83">
            <v>10417</v>
          </cell>
          <cell r="I83">
            <v>8074.7</v>
          </cell>
          <cell r="J83">
            <v>85866.3</v>
          </cell>
          <cell r="K83">
            <v>10410</v>
          </cell>
          <cell r="L83">
            <v>5010.5</v>
          </cell>
          <cell r="M83">
            <v>53315.3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10413</v>
          </cell>
          <cell r="AM83">
            <v>20935.199999999997</v>
          </cell>
        </row>
        <row r="84">
          <cell r="B84">
            <v>148318</v>
          </cell>
          <cell r="C84">
            <v>24783.1</v>
          </cell>
          <cell r="D84">
            <v>263543.09999999998</v>
          </cell>
          <cell r="E84">
            <v>148318</v>
          </cell>
          <cell r="F84">
            <v>22455.8</v>
          </cell>
          <cell r="G84">
            <v>238871.9</v>
          </cell>
          <cell r="H84">
            <v>148243</v>
          </cell>
          <cell r="I84">
            <v>18220.099999999999</v>
          </cell>
          <cell r="J84">
            <v>193751.8</v>
          </cell>
          <cell r="K84">
            <v>148193</v>
          </cell>
          <cell r="L84">
            <v>11305.9</v>
          </cell>
          <cell r="M84">
            <v>120302.5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148318</v>
          </cell>
          <cell r="AM84">
            <v>47238.899999999994</v>
          </cell>
        </row>
      </sheetData>
      <sheetData sheetId="10">
        <row r="3">
          <cell r="B3">
            <v>183</v>
          </cell>
          <cell r="C3">
            <v>30639.122752987834</v>
          </cell>
          <cell r="D3">
            <v>324841.30200000003</v>
          </cell>
          <cell r="E3">
            <v>183</v>
          </cell>
          <cell r="F3">
            <v>28997.952322102396</v>
          </cell>
          <cell r="G3">
            <v>307775.07500000001</v>
          </cell>
          <cell r="H3">
            <v>182</v>
          </cell>
          <cell r="I3">
            <v>25317.265663945698</v>
          </cell>
          <cell r="J3">
            <v>268824.717</v>
          </cell>
          <cell r="K3">
            <v>182</v>
          </cell>
          <cell r="L3">
            <v>18931.912845140083</v>
          </cell>
          <cell r="M3">
            <v>201238.992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183</v>
          </cell>
          <cell r="AM3">
            <v>59637.07507509023</v>
          </cell>
        </row>
        <row r="4">
          <cell r="B4">
            <v>1615</v>
          </cell>
          <cell r="C4">
            <v>24995.48537872847</v>
          </cell>
          <cell r="D4">
            <v>265006.484</v>
          </cell>
          <cell r="E4">
            <v>1617</v>
          </cell>
          <cell r="F4">
            <v>23382.232094319937</v>
          </cell>
          <cell r="G4">
            <v>248156.929</v>
          </cell>
          <cell r="H4">
            <v>1616</v>
          </cell>
          <cell r="I4">
            <v>19298.449932228268</v>
          </cell>
          <cell r="J4">
            <v>204915.435</v>
          </cell>
          <cell r="K4">
            <v>1617</v>
          </cell>
          <cell r="L4">
            <v>13603.197377537306</v>
          </cell>
          <cell r="M4">
            <v>144596.61199999999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1617</v>
          </cell>
          <cell r="AM4">
            <v>48377.717473048411</v>
          </cell>
        </row>
        <row r="5">
          <cell r="B5">
            <v>38997</v>
          </cell>
          <cell r="C5">
            <v>31440.396389816757</v>
          </cell>
          <cell r="D5">
            <v>333336.55164473061</v>
          </cell>
          <cell r="E5">
            <v>38945</v>
          </cell>
          <cell r="F5">
            <v>29231.574355203127</v>
          </cell>
          <cell r="G5">
            <v>310236.32357085904</v>
          </cell>
          <cell r="H5">
            <v>38844</v>
          </cell>
          <cell r="I5">
            <v>22960.04471553738</v>
          </cell>
          <cell r="J5">
            <v>243795.10100687933</v>
          </cell>
          <cell r="K5">
            <v>38786</v>
          </cell>
          <cell r="L5">
            <v>14488.897854727258</v>
          </cell>
          <cell r="M5">
            <v>154011.2580346101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38945</v>
          </cell>
          <cell r="AM5">
            <v>60671.970745019884</v>
          </cell>
        </row>
        <row r="6">
          <cell r="B6">
            <v>390381</v>
          </cell>
          <cell r="C6">
            <v>46032.14606104172</v>
          </cell>
          <cell r="D6">
            <v>488040.81992312468</v>
          </cell>
          <cell r="E6">
            <v>390079</v>
          </cell>
          <cell r="F6">
            <v>42638.932365505483</v>
          </cell>
          <cell r="G6">
            <v>452529.35942898894</v>
          </cell>
          <cell r="H6">
            <v>389865</v>
          </cell>
          <cell r="I6">
            <v>34032.523786300444</v>
          </cell>
          <cell r="J6">
            <v>361365.26199295558</v>
          </cell>
          <cell r="K6">
            <v>389436</v>
          </cell>
          <cell r="L6">
            <v>22029.18872312551</v>
          </cell>
          <cell r="M6">
            <v>234161.56996534171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390079</v>
          </cell>
          <cell r="AM6">
            <v>88671.078426547203</v>
          </cell>
        </row>
        <row r="7">
          <cell r="C7">
            <v>2973.2832288114546</v>
          </cell>
          <cell r="D7">
            <v>31523.266000000003</v>
          </cell>
          <cell r="F7">
            <v>2851.2358628690235</v>
          </cell>
          <cell r="G7">
            <v>30242.109292152119</v>
          </cell>
          <cell r="I7">
            <v>2523.0513757850945</v>
          </cell>
          <cell r="J7">
            <v>26790.347000000002</v>
          </cell>
          <cell r="L7">
            <v>2285.7130134052777</v>
          </cell>
          <cell r="M7">
            <v>24296.225999999999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U7">
            <v>0</v>
          </cell>
          <cell r="V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J7">
            <v>0</v>
          </cell>
          <cell r="AK7">
            <v>0</v>
          </cell>
          <cell r="AM7">
            <v>5824.5190916804786</v>
          </cell>
        </row>
        <row r="10">
          <cell r="B10">
            <v>1257</v>
          </cell>
          <cell r="C10">
            <v>327478.8</v>
          </cell>
          <cell r="D10">
            <v>3482409.1835729992</v>
          </cell>
          <cell r="E10">
            <v>1259</v>
          </cell>
          <cell r="F10">
            <v>301747.69999999995</v>
          </cell>
          <cell r="G10">
            <v>3209813.0848940001</v>
          </cell>
          <cell r="H10">
            <v>1261</v>
          </cell>
          <cell r="I10">
            <v>301506.8</v>
          </cell>
          <cell r="J10">
            <v>3206204.3661610009</v>
          </cell>
          <cell r="K10">
            <v>1257</v>
          </cell>
          <cell r="L10">
            <v>255482.60000000003</v>
          </cell>
          <cell r="M10">
            <v>2718498.8811399993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1259</v>
          </cell>
          <cell r="AM10">
            <v>629226.5</v>
          </cell>
        </row>
        <row r="11">
          <cell r="B11">
            <v>4876</v>
          </cell>
          <cell r="C11">
            <v>81657.7</v>
          </cell>
          <cell r="D11">
            <v>868347.06857100024</v>
          </cell>
          <cell r="E11">
            <v>4872</v>
          </cell>
          <cell r="F11">
            <v>75335.500000000015</v>
          </cell>
          <cell r="G11">
            <v>801374.53345699981</v>
          </cell>
          <cell r="H11">
            <v>4776</v>
          </cell>
          <cell r="I11">
            <v>64328.2</v>
          </cell>
          <cell r="J11">
            <v>684061.60209900013</v>
          </cell>
          <cell r="K11">
            <v>4772</v>
          </cell>
          <cell r="L11">
            <v>46374.2</v>
          </cell>
          <cell r="M11">
            <v>493452.34702499973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4872</v>
          </cell>
          <cell r="AM11">
            <v>156993.20000000001</v>
          </cell>
        </row>
        <row r="12">
          <cell r="B12">
            <v>150937</v>
          </cell>
          <cell r="C12">
            <v>145471.44</v>
          </cell>
          <cell r="D12">
            <v>1546946.5599999998</v>
          </cell>
          <cell r="E12">
            <v>150937</v>
          </cell>
          <cell r="F12">
            <v>131811.43100000001</v>
          </cell>
          <cell r="G12">
            <v>1402131.007</v>
          </cell>
          <cell r="H12">
            <v>151002</v>
          </cell>
          <cell r="I12">
            <v>106948.64499999999</v>
          </cell>
          <cell r="J12">
            <v>1137284.976</v>
          </cell>
          <cell r="K12">
            <v>150899</v>
          </cell>
          <cell r="L12">
            <v>66363.734999999986</v>
          </cell>
          <cell r="M12">
            <v>706152.02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150937</v>
          </cell>
          <cell r="AM12">
            <v>277282.87100000004</v>
          </cell>
        </row>
        <row r="13">
          <cell r="B13">
            <v>2146622</v>
          </cell>
          <cell r="C13">
            <v>316167.3</v>
          </cell>
          <cell r="D13">
            <v>3362121.2000000007</v>
          </cell>
          <cell r="E13">
            <v>2146622</v>
          </cell>
          <cell r="F13">
            <v>286477.90000000002</v>
          </cell>
          <cell r="G13">
            <v>3047380.3</v>
          </cell>
          <cell r="H13">
            <v>2145543</v>
          </cell>
          <cell r="I13">
            <v>232441.19999999998</v>
          </cell>
          <cell r="J13">
            <v>2471765.9</v>
          </cell>
          <cell r="K13">
            <v>2144822</v>
          </cell>
          <cell r="L13">
            <v>144234.19999999998</v>
          </cell>
          <cell r="M13">
            <v>1534744.9999999998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2146622</v>
          </cell>
          <cell r="AM13">
            <v>602645.19999999995</v>
          </cell>
        </row>
        <row r="14">
          <cell r="C14">
            <v>16019.077863597468</v>
          </cell>
          <cell r="D14">
            <v>170346.87598000001</v>
          </cell>
          <cell r="F14">
            <v>15963.069201814953</v>
          </cell>
          <cell r="G14">
            <v>169805.61574000004</v>
          </cell>
          <cell r="I14">
            <v>12740.547346549789</v>
          </cell>
          <cell r="J14">
            <v>135482.18268999999</v>
          </cell>
          <cell r="L14">
            <v>9780.5748266840583</v>
          </cell>
          <cell r="M14">
            <v>104071.61195999999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M14">
            <v>31982.14706541242</v>
          </cell>
        </row>
        <row r="17">
          <cell r="B17">
            <v>134</v>
          </cell>
          <cell r="C17">
            <v>13122.902</v>
          </cell>
          <cell r="D17">
            <v>139286.476</v>
          </cell>
          <cell r="E17">
            <v>134</v>
          </cell>
          <cell r="F17">
            <v>12258.223000000002</v>
          </cell>
          <cell r="G17">
            <v>130142.019</v>
          </cell>
          <cell r="H17">
            <v>134</v>
          </cell>
          <cell r="I17">
            <v>12393.482000000002</v>
          </cell>
          <cell r="J17">
            <v>131582.87900000002</v>
          </cell>
          <cell r="K17">
            <v>134</v>
          </cell>
          <cell r="L17">
            <v>11359.318000000001</v>
          </cell>
          <cell r="M17">
            <v>120850.37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134</v>
          </cell>
          <cell r="AM17">
            <v>25381.125</v>
          </cell>
        </row>
        <row r="18">
          <cell r="B18">
            <v>348</v>
          </cell>
          <cell r="C18">
            <v>2635.1869999999999</v>
          </cell>
          <cell r="D18">
            <v>27969.875</v>
          </cell>
          <cell r="E18">
            <v>348</v>
          </cell>
          <cell r="F18">
            <v>2613.4669999999996</v>
          </cell>
          <cell r="G18">
            <v>27746.394999999997</v>
          </cell>
          <cell r="H18">
            <v>348</v>
          </cell>
          <cell r="I18">
            <v>2220.9209999999998</v>
          </cell>
          <cell r="J18">
            <v>23579.741000000002</v>
          </cell>
          <cell r="K18">
            <v>349</v>
          </cell>
          <cell r="L18">
            <v>1611.3579999999999</v>
          </cell>
          <cell r="M18">
            <v>17143.237999999998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348</v>
          </cell>
          <cell r="AM18">
            <v>5248.6539999999995</v>
          </cell>
        </row>
        <row r="19">
          <cell r="B19">
            <v>7985</v>
          </cell>
          <cell r="C19">
            <v>8497.8945940000012</v>
          </cell>
          <cell r="D19">
            <v>90202.683998000008</v>
          </cell>
          <cell r="E19">
            <v>7986</v>
          </cell>
          <cell r="F19">
            <v>7886.6712960000004</v>
          </cell>
          <cell r="G19">
            <v>83731.265813999998</v>
          </cell>
          <cell r="H19">
            <v>7986</v>
          </cell>
          <cell r="I19">
            <v>6989.68235</v>
          </cell>
          <cell r="J19">
            <v>74212.134850000002</v>
          </cell>
          <cell r="K19">
            <v>7987</v>
          </cell>
          <cell r="L19">
            <v>4040.9435079999998</v>
          </cell>
          <cell r="M19">
            <v>42991.992288000001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7986</v>
          </cell>
          <cell r="AM19">
            <v>16384.565890000002</v>
          </cell>
        </row>
        <row r="20">
          <cell r="B20">
            <v>105643</v>
          </cell>
          <cell r="C20">
            <v>17893.082406000001</v>
          </cell>
          <cell r="D20">
            <v>189929.87500200002</v>
          </cell>
          <cell r="E20">
            <v>105646</v>
          </cell>
          <cell r="F20">
            <v>16606.096704</v>
          </cell>
          <cell r="G20">
            <v>176303.72118600001</v>
          </cell>
          <cell r="H20">
            <v>105649</v>
          </cell>
          <cell r="I20">
            <v>12980.838650000002</v>
          </cell>
          <cell r="J20">
            <v>137822.53615</v>
          </cell>
          <cell r="K20">
            <v>105652</v>
          </cell>
          <cell r="L20">
            <v>8508.5704920000007</v>
          </cell>
          <cell r="M20">
            <v>90523.511712000007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105646</v>
          </cell>
          <cell r="AM20">
            <v>34499.179109999997</v>
          </cell>
        </row>
        <row r="21">
          <cell r="C21">
            <v>852.76499999999999</v>
          </cell>
          <cell r="D21">
            <v>9051.5879999999997</v>
          </cell>
          <cell r="F21">
            <v>801.15700000000004</v>
          </cell>
          <cell r="G21">
            <v>8505.6910000000007</v>
          </cell>
          <cell r="I21">
            <v>702.48599999999999</v>
          </cell>
          <cell r="J21">
            <v>7458.4719999999998</v>
          </cell>
          <cell r="L21">
            <v>512.57600000000002</v>
          </cell>
          <cell r="M21">
            <v>5453.2129999999997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J21">
            <v>0</v>
          </cell>
          <cell r="AK21">
            <v>0</v>
          </cell>
          <cell r="AM21">
            <v>1653.922</v>
          </cell>
        </row>
        <row r="26">
          <cell r="B26">
            <v>11</v>
          </cell>
          <cell r="C26">
            <v>13359.314</v>
          </cell>
          <cell r="D26">
            <v>141813.29</v>
          </cell>
          <cell r="E26">
            <v>11</v>
          </cell>
          <cell r="F26">
            <v>9398.9050000000007</v>
          </cell>
          <cell r="G26">
            <v>99851.035000000003</v>
          </cell>
          <cell r="H26">
            <v>11</v>
          </cell>
          <cell r="I26">
            <v>6154.4660000000003</v>
          </cell>
          <cell r="J26">
            <v>65471.364000000001</v>
          </cell>
          <cell r="K26">
            <v>11</v>
          </cell>
          <cell r="L26">
            <v>1594.221</v>
          </cell>
          <cell r="M26">
            <v>16950.120999999999</v>
          </cell>
          <cell r="N26">
            <v>11</v>
          </cell>
          <cell r="O26">
            <v>0</v>
          </cell>
          <cell r="P26">
            <v>0</v>
          </cell>
          <cell r="Q26">
            <v>11</v>
          </cell>
          <cell r="R26">
            <v>0</v>
          </cell>
          <cell r="S26">
            <v>0</v>
          </cell>
          <cell r="T26">
            <v>11</v>
          </cell>
          <cell r="U26">
            <v>0</v>
          </cell>
          <cell r="V26">
            <v>0</v>
          </cell>
          <cell r="W26">
            <v>11</v>
          </cell>
          <cell r="X26">
            <v>0</v>
          </cell>
          <cell r="Y26">
            <v>0</v>
          </cell>
          <cell r="Z26">
            <v>11</v>
          </cell>
          <cell r="AA26">
            <v>0</v>
          </cell>
          <cell r="AB26">
            <v>0</v>
          </cell>
          <cell r="AC26">
            <v>11</v>
          </cell>
          <cell r="AD26">
            <v>0</v>
          </cell>
          <cell r="AE26">
            <v>0</v>
          </cell>
          <cell r="AF26">
            <v>11</v>
          </cell>
          <cell r="AG26">
            <v>0</v>
          </cell>
          <cell r="AH26">
            <v>0</v>
          </cell>
          <cell r="AI26">
            <v>11</v>
          </cell>
          <cell r="AJ26">
            <v>0</v>
          </cell>
          <cell r="AK26">
            <v>0</v>
          </cell>
          <cell r="AL26">
            <v>11</v>
          </cell>
          <cell r="AM26">
            <v>22758.219000000001</v>
          </cell>
        </row>
        <row r="32">
          <cell r="B32">
            <v>159</v>
          </cell>
          <cell r="C32">
            <v>1230</v>
          </cell>
          <cell r="D32">
            <v>12880</v>
          </cell>
          <cell r="E32">
            <v>159</v>
          </cell>
          <cell r="F32">
            <v>1122</v>
          </cell>
          <cell r="G32">
            <v>11753</v>
          </cell>
          <cell r="H32">
            <v>159</v>
          </cell>
          <cell r="I32">
            <v>1165</v>
          </cell>
          <cell r="J32">
            <v>12187</v>
          </cell>
          <cell r="K32">
            <v>159</v>
          </cell>
          <cell r="L32">
            <v>935</v>
          </cell>
          <cell r="M32">
            <v>9783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159</v>
          </cell>
          <cell r="AM32">
            <v>2352</v>
          </cell>
        </row>
        <row r="34">
          <cell r="C34">
            <v>814.84200000000237</v>
          </cell>
          <cell r="D34">
            <v>8705.2282000000123</v>
          </cell>
          <cell r="F34">
            <v>742.90700000000106</v>
          </cell>
          <cell r="G34">
            <v>7923.9100000000326</v>
          </cell>
          <cell r="I34">
            <v>829.4519999999975</v>
          </cell>
          <cell r="J34">
            <v>9098.8368000000191</v>
          </cell>
          <cell r="L34">
            <v>672.47199999999793</v>
          </cell>
          <cell r="M34">
            <v>7188.697199999966</v>
          </cell>
          <cell r="O34">
            <v>0</v>
          </cell>
          <cell r="P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M34">
            <v>1557.7490000000034</v>
          </cell>
        </row>
        <row r="36">
          <cell r="B36">
            <v>1590</v>
          </cell>
          <cell r="C36">
            <v>385632.13875298784</v>
          </cell>
          <cell r="D36">
            <v>4099153.2515729992</v>
          </cell>
          <cell r="E36">
            <v>1592</v>
          </cell>
          <cell r="F36">
            <v>353339.78032210236</v>
          </cell>
          <cell r="G36">
            <v>3757396.2138940003</v>
          </cell>
          <cell r="H36">
            <v>1593</v>
          </cell>
          <cell r="I36">
            <v>346375.01366394572</v>
          </cell>
          <cell r="J36">
            <v>3682586.3261610013</v>
          </cell>
          <cell r="K36">
            <v>1589</v>
          </cell>
          <cell r="L36">
            <v>288198.05184514017</v>
          </cell>
          <cell r="M36">
            <v>3066229.3641399993</v>
          </cell>
          <cell r="N36">
            <v>11</v>
          </cell>
          <cell r="O36">
            <v>0</v>
          </cell>
          <cell r="P36">
            <v>0</v>
          </cell>
          <cell r="Q36">
            <v>11</v>
          </cell>
          <cell r="R36">
            <v>0</v>
          </cell>
          <cell r="S36">
            <v>0</v>
          </cell>
          <cell r="T36">
            <v>11</v>
          </cell>
          <cell r="U36">
            <v>0</v>
          </cell>
          <cell r="V36">
            <v>0</v>
          </cell>
          <cell r="W36">
            <v>11</v>
          </cell>
          <cell r="X36">
            <v>0</v>
          </cell>
          <cell r="Y36">
            <v>0</v>
          </cell>
          <cell r="Z36">
            <v>11</v>
          </cell>
          <cell r="AA36">
            <v>0</v>
          </cell>
          <cell r="AB36">
            <v>0</v>
          </cell>
          <cell r="AC36">
            <v>11</v>
          </cell>
          <cell r="AD36">
            <v>0</v>
          </cell>
          <cell r="AE36">
            <v>0</v>
          </cell>
          <cell r="AF36">
            <v>11</v>
          </cell>
          <cell r="AG36">
            <v>0</v>
          </cell>
          <cell r="AH36">
            <v>0</v>
          </cell>
          <cell r="AI36">
            <v>11</v>
          </cell>
          <cell r="AJ36">
            <v>0</v>
          </cell>
          <cell r="AK36">
            <v>0</v>
          </cell>
          <cell r="AL36">
            <v>1592</v>
          </cell>
          <cell r="AM36">
            <v>738971.91907509021</v>
          </cell>
        </row>
        <row r="37">
          <cell r="B37">
            <v>6845</v>
          </cell>
          <cell r="C37">
            <v>109440.37237872847</v>
          </cell>
          <cell r="D37">
            <v>1162924.4275710003</v>
          </cell>
          <cell r="E37">
            <v>6843</v>
          </cell>
          <cell r="F37">
            <v>101468.19909431995</v>
          </cell>
          <cell r="G37">
            <v>1078717.8574569998</v>
          </cell>
          <cell r="H37">
            <v>6746</v>
          </cell>
          <cell r="I37">
            <v>85970.570932228264</v>
          </cell>
          <cell r="J37">
            <v>913843.7780990001</v>
          </cell>
          <cell r="K37">
            <v>6744</v>
          </cell>
          <cell r="L37">
            <v>61678.755377537302</v>
          </cell>
          <cell r="M37">
            <v>656131.19702499977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6843</v>
          </cell>
          <cell r="AM37">
            <v>210908.57147304842</v>
          </cell>
        </row>
        <row r="38">
          <cell r="B38">
            <v>197927</v>
          </cell>
          <cell r="C38">
            <v>185455.73098381679</v>
          </cell>
          <cell r="D38">
            <v>1970961.7956427305</v>
          </cell>
          <cell r="E38">
            <v>197876</v>
          </cell>
          <cell r="F38">
            <v>168977.67665120313</v>
          </cell>
          <cell r="G38">
            <v>1796596.5963848589</v>
          </cell>
          <cell r="H38">
            <v>197840</v>
          </cell>
          <cell r="I38">
            <v>136937.37206553738</v>
          </cell>
          <cell r="J38">
            <v>1455689.2118568793</v>
          </cell>
          <cell r="K38">
            <v>197680</v>
          </cell>
          <cell r="L38">
            <v>84908.576362727239</v>
          </cell>
          <cell r="M38">
            <v>903308.27032261004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197876</v>
          </cell>
          <cell r="AM38">
            <v>354433.40763501992</v>
          </cell>
        </row>
        <row r="39">
          <cell r="B39">
            <v>2642786</v>
          </cell>
          <cell r="C39">
            <v>380092.52846704173</v>
          </cell>
          <cell r="D39">
            <v>4040091.8949251254</v>
          </cell>
          <cell r="E39">
            <v>2642487</v>
          </cell>
          <cell r="F39">
            <v>345722.92906950554</v>
          </cell>
          <cell r="G39">
            <v>3676213.3806149885</v>
          </cell>
          <cell r="H39">
            <v>2641197</v>
          </cell>
          <cell r="I39">
            <v>279454.56243630039</v>
          </cell>
          <cell r="J39">
            <v>2970953.6981429555</v>
          </cell>
          <cell r="K39">
            <v>2640050</v>
          </cell>
          <cell r="L39">
            <v>174771.95921512551</v>
          </cell>
          <cell r="M39">
            <v>1859430.0816773416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2642487</v>
          </cell>
          <cell r="AM39">
            <v>725815.45753654721</v>
          </cell>
        </row>
        <row r="40">
          <cell r="C40">
            <v>20659.968092408926</v>
          </cell>
          <cell r="D40">
            <v>219626.95818000002</v>
          </cell>
          <cell r="F40">
            <v>20358.369064683975</v>
          </cell>
          <cell r="G40">
            <v>216477.32603215217</v>
          </cell>
          <cell r="I40">
            <v>16795.53672233488</v>
          </cell>
          <cell r="J40">
            <v>178829.83849000002</v>
          </cell>
          <cell r="L40">
            <v>13251.335840089334</v>
          </cell>
          <cell r="M40">
            <v>141009.74815999996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D40">
            <v>0</v>
          </cell>
          <cell r="AE40">
            <v>0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</row>
        <row r="56">
          <cell r="B56">
            <v>11</v>
          </cell>
          <cell r="C56">
            <v>13359.314</v>
          </cell>
          <cell r="D56">
            <v>141813.29</v>
          </cell>
          <cell r="E56">
            <v>11</v>
          </cell>
          <cell r="F56">
            <v>9398.9050000000007</v>
          </cell>
          <cell r="G56">
            <v>99851.035000000003</v>
          </cell>
          <cell r="H56">
            <v>11</v>
          </cell>
          <cell r="I56">
            <v>6154.4660000000003</v>
          </cell>
          <cell r="J56">
            <v>65471.364000000001</v>
          </cell>
          <cell r="K56">
            <v>11</v>
          </cell>
          <cell r="L56">
            <v>1594.221</v>
          </cell>
          <cell r="M56">
            <v>16950.120999999999</v>
          </cell>
          <cell r="N56">
            <v>11</v>
          </cell>
          <cell r="O56">
            <v>0</v>
          </cell>
          <cell r="P56">
            <v>0</v>
          </cell>
          <cell r="Q56">
            <v>11</v>
          </cell>
          <cell r="R56">
            <v>0</v>
          </cell>
          <cell r="S56">
            <v>0</v>
          </cell>
          <cell r="T56">
            <v>11</v>
          </cell>
          <cell r="U56">
            <v>0</v>
          </cell>
          <cell r="V56">
            <v>0</v>
          </cell>
          <cell r="W56">
            <v>11</v>
          </cell>
          <cell r="X56">
            <v>0</v>
          </cell>
          <cell r="Y56">
            <v>0</v>
          </cell>
          <cell r="Z56">
            <v>11</v>
          </cell>
          <cell r="AA56">
            <v>0</v>
          </cell>
          <cell r="AB56">
            <v>0</v>
          </cell>
          <cell r="AC56">
            <v>11</v>
          </cell>
          <cell r="AD56">
            <v>0</v>
          </cell>
          <cell r="AE56">
            <v>0</v>
          </cell>
          <cell r="AF56">
            <v>11</v>
          </cell>
          <cell r="AG56">
            <v>0</v>
          </cell>
          <cell r="AH56">
            <v>0</v>
          </cell>
          <cell r="AI56">
            <v>11</v>
          </cell>
          <cell r="AJ56">
            <v>0</v>
          </cell>
          <cell r="AK56">
            <v>0</v>
          </cell>
        </row>
        <row r="57">
          <cell r="B57">
            <v>2848978</v>
          </cell>
          <cell r="C57">
            <v>1046031.4565825748</v>
          </cell>
          <cell r="D57">
            <v>11118438.079711854</v>
          </cell>
          <cell r="E57">
            <v>2848628</v>
          </cell>
          <cell r="F57">
            <v>958987.6801371309</v>
          </cell>
          <cell r="G57">
            <v>10197320.013350848</v>
          </cell>
          <cell r="H57">
            <v>2847206</v>
          </cell>
          <cell r="I57">
            <v>841418.05309801176</v>
          </cell>
          <cell r="J57">
            <v>8945414.6502598356</v>
          </cell>
          <cell r="K57">
            <v>2845893</v>
          </cell>
          <cell r="L57">
            <v>607028.12180053024</v>
          </cell>
          <cell r="M57">
            <v>6458365.7921649497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</row>
        <row r="58">
          <cell r="B58">
            <v>159</v>
          </cell>
          <cell r="C58">
            <v>1230</v>
          </cell>
          <cell r="D58">
            <v>12880</v>
          </cell>
          <cell r="E58">
            <v>159</v>
          </cell>
          <cell r="F58">
            <v>1122</v>
          </cell>
          <cell r="G58">
            <v>11753</v>
          </cell>
          <cell r="H58">
            <v>159</v>
          </cell>
          <cell r="I58">
            <v>1165</v>
          </cell>
          <cell r="J58">
            <v>12187</v>
          </cell>
          <cell r="K58">
            <v>159</v>
          </cell>
          <cell r="L58">
            <v>935</v>
          </cell>
          <cell r="M58">
            <v>9783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</row>
        <row r="60">
          <cell r="C60">
            <v>19845.126092408922</v>
          </cell>
          <cell r="D60">
            <v>210921.72998</v>
          </cell>
          <cell r="F60">
            <v>19615.462064683976</v>
          </cell>
          <cell r="G60">
            <v>208553.41603215213</v>
          </cell>
          <cell r="I60">
            <v>15966.084722334885</v>
          </cell>
          <cell r="J60">
            <v>169731.00169</v>
          </cell>
          <cell r="L60">
            <v>12578.863840089336</v>
          </cell>
          <cell r="M60">
            <v>133821.05095999999</v>
          </cell>
          <cell r="O60">
            <v>0</v>
          </cell>
          <cell r="P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</row>
      </sheetData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roba"/>
      <sheetName val="Poklady MZ"/>
    </sheetNames>
    <sheetDataSet>
      <sheetData sheetId="0"/>
      <sheetData sheetId="1">
        <row r="1">
          <cell r="C1" t="str">
            <v>Leden</v>
          </cell>
          <cell r="D1"/>
          <cell r="E1" t="str">
            <v>Únor</v>
          </cell>
          <cell r="F1"/>
          <cell r="G1" t="str">
            <v>Březen</v>
          </cell>
          <cell r="H1"/>
          <cell r="I1" t="str">
            <v>Duben</v>
          </cell>
          <cell r="J1"/>
          <cell r="K1" t="str">
            <v>Květen</v>
          </cell>
          <cell r="L1"/>
          <cell r="M1" t="str">
            <v>Červen</v>
          </cell>
          <cell r="N1"/>
          <cell r="O1" t="str">
            <v>Červenec</v>
          </cell>
          <cell r="P1"/>
          <cell r="Q1" t="str">
            <v>Srpen</v>
          </cell>
          <cell r="R1"/>
          <cell r="S1" t="str">
            <v>Září</v>
          </cell>
          <cell r="T1"/>
          <cell r="U1" t="str">
            <v>Říjen</v>
          </cell>
          <cell r="V1"/>
          <cell r="W1" t="str">
            <v>Listopad</v>
          </cell>
          <cell r="X1"/>
          <cell r="Y1" t="str">
            <v>Prosinec</v>
          </cell>
          <cell r="Z1"/>
        </row>
        <row r="9">
          <cell r="C9">
            <v>12135.561</v>
          </cell>
          <cell r="D9">
            <v>132496.32500000001</v>
          </cell>
          <cell r="E9">
            <v>11405.120999999999</v>
          </cell>
          <cell r="F9">
            <v>124449.17199999999</v>
          </cell>
          <cell r="G9">
            <v>12713.398000000001</v>
          </cell>
          <cell r="H9">
            <v>137863.69159489998</v>
          </cell>
          <cell r="I9">
            <v>12362.624</v>
          </cell>
          <cell r="J9">
            <v>134786.83842000001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1230</v>
          </cell>
          <cell r="D10">
            <v>12880</v>
          </cell>
          <cell r="E10">
            <v>1122</v>
          </cell>
          <cell r="F10">
            <v>11753</v>
          </cell>
          <cell r="G10">
            <v>1165</v>
          </cell>
          <cell r="H10">
            <v>12187</v>
          </cell>
          <cell r="I10">
            <v>951</v>
          </cell>
          <cell r="J10">
            <v>9957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7">
          <cell r="C17">
            <v>14180.403000000002</v>
          </cell>
          <cell r="D17">
            <v>154081.55320000002</v>
          </cell>
          <cell r="E17">
            <v>13270.028</v>
          </cell>
          <cell r="F17">
            <v>144126.08200000002</v>
          </cell>
          <cell r="G17">
            <v>14707.849999999999</v>
          </cell>
          <cell r="H17">
            <v>159149.5283949</v>
          </cell>
          <cell r="I17">
            <v>13986.095999999998</v>
          </cell>
          <cell r="J17">
            <v>151932.53561999998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22">
          <cell r="C22">
            <v>814.84200000000237</v>
          </cell>
          <cell r="D22">
            <v>8705.2282000000123</v>
          </cell>
          <cell r="E22">
            <v>742.90700000000106</v>
          </cell>
          <cell r="F22">
            <v>7923.9100000000326</v>
          </cell>
          <cell r="G22">
            <v>829.4519999999975</v>
          </cell>
          <cell r="H22">
            <v>9098.8368000000191</v>
          </cell>
          <cell r="I22">
            <v>672.47199999999793</v>
          </cell>
          <cell r="J22">
            <v>7188.697199999966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DS"/>
      <sheetName val="Z Z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>
            <v>10439.674000000001</v>
          </cell>
          <cell r="D3">
            <v>111325.49800000001</v>
          </cell>
          <cell r="E3">
            <v>121</v>
          </cell>
          <cell r="F3">
            <v>9284.0859999999993</v>
          </cell>
          <cell r="G3">
            <v>98960.056999999986</v>
          </cell>
          <cell r="H3">
            <v>121</v>
          </cell>
          <cell r="I3">
            <v>9266.4679999999989</v>
          </cell>
          <cell r="J3">
            <v>98209.989000000001</v>
          </cell>
          <cell r="K3">
            <v>122</v>
          </cell>
          <cell r="L3">
            <v>7158.5940000000001</v>
          </cell>
          <cell r="M3">
            <v>76102.046000000002</v>
          </cell>
          <cell r="N3">
            <v>122</v>
          </cell>
          <cell r="O3">
            <v>7024.51</v>
          </cell>
          <cell r="P3">
            <v>74679.712</v>
          </cell>
          <cell r="Q3">
            <v>122</v>
          </cell>
          <cell r="R3">
            <v>6190.8090000000002</v>
          </cell>
          <cell r="S3">
            <v>65771.607999999993</v>
          </cell>
          <cell r="T3">
            <v>122</v>
          </cell>
          <cell r="U3">
            <v>6375.4229999999998</v>
          </cell>
          <cell r="V3">
            <v>67671.451000000001</v>
          </cell>
          <cell r="W3">
            <v>122</v>
          </cell>
          <cell r="X3">
            <v>6369.0519999999997</v>
          </cell>
          <cell r="Y3">
            <v>67806.226999999999</v>
          </cell>
          <cell r="Z3">
            <v>123</v>
          </cell>
          <cell r="AA3">
            <v>6668.0150000000003</v>
          </cell>
          <cell r="AB3">
            <v>70981.061000000002</v>
          </cell>
          <cell r="AC3">
            <v>123</v>
          </cell>
          <cell r="AD3">
            <v>9732.237000000001</v>
          </cell>
          <cell r="AE3">
            <v>103260.20699999999</v>
          </cell>
          <cell r="AF3">
            <v>123</v>
          </cell>
          <cell r="AG3">
            <v>9884.5380000000005</v>
          </cell>
          <cell r="AH3">
            <v>104858.174</v>
          </cell>
          <cell r="AI3">
            <v>116</v>
          </cell>
          <cell r="AJ3">
            <v>10217.272000000001</v>
          </cell>
          <cell r="AK3">
            <v>108333.429</v>
          </cell>
          <cell r="AL3">
            <v>121</v>
          </cell>
          <cell r="AM3">
            <v>19723.760000000002</v>
          </cell>
        </row>
        <row r="4">
          <cell r="C4">
            <v>3472.7239999999997</v>
          </cell>
          <cell r="D4">
            <v>37031.575094</v>
          </cell>
          <cell r="E4">
            <v>336</v>
          </cell>
          <cell r="F4">
            <v>2215.7729999999997</v>
          </cell>
          <cell r="G4">
            <v>23616.671279000002</v>
          </cell>
          <cell r="H4">
            <v>336</v>
          </cell>
          <cell r="I4">
            <v>2063.7489999999998</v>
          </cell>
          <cell r="J4">
            <v>21873.356620999999</v>
          </cell>
          <cell r="K4">
            <v>277</v>
          </cell>
          <cell r="L4">
            <v>2081.04</v>
          </cell>
          <cell r="M4">
            <v>22123.452356000002</v>
          </cell>
          <cell r="N4">
            <v>278</v>
          </cell>
          <cell r="O4">
            <v>1223.2349999999999</v>
          </cell>
          <cell r="P4">
            <v>13005.028692</v>
          </cell>
          <cell r="Q4">
            <v>279</v>
          </cell>
          <cell r="R4">
            <v>1203.3310000000001</v>
          </cell>
          <cell r="S4">
            <v>12785.172583</v>
          </cell>
          <cell r="T4">
            <v>279</v>
          </cell>
          <cell r="U4">
            <v>1242.0150000000001</v>
          </cell>
          <cell r="V4">
            <v>13182.550875000001</v>
          </cell>
          <cell r="W4">
            <v>279</v>
          </cell>
          <cell r="X4">
            <v>1158.346</v>
          </cell>
          <cell r="Y4">
            <v>12333.007254</v>
          </cell>
          <cell r="Z4">
            <v>284</v>
          </cell>
          <cell r="AA4">
            <v>1452.471</v>
          </cell>
          <cell r="AB4">
            <v>15462.264979</v>
          </cell>
          <cell r="AC4">
            <v>283</v>
          </cell>
          <cell r="AD4">
            <v>1746.34</v>
          </cell>
          <cell r="AE4">
            <v>18531.014792999998</v>
          </cell>
          <cell r="AF4">
            <v>282</v>
          </cell>
          <cell r="AG4">
            <v>2040.7739999999999</v>
          </cell>
          <cell r="AH4">
            <v>21649.988786999998</v>
          </cell>
          <cell r="AI4">
            <v>308</v>
          </cell>
          <cell r="AJ4">
            <v>2043.124</v>
          </cell>
          <cell r="AK4">
            <v>21664.566984000001</v>
          </cell>
          <cell r="AL4">
            <v>336</v>
          </cell>
          <cell r="AM4">
            <v>5688.4969999999994</v>
          </cell>
        </row>
        <row r="5">
          <cell r="C5">
            <v>6445.99172</v>
          </cell>
          <cell r="D5">
            <v>68739.084772000002</v>
          </cell>
          <cell r="E5">
            <v>8962</v>
          </cell>
          <cell r="F5">
            <v>5751.3848859999998</v>
          </cell>
          <cell r="G5">
            <v>61304.102867999994</v>
          </cell>
          <cell r="H5">
            <v>8962</v>
          </cell>
          <cell r="I5">
            <v>4281.1705500000007</v>
          </cell>
          <cell r="J5">
            <v>45374.674500000001</v>
          </cell>
          <cell r="K5">
            <v>9013</v>
          </cell>
          <cell r="L5">
            <v>2440.8803560000001</v>
          </cell>
          <cell r="M5">
            <v>25948.319274000001</v>
          </cell>
          <cell r="N5">
            <v>9014</v>
          </cell>
          <cell r="O5">
            <v>1805.787544</v>
          </cell>
          <cell r="P5">
            <v>19197.726892000002</v>
          </cell>
          <cell r="Q5">
            <v>9015</v>
          </cell>
          <cell r="R5">
            <v>613.79643199999998</v>
          </cell>
          <cell r="S5">
            <v>6520.7969220000004</v>
          </cell>
          <cell r="T5">
            <v>9045</v>
          </cell>
          <cell r="U5">
            <v>605.15021999999999</v>
          </cell>
          <cell r="V5">
            <v>6426.7878700000001</v>
          </cell>
          <cell r="W5">
            <v>9046</v>
          </cell>
          <cell r="X5">
            <v>772.46683800000005</v>
          </cell>
          <cell r="Y5">
            <v>8224.7327819999991</v>
          </cell>
          <cell r="Z5">
            <v>9048</v>
          </cell>
          <cell r="AA5">
            <v>1341.0945379999998</v>
          </cell>
          <cell r="AB5">
            <v>14276.39057</v>
          </cell>
          <cell r="AC5">
            <v>9049</v>
          </cell>
          <cell r="AD5">
            <v>2495.142632</v>
          </cell>
          <cell r="AE5">
            <v>26478.913592000001</v>
          </cell>
          <cell r="AF5">
            <v>9050</v>
          </cell>
          <cell r="AG5">
            <v>5199.2287619999997</v>
          </cell>
          <cell r="AH5">
            <v>55154.675410999997</v>
          </cell>
          <cell r="AI5">
            <v>7251</v>
          </cell>
          <cell r="AJ5">
            <v>6819.2115839999997</v>
          </cell>
          <cell r="AK5">
            <v>72303.095506000012</v>
          </cell>
          <cell r="AL5">
            <v>8962</v>
          </cell>
          <cell r="AM5">
            <v>12197.376606</v>
          </cell>
        </row>
        <row r="6">
          <cell r="C6">
            <v>13567.66828</v>
          </cell>
          <cell r="D6">
            <v>144682.741228</v>
          </cell>
          <cell r="E6">
            <v>98272</v>
          </cell>
          <cell r="F6">
            <v>12105.878114000001</v>
          </cell>
          <cell r="G6">
            <v>129037.591132</v>
          </cell>
          <cell r="H6">
            <v>98275</v>
          </cell>
          <cell r="I6">
            <v>7957.6024499999994</v>
          </cell>
          <cell r="J6">
            <v>84339.695500000002</v>
          </cell>
          <cell r="K6">
            <v>98278</v>
          </cell>
          <cell r="L6">
            <v>5137.7176440000003</v>
          </cell>
          <cell r="M6">
            <v>54618.297726000004</v>
          </cell>
          <cell r="N6">
            <v>98281</v>
          </cell>
          <cell r="O6">
            <v>3801.164456</v>
          </cell>
          <cell r="P6">
            <v>40410.359107999997</v>
          </cell>
          <cell r="Q6">
            <v>98283</v>
          </cell>
          <cell r="R6">
            <v>1291.8595679999999</v>
          </cell>
          <cell r="S6">
            <v>13725.204078000001</v>
          </cell>
          <cell r="T6">
            <v>97918</v>
          </cell>
          <cell r="U6">
            <v>1273.85978</v>
          </cell>
          <cell r="V6">
            <v>13528.047130000001</v>
          </cell>
          <cell r="W6">
            <v>97923</v>
          </cell>
          <cell r="X6">
            <v>1626.012162</v>
          </cell>
          <cell r="Y6">
            <v>17312.598217999999</v>
          </cell>
          <cell r="Z6">
            <v>97929</v>
          </cell>
          <cell r="AA6">
            <v>2823.1344620000004</v>
          </cell>
          <cell r="AB6">
            <v>30052.794429999998</v>
          </cell>
          <cell r="AC6">
            <v>97931</v>
          </cell>
          <cell r="AD6">
            <v>5251.9133679999995</v>
          </cell>
          <cell r="AE6">
            <v>55734.322408</v>
          </cell>
          <cell r="AF6">
            <v>97934</v>
          </cell>
          <cell r="AG6">
            <v>9293.1892380000008</v>
          </cell>
          <cell r="AH6">
            <v>98584.353589000006</v>
          </cell>
          <cell r="AI6">
            <v>99695</v>
          </cell>
          <cell r="AJ6">
            <v>14353.860416</v>
          </cell>
          <cell r="AK6">
            <v>152192.27749400001</v>
          </cell>
          <cell r="AL6">
            <v>98272</v>
          </cell>
          <cell r="AM6">
            <v>25673.546394000001</v>
          </cell>
        </row>
        <row r="9">
          <cell r="C9">
            <v>53934.5</v>
          </cell>
          <cell r="D9">
            <v>574827.87328400032</v>
          </cell>
          <cell r="E9">
            <v>198</v>
          </cell>
          <cell r="F9">
            <v>44557</v>
          </cell>
          <cell r="G9">
            <v>474023.31414900022</v>
          </cell>
          <cell r="H9">
            <v>198</v>
          </cell>
          <cell r="I9">
            <v>37650.800000000003</v>
          </cell>
          <cell r="J9">
            <v>400045.75643700018</v>
          </cell>
          <cell r="K9">
            <v>197</v>
          </cell>
          <cell r="L9">
            <v>28137</v>
          </cell>
          <cell r="M9">
            <v>299246.879074</v>
          </cell>
          <cell r="N9">
            <v>197</v>
          </cell>
          <cell r="O9">
            <v>22916.400000000001</v>
          </cell>
          <cell r="P9">
            <v>243883.88533300013</v>
          </cell>
          <cell r="Q9">
            <v>192</v>
          </cell>
          <cell r="R9">
            <v>17881.900000000001</v>
          </cell>
          <cell r="S9">
            <v>190408.27622699999</v>
          </cell>
          <cell r="T9">
            <v>193</v>
          </cell>
          <cell r="U9">
            <v>17446.900000000001</v>
          </cell>
          <cell r="V9">
            <v>184907.35268300006</v>
          </cell>
          <cell r="W9">
            <v>193</v>
          </cell>
          <cell r="X9">
            <v>17353.400000000001</v>
          </cell>
          <cell r="Y9">
            <v>185189.39936400004</v>
          </cell>
          <cell r="Z9">
            <v>194</v>
          </cell>
          <cell r="AA9">
            <v>21857.7</v>
          </cell>
          <cell r="AB9">
            <v>232837.49847799994</v>
          </cell>
          <cell r="AC9">
            <v>194</v>
          </cell>
          <cell r="AD9">
            <v>33721.199999999997</v>
          </cell>
          <cell r="AE9">
            <v>358381.67765700014</v>
          </cell>
          <cell r="AF9">
            <v>195</v>
          </cell>
          <cell r="AG9">
            <v>42691</v>
          </cell>
          <cell r="AH9">
            <v>453602.47078799998</v>
          </cell>
          <cell r="AI9">
            <v>195</v>
          </cell>
          <cell r="AJ9">
            <v>49160.800000000003</v>
          </cell>
          <cell r="AK9">
            <v>521976.88657799998</v>
          </cell>
          <cell r="AL9">
            <v>198</v>
          </cell>
          <cell r="AM9">
            <v>98491.5</v>
          </cell>
        </row>
        <row r="10">
          <cell r="C10">
            <v>16425.5</v>
          </cell>
          <cell r="D10">
            <v>175061.09279999987</v>
          </cell>
          <cell r="E10">
            <v>944</v>
          </cell>
          <cell r="F10">
            <v>13283.7</v>
          </cell>
          <cell r="G10">
            <v>141320.23673399998</v>
          </cell>
          <cell r="H10">
            <v>925</v>
          </cell>
          <cell r="I10">
            <v>9968.5</v>
          </cell>
          <cell r="J10">
            <v>105917.20819399988</v>
          </cell>
          <cell r="K10">
            <v>926</v>
          </cell>
          <cell r="L10">
            <v>7079.6</v>
          </cell>
          <cell r="M10">
            <v>75293.68190099996</v>
          </cell>
          <cell r="N10">
            <v>928</v>
          </cell>
          <cell r="O10">
            <v>5482.6</v>
          </cell>
          <cell r="P10">
            <v>58348.193579000006</v>
          </cell>
          <cell r="Q10">
            <v>932</v>
          </cell>
          <cell r="R10">
            <v>3757.3</v>
          </cell>
          <cell r="S10">
            <v>40007.593535999986</v>
          </cell>
          <cell r="T10">
            <v>935</v>
          </cell>
          <cell r="U10">
            <v>3774</v>
          </cell>
          <cell r="V10">
            <v>39997.690750999987</v>
          </cell>
          <cell r="W10">
            <v>935</v>
          </cell>
          <cell r="X10">
            <v>3965.3</v>
          </cell>
          <cell r="Y10">
            <v>42315.71640100002</v>
          </cell>
          <cell r="Z10">
            <v>934</v>
          </cell>
          <cell r="AA10">
            <v>4877.3999999999996</v>
          </cell>
          <cell r="AB10">
            <v>51955.952217999969</v>
          </cell>
          <cell r="AC10">
            <v>937</v>
          </cell>
          <cell r="AD10">
            <v>10790.3</v>
          </cell>
          <cell r="AE10">
            <v>114677.51999900004</v>
          </cell>
          <cell r="AF10">
            <v>941</v>
          </cell>
          <cell r="AG10">
            <v>13437.2</v>
          </cell>
          <cell r="AH10">
            <v>142773.88903199992</v>
          </cell>
          <cell r="AI10">
            <v>946</v>
          </cell>
          <cell r="AJ10">
            <v>15098.2</v>
          </cell>
          <cell r="AK10">
            <v>160308.32402700005</v>
          </cell>
          <cell r="AL10">
            <v>944</v>
          </cell>
          <cell r="AM10">
            <v>29709.200000000001</v>
          </cell>
        </row>
        <row r="11">
          <cell r="C11">
            <v>23493.599999999999</v>
          </cell>
          <cell r="D11">
            <v>250391.6</v>
          </cell>
          <cell r="E11">
            <v>23853</v>
          </cell>
          <cell r="F11">
            <v>19192.8</v>
          </cell>
          <cell r="G11">
            <v>204184.3</v>
          </cell>
          <cell r="H11">
            <v>23836</v>
          </cell>
          <cell r="I11">
            <v>14138.8</v>
          </cell>
          <cell r="J11">
            <v>150227.20000000001</v>
          </cell>
          <cell r="K11">
            <v>23801</v>
          </cell>
          <cell r="L11">
            <v>8016.5</v>
          </cell>
          <cell r="M11">
            <v>85257.9</v>
          </cell>
          <cell r="N11">
            <v>23779</v>
          </cell>
          <cell r="O11">
            <v>5361.3</v>
          </cell>
          <cell r="P11">
            <v>57056.800000000003</v>
          </cell>
          <cell r="Q11">
            <v>23756</v>
          </cell>
          <cell r="R11">
            <v>2165.5</v>
          </cell>
          <cell r="S11">
            <v>23058.2</v>
          </cell>
          <cell r="T11">
            <v>23736</v>
          </cell>
          <cell r="U11">
            <v>1827.6</v>
          </cell>
          <cell r="V11">
            <v>19369.900000000001</v>
          </cell>
          <cell r="W11">
            <v>23710</v>
          </cell>
          <cell r="X11">
            <v>2316.3000000000002</v>
          </cell>
          <cell r="Y11">
            <v>24718.9</v>
          </cell>
          <cell r="Z11">
            <v>23741</v>
          </cell>
          <cell r="AA11">
            <v>3246.1</v>
          </cell>
          <cell r="AB11">
            <v>34579.1</v>
          </cell>
          <cell r="AC11">
            <v>23771</v>
          </cell>
          <cell r="AD11">
            <v>8558.6</v>
          </cell>
          <cell r="AE11">
            <v>90959.1</v>
          </cell>
          <cell r="AF11">
            <v>23772</v>
          </cell>
          <cell r="AG11">
            <v>14456.4</v>
          </cell>
          <cell r="AH11">
            <v>153602.79999999999</v>
          </cell>
          <cell r="AI11">
            <v>23866</v>
          </cell>
          <cell r="AJ11">
            <v>21292.799999999999</v>
          </cell>
          <cell r="AK11">
            <v>226081</v>
          </cell>
          <cell r="AL11">
            <v>23853</v>
          </cell>
          <cell r="AM11">
            <v>42686.399999999994</v>
          </cell>
        </row>
        <row r="12">
          <cell r="C12">
            <v>63289.5</v>
          </cell>
          <cell r="D12">
            <v>674532.5</v>
          </cell>
          <cell r="E12">
            <v>362981</v>
          </cell>
          <cell r="F12">
            <v>51703.7</v>
          </cell>
          <cell r="G12">
            <v>550054.19999999995</v>
          </cell>
          <cell r="H12">
            <v>362759</v>
          </cell>
          <cell r="I12">
            <v>38088.699999999997</v>
          </cell>
          <cell r="J12">
            <v>404698.6</v>
          </cell>
          <cell r="K12">
            <v>362595</v>
          </cell>
          <cell r="L12">
            <v>21595.599999999999</v>
          </cell>
          <cell r="M12">
            <v>229677.2</v>
          </cell>
          <cell r="N12">
            <v>362354</v>
          </cell>
          <cell r="O12">
            <v>14442.9</v>
          </cell>
          <cell r="P12">
            <v>153706</v>
          </cell>
          <cell r="Q12">
            <v>362178</v>
          </cell>
          <cell r="R12">
            <v>5833.6</v>
          </cell>
          <cell r="S12">
            <v>62116.7</v>
          </cell>
          <cell r="T12">
            <v>361926</v>
          </cell>
          <cell r="U12">
            <v>4923.5</v>
          </cell>
          <cell r="V12">
            <v>52180.9</v>
          </cell>
          <cell r="W12">
            <v>361796</v>
          </cell>
          <cell r="X12">
            <v>6239.9</v>
          </cell>
          <cell r="Y12">
            <v>66590.399999999994</v>
          </cell>
          <cell r="Z12">
            <v>361858</v>
          </cell>
          <cell r="AA12">
            <v>8744.7999999999993</v>
          </cell>
          <cell r="AB12">
            <v>93153.1</v>
          </cell>
          <cell r="AC12">
            <v>361997</v>
          </cell>
          <cell r="AD12">
            <v>23056.1</v>
          </cell>
          <cell r="AE12">
            <v>245035.6</v>
          </cell>
          <cell r="AF12">
            <v>361996</v>
          </cell>
          <cell r="AG12">
            <v>38944.300000000003</v>
          </cell>
          <cell r="AH12">
            <v>413792.2</v>
          </cell>
          <cell r="AI12">
            <v>362408</v>
          </cell>
          <cell r="AJ12">
            <v>57360.800000000003</v>
          </cell>
          <cell r="AK12">
            <v>609042</v>
          </cell>
          <cell r="AL12">
            <v>362981</v>
          </cell>
          <cell r="AM12">
            <v>114993.2</v>
          </cell>
        </row>
        <row r="15">
          <cell r="C15">
            <v>11164.6</v>
          </cell>
          <cell r="D15">
            <v>118990.62408300002</v>
          </cell>
          <cell r="E15">
            <v>53</v>
          </cell>
          <cell r="F15">
            <v>9573.6</v>
          </cell>
          <cell r="G15">
            <v>101849.84279499996</v>
          </cell>
          <cell r="H15">
            <v>53</v>
          </cell>
          <cell r="I15">
            <v>9229.2999999999993</v>
          </cell>
          <cell r="J15">
            <v>98062.860492999986</v>
          </cell>
          <cell r="K15">
            <v>53</v>
          </cell>
          <cell r="L15">
            <v>7854.4</v>
          </cell>
          <cell r="M15">
            <v>83534.471691000013</v>
          </cell>
          <cell r="N15">
            <v>53</v>
          </cell>
          <cell r="O15">
            <v>7765.5</v>
          </cell>
          <cell r="P15">
            <v>82643.575788999995</v>
          </cell>
          <cell r="Q15">
            <v>53</v>
          </cell>
          <cell r="R15">
            <v>8326.7000000000007</v>
          </cell>
          <cell r="S15">
            <v>88663.202013999995</v>
          </cell>
          <cell r="T15">
            <v>53</v>
          </cell>
          <cell r="U15">
            <v>6915.6</v>
          </cell>
          <cell r="V15">
            <v>73293.670547999995</v>
          </cell>
          <cell r="W15">
            <v>53</v>
          </cell>
          <cell r="X15">
            <v>6844.1</v>
          </cell>
          <cell r="Y15">
            <v>73037.987114000003</v>
          </cell>
          <cell r="Z15">
            <v>53</v>
          </cell>
          <cell r="AA15">
            <v>7517.1</v>
          </cell>
          <cell r="AB15">
            <v>80075.514179999998</v>
          </cell>
          <cell r="AC15">
            <v>53</v>
          </cell>
          <cell r="AD15">
            <v>8369.7999999999993</v>
          </cell>
          <cell r="AE15">
            <v>88952.201280999972</v>
          </cell>
          <cell r="AF15">
            <v>53</v>
          </cell>
          <cell r="AG15">
            <v>9543.7000000000007</v>
          </cell>
          <cell r="AH15">
            <v>101403.63140899998</v>
          </cell>
          <cell r="AI15">
            <v>53</v>
          </cell>
          <cell r="AJ15">
            <v>10467.799999999999</v>
          </cell>
          <cell r="AK15">
            <v>111144.32014399998</v>
          </cell>
          <cell r="AL15">
            <v>53</v>
          </cell>
          <cell r="AM15">
            <v>20738.2</v>
          </cell>
        </row>
        <row r="16">
          <cell r="C16">
            <v>3030</v>
          </cell>
          <cell r="D16">
            <v>32293.461126000002</v>
          </cell>
          <cell r="E16">
            <v>193</v>
          </cell>
          <cell r="F16">
            <v>2611.6999999999998</v>
          </cell>
          <cell r="G16">
            <v>27784.821741000003</v>
          </cell>
          <cell r="H16">
            <v>191</v>
          </cell>
          <cell r="I16">
            <v>2247.6</v>
          </cell>
          <cell r="J16">
            <v>23881.596954999994</v>
          </cell>
          <cell r="K16">
            <v>191</v>
          </cell>
          <cell r="L16">
            <v>1547.5</v>
          </cell>
          <cell r="M16">
            <v>16458.733247999997</v>
          </cell>
          <cell r="N16">
            <v>192</v>
          </cell>
          <cell r="O16">
            <v>1255.5999999999999</v>
          </cell>
          <cell r="P16">
            <v>13362.762842999995</v>
          </cell>
          <cell r="Q16">
            <v>192</v>
          </cell>
          <cell r="R16">
            <v>730.6</v>
          </cell>
          <cell r="S16">
            <v>7780.0178989999995</v>
          </cell>
          <cell r="T16">
            <v>193</v>
          </cell>
          <cell r="U16">
            <v>665</v>
          </cell>
          <cell r="V16">
            <v>7048.3472959999963</v>
          </cell>
          <cell r="W16">
            <v>193</v>
          </cell>
          <cell r="X16">
            <v>818.6</v>
          </cell>
          <cell r="Y16">
            <v>8735.8977550000018</v>
          </cell>
          <cell r="Z16">
            <v>193</v>
          </cell>
          <cell r="AA16">
            <v>1025.7</v>
          </cell>
          <cell r="AB16">
            <v>10926.613411999993</v>
          </cell>
          <cell r="AC16">
            <v>193</v>
          </cell>
          <cell r="AD16">
            <v>1545.3</v>
          </cell>
          <cell r="AE16">
            <v>16422.754925000001</v>
          </cell>
          <cell r="AF16">
            <v>192</v>
          </cell>
          <cell r="AG16">
            <v>2236.1999999999998</v>
          </cell>
          <cell r="AH16">
            <v>23759.911315999987</v>
          </cell>
          <cell r="AI16">
            <v>192</v>
          </cell>
          <cell r="AJ16">
            <v>2751.1</v>
          </cell>
          <cell r="AK16">
            <v>29210.789270000005</v>
          </cell>
          <cell r="AL16">
            <v>193</v>
          </cell>
          <cell r="AM16">
            <v>5641.7</v>
          </cell>
        </row>
        <row r="17">
          <cell r="C17">
            <v>5727.9</v>
          </cell>
          <cell r="D17">
            <v>61046.8</v>
          </cell>
          <cell r="E17">
            <v>6003</v>
          </cell>
          <cell r="F17">
            <v>4679.3</v>
          </cell>
          <cell r="G17">
            <v>49781.2</v>
          </cell>
          <cell r="H17">
            <v>5998</v>
          </cell>
          <cell r="I17">
            <v>3447.1</v>
          </cell>
          <cell r="J17">
            <v>36626.199999999997</v>
          </cell>
          <cell r="K17">
            <v>5989</v>
          </cell>
          <cell r="L17">
            <v>1954.5</v>
          </cell>
          <cell r="M17">
            <v>20786.3</v>
          </cell>
          <cell r="N17">
            <v>5984</v>
          </cell>
          <cell r="O17">
            <v>1307.0999999999999</v>
          </cell>
          <cell r="P17">
            <v>13910.8</v>
          </cell>
          <cell r="Q17">
            <v>5978</v>
          </cell>
          <cell r="R17">
            <v>528</v>
          </cell>
          <cell r="S17">
            <v>5621.7</v>
          </cell>
          <cell r="T17">
            <v>5973</v>
          </cell>
          <cell r="U17">
            <v>445.6</v>
          </cell>
          <cell r="V17">
            <v>4722.5</v>
          </cell>
          <cell r="W17">
            <v>5967</v>
          </cell>
          <cell r="X17">
            <v>564.70000000000005</v>
          </cell>
          <cell r="Y17">
            <v>6026.6</v>
          </cell>
          <cell r="Z17">
            <v>5974</v>
          </cell>
          <cell r="AA17">
            <v>791.4</v>
          </cell>
          <cell r="AB17">
            <v>8430.6</v>
          </cell>
          <cell r="AC17">
            <v>5982</v>
          </cell>
          <cell r="AD17">
            <v>2086.6</v>
          </cell>
          <cell r="AE17">
            <v>22176.3</v>
          </cell>
          <cell r="AF17">
            <v>5982</v>
          </cell>
          <cell r="AG17">
            <v>3524.6</v>
          </cell>
          <cell r="AH17">
            <v>37449.199999999997</v>
          </cell>
          <cell r="AI17">
            <v>6006</v>
          </cell>
          <cell r="AJ17">
            <v>5191.3</v>
          </cell>
          <cell r="AK17">
            <v>55119.8</v>
          </cell>
          <cell r="AL17">
            <v>6003</v>
          </cell>
          <cell r="AM17">
            <v>10407.200000000001</v>
          </cell>
        </row>
        <row r="18">
          <cell r="C18">
            <v>7863.9</v>
          </cell>
          <cell r="D18">
            <v>83812.399999999994</v>
          </cell>
          <cell r="E18">
            <v>80396</v>
          </cell>
          <cell r="F18">
            <v>6424.3</v>
          </cell>
          <cell r="G18">
            <v>68345.7</v>
          </cell>
          <cell r="H18">
            <v>80347</v>
          </cell>
          <cell r="I18">
            <v>4732.6000000000004</v>
          </cell>
          <cell r="J18">
            <v>50284.800000000003</v>
          </cell>
          <cell r="K18">
            <v>80311</v>
          </cell>
          <cell r="L18">
            <v>2683.3</v>
          </cell>
          <cell r="M18">
            <v>28538</v>
          </cell>
          <cell r="N18">
            <v>80257</v>
          </cell>
          <cell r="O18">
            <v>1794.6</v>
          </cell>
          <cell r="P18">
            <v>19098.400000000001</v>
          </cell>
          <cell r="Q18">
            <v>80218</v>
          </cell>
          <cell r="R18">
            <v>724.8</v>
          </cell>
          <cell r="S18">
            <v>7718.2</v>
          </cell>
          <cell r="T18">
            <v>80162</v>
          </cell>
          <cell r="U18">
            <v>611.79999999999995</v>
          </cell>
          <cell r="V18">
            <v>6483.6</v>
          </cell>
          <cell r="W18">
            <v>80134</v>
          </cell>
          <cell r="X18">
            <v>775.3</v>
          </cell>
          <cell r="Y18">
            <v>8274</v>
          </cell>
          <cell r="Z18">
            <v>80147</v>
          </cell>
          <cell r="AA18">
            <v>1086.5999999999999</v>
          </cell>
          <cell r="AB18">
            <v>11574.5</v>
          </cell>
          <cell r="AC18">
            <v>80178</v>
          </cell>
          <cell r="AD18">
            <v>2864.8</v>
          </cell>
          <cell r="AE18">
            <v>30446.3</v>
          </cell>
          <cell r="AF18">
            <v>80178</v>
          </cell>
          <cell r="AG18">
            <v>4838.8999999999996</v>
          </cell>
          <cell r="AH18">
            <v>51414.7</v>
          </cell>
          <cell r="AI18">
            <v>80269</v>
          </cell>
          <cell r="AJ18">
            <v>7127.2</v>
          </cell>
          <cell r="AK18">
            <v>75675</v>
          </cell>
          <cell r="AL18">
            <v>80396</v>
          </cell>
          <cell r="AM18">
            <v>14288.2</v>
          </cell>
        </row>
        <row r="21">
          <cell r="C21">
            <v>13650.3</v>
          </cell>
          <cell r="D21">
            <v>145483.76598399994</v>
          </cell>
          <cell r="E21">
            <v>82</v>
          </cell>
          <cell r="F21">
            <v>11746.3</v>
          </cell>
          <cell r="G21">
            <v>124963.79801200001</v>
          </cell>
          <cell r="H21">
            <v>82</v>
          </cell>
          <cell r="I21">
            <v>11355.4</v>
          </cell>
          <cell r="J21">
            <v>120652.66165500005</v>
          </cell>
          <cell r="K21">
            <v>82</v>
          </cell>
          <cell r="L21">
            <v>9935.2000000000007</v>
          </cell>
          <cell r="M21">
            <v>105664.35864199998</v>
          </cell>
          <cell r="N21">
            <v>82</v>
          </cell>
          <cell r="O21">
            <v>8982.1</v>
          </cell>
          <cell r="P21">
            <v>95590.106225000025</v>
          </cell>
          <cell r="Q21">
            <v>82</v>
          </cell>
          <cell r="R21">
            <v>8646.9</v>
          </cell>
          <cell r="S21">
            <v>92072.988341000004</v>
          </cell>
          <cell r="T21">
            <v>82</v>
          </cell>
          <cell r="U21">
            <v>8140.4</v>
          </cell>
          <cell r="V21">
            <v>86274.784625000015</v>
          </cell>
          <cell r="W21">
            <v>82</v>
          </cell>
          <cell r="X21">
            <v>7506.7</v>
          </cell>
          <cell r="Y21">
            <v>80108.702390999999</v>
          </cell>
          <cell r="Z21">
            <v>82</v>
          </cell>
          <cell r="AA21">
            <v>8832.4</v>
          </cell>
          <cell r="AB21">
            <v>94086.045363999991</v>
          </cell>
          <cell r="AC21">
            <v>82</v>
          </cell>
          <cell r="AD21">
            <v>11088.9</v>
          </cell>
          <cell r="AE21">
            <v>117850.69141900001</v>
          </cell>
          <cell r="AF21">
            <v>82</v>
          </cell>
          <cell r="AG21">
            <v>12211.4</v>
          </cell>
          <cell r="AH21">
            <v>129748.91689199998</v>
          </cell>
          <cell r="AI21">
            <v>82</v>
          </cell>
          <cell r="AJ21">
            <v>12645.6</v>
          </cell>
          <cell r="AK21">
            <v>134267.79843299996</v>
          </cell>
          <cell r="AL21">
            <v>82</v>
          </cell>
          <cell r="AM21">
            <v>25396.6</v>
          </cell>
        </row>
        <row r="22">
          <cell r="C22">
            <v>4163.3999999999996</v>
          </cell>
          <cell r="D22">
            <v>44373.440541999989</v>
          </cell>
          <cell r="E22">
            <v>263</v>
          </cell>
          <cell r="F22">
            <v>3418</v>
          </cell>
          <cell r="G22">
            <v>36362.661292999997</v>
          </cell>
          <cell r="H22">
            <v>259</v>
          </cell>
          <cell r="I22">
            <v>2709.3</v>
          </cell>
          <cell r="J22">
            <v>28787.097406999987</v>
          </cell>
          <cell r="K22">
            <v>259</v>
          </cell>
          <cell r="L22">
            <v>1860.2</v>
          </cell>
          <cell r="M22">
            <v>19784.243839999988</v>
          </cell>
          <cell r="N22">
            <v>259</v>
          </cell>
          <cell r="O22">
            <v>1482.2</v>
          </cell>
          <cell r="P22">
            <v>15773.894021000004</v>
          </cell>
          <cell r="Q22">
            <v>259</v>
          </cell>
          <cell r="R22">
            <v>1121.9000000000001</v>
          </cell>
          <cell r="S22">
            <v>11945.664476000004</v>
          </cell>
          <cell r="T22">
            <v>258</v>
          </cell>
          <cell r="U22">
            <v>1088.9000000000001</v>
          </cell>
          <cell r="V22">
            <v>11540.260243000008</v>
          </cell>
          <cell r="W22">
            <v>258</v>
          </cell>
          <cell r="X22">
            <v>1177.5</v>
          </cell>
          <cell r="Y22">
            <v>12566.053704</v>
          </cell>
          <cell r="Z22">
            <v>261</v>
          </cell>
          <cell r="AA22">
            <v>1243</v>
          </cell>
          <cell r="AB22">
            <v>13241.107863000007</v>
          </cell>
          <cell r="AC22">
            <v>262</v>
          </cell>
          <cell r="AD22">
            <v>2437.8000000000002</v>
          </cell>
          <cell r="AE22">
            <v>25908.307734999995</v>
          </cell>
          <cell r="AF22">
            <v>262</v>
          </cell>
          <cell r="AG22">
            <v>2975.1</v>
          </cell>
          <cell r="AH22">
            <v>31611.564023000003</v>
          </cell>
          <cell r="AI22">
            <v>263</v>
          </cell>
          <cell r="AJ22">
            <v>3573.2</v>
          </cell>
          <cell r="AK22">
            <v>37939.37136099999</v>
          </cell>
          <cell r="AL22">
            <v>263</v>
          </cell>
          <cell r="AM22">
            <v>7581.4</v>
          </cell>
        </row>
        <row r="23">
          <cell r="C23">
            <v>9440.7000000000007</v>
          </cell>
          <cell r="D23">
            <v>100618.2</v>
          </cell>
          <cell r="E23">
            <v>9474</v>
          </cell>
          <cell r="F23">
            <v>7712.5</v>
          </cell>
          <cell r="G23">
            <v>82050.100000000006</v>
          </cell>
          <cell r="H23">
            <v>9467</v>
          </cell>
          <cell r="I23">
            <v>5681.6</v>
          </cell>
          <cell r="J23">
            <v>60367.8</v>
          </cell>
          <cell r="K23">
            <v>9453</v>
          </cell>
          <cell r="L23">
            <v>3221.4</v>
          </cell>
          <cell r="M23">
            <v>34260.300000000003</v>
          </cell>
          <cell r="N23">
            <v>9445</v>
          </cell>
          <cell r="O23">
            <v>2154.4</v>
          </cell>
          <cell r="P23">
            <v>22927.9</v>
          </cell>
          <cell r="Q23">
            <v>9435</v>
          </cell>
          <cell r="R23">
            <v>870.2</v>
          </cell>
          <cell r="S23">
            <v>9265.7999999999993</v>
          </cell>
          <cell r="T23">
            <v>9428</v>
          </cell>
          <cell r="U23">
            <v>734.4</v>
          </cell>
          <cell r="V23">
            <v>7783.7</v>
          </cell>
          <cell r="W23">
            <v>9417</v>
          </cell>
          <cell r="X23">
            <v>930.8</v>
          </cell>
          <cell r="Y23">
            <v>9933.1</v>
          </cell>
          <cell r="Z23">
            <v>9429</v>
          </cell>
          <cell r="AA23">
            <v>1304.4000000000001</v>
          </cell>
          <cell r="AB23">
            <v>13895.4</v>
          </cell>
          <cell r="AC23">
            <v>9441</v>
          </cell>
          <cell r="AD23">
            <v>3439.2</v>
          </cell>
          <cell r="AE23">
            <v>36551.300000000003</v>
          </cell>
          <cell r="AF23">
            <v>9442</v>
          </cell>
          <cell r="AG23">
            <v>5809.2</v>
          </cell>
          <cell r="AH23">
            <v>61724.2</v>
          </cell>
          <cell r="AI23">
            <v>9479</v>
          </cell>
          <cell r="AJ23">
            <v>8556.2999999999993</v>
          </cell>
          <cell r="AK23">
            <v>90849.1</v>
          </cell>
          <cell r="AL23">
            <v>9474</v>
          </cell>
          <cell r="AM23">
            <v>17153.2</v>
          </cell>
        </row>
        <row r="24">
          <cell r="C24">
            <v>17698.099999999999</v>
          </cell>
          <cell r="D24">
            <v>188624.6</v>
          </cell>
          <cell r="E24">
            <v>109075</v>
          </cell>
          <cell r="F24">
            <v>14458.3</v>
          </cell>
          <cell r="G24">
            <v>153815.79999999999</v>
          </cell>
          <cell r="H24">
            <v>109008</v>
          </cell>
          <cell r="I24">
            <v>10651</v>
          </cell>
          <cell r="J24">
            <v>113168.9</v>
          </cell>
          <cell r="K24">
            <v>108959</v>
          </cell>
          <cell r="L24">
            <v>6039</v>
          </cell>
          <cell r="M24">
            <v>64226.400000000001</v>
          </cell>
          <cell r="N24">
            <v>108886</v>
          </cell>
          <cell r="O24">
            <v>4038.8</v>
          </cell>
          <cell r="P24">
            <v>42982</v>
          </cell>
          <cell r="Q24">
            <v>108833</v>
          </cell>
          <cell r="R24">
            <v>1631.3</v>
          </cell>
          <cell r="S24">
            <v>17370.2</v>
          </cell>
          <cell r="T24">
            <v>108758</v>
          </cell>
          <cell r="U24">
            <v>1376.8</v>
          </cell>
          <cell r="V24">
            <v>14591.7</v>
          </cell>
          <cell r="W24">
            <v>108719</v>
          </cell>
          <cell r="X24">
            <v>1744.9</v>
          </cell>
          <cell r="Y24">
            <v>18621.2</v>
          </cell>
          <cell r="Z24">
            <v>108737</v>
          </cell>
          <cell r="AA24">
            <v>2445.4</v>
          </cell>
          <cell r="AB24">
            <v>26049.1</v>
          </cell>
          <cell r="AC24">
            <v>108779</v>
          </cell>
          <cell r="AD24">
            <v>6447.4</v>
          </cell>
          <cell r="AE24">
            <v>68521.2</v>
          </cell>
          <cell r="AF24">
            <v>108779</v>
          </cell>
          <cell r="AG24">
            <v>10890.3</v>
          </cell>
          <cell r="AH24">
            <v>115711.8</v>
          </cell>
          <cell r="AI24">
            <v>108902</v>
          </cell>
          <cell r="AJ24">
            <v>16040.2</v>
          </cell>
          <cell r="AK24">
            <v>170311</v>
          </cell>
          <cell r="AL24">
            <v>109075</v>
          </cell>
          <cell r="AM24">
            <v>32156.399999999998</v>
          </cell>
        </row>
        <row r="27">
          <cell r="C27">
            <v>20695.900000000001</v>
          </cell>
          <cell r="D27">
            <v>220574.94593699995</v>
          </cell>
          <cell r="E27">
            <v>93</v>
          </cell>
          <cell r="F27">
            <v>17499.3</v>
          </cell>
          <cell r="G27">
            <v>186168.0403109999</v>
          </cell>
          <cell r="H27">
            <v>94</v>
          </cell>
          <cell r="I27">
            <v>15139.3</v>
          </cell>
          <cell r="J27">
            <v>160858.04274400003</v>
          </cell>
          <cell r="K27">
            <v>94</v>
          </cell>
          <cell r="L27">
            <v>11584.4</v>
          </cell>
          <cell r="M27">
            <v>123204.43478900005</v>
          </cell>
          <cell r="N27">
            <v>94</v>
          </cell>
          <cell r="O27">
            <v>10377.700000000001</v>
          </cell>
          <cell r="P27">
            <v>110443.34350899998</v>
          </cell>
          <cell r="Q27">
            <v>95</v>
          </cell>
          <cell r="R27">
            <v>8278.2000000000007</v>
          </cell>
          <cell r="S27">
            <v>88146.727846999987</v>
          </cell>
          <cell r="T27">
            <v>95</v>
          </cell>
          <cell r="U27">
            <v>7968.6</v>
          </cell>
          <cell r="V27">
            <v>84453.984552000009</v>
          </cell>
          <cell r="W27">
            <v>95</v>
          </cell>
          <cell r="X27">
            <v>7858.1</v>
          </cell>
          <cell r="Y27">
            <v>83858.744127999991</v>
          </cell>
          <cell r="Z27">
            <v>95</v>
          </cell>
          <cell r="AA27">
            <v>9293.1</v>
          </cell>
          <cell r="AB27">
            <v>98993.797174999971</v>
          </cell>
          <cell r="AC27">
            <v>95</v>
          </cell>
          <cell r="AD27">
            <v>11961</v>
          </cell>
          <cell r="AE27">
            <v>127119.17926199996</v>
          </cell>
          <cell r="AF27">
            <v>95</v>
          </cell>
          <cell r="AG27">
            <v>15505.5</v>
          </cell>
          <cell r="AH27">
            <v>164749.82800100005</v>
          </cell>
          <cell r="AI27">
            <v>95</v>
          </cell>
          <cell r="AJ27">
            <v>17719.8</v>
          </cell>
          <cell r="AK27">
            <v>188144.523495</v>
          </cell>
          <cell r="AL27">
            <v>93</v>
          </cell>
          <cell r="AM27">
            <v>38195.199999999997</v>
          </cell>
        </row>
        <row r="28">
          <cell r="C28">
            <v>5268</v>
          </cell>
          <cell r="D28">
            <v>56145.330674000012</v>
          </cell>
          <cell r="E28">
            <v>321</v>
          </cell>
          <cell r="F28">
            <v>4432.7</v>
          </cell>
          <cell r="G28">
            <v>47157.174960999982</v>
          </cell>
          <cell r="H28">
            <v>305</v>
          </cell>
          <cell r="I28">
            <v>3503.4</v>
          </cell>
          <cell r="J28">
            <v>37223.834589999999</v>
          </cell>
          <cell r="K28">
            <v>306</v>
          </cell>
          <cell r="L28">
            <v>2469.8000000000002</v>
          </cell>
          <cell r="M28">
            <v>26266.729857000028</v>
          </cell>
          <cell r="N28">
            <v>304</v>
          </cell>
          <cell r="O28">
            <v>2203.6999999999998</v>
          </cell>
          <cell r="P28">
            <v>23452.177310000028</v>
          </cell>
          <cell r="Q28">
            <v>303</v>
          </cell>
          <cell r="R28">
            <v>1300.4000000000001</v>
          </cell>
          <cell r="S28">
            <v>13846.477171</v>
          </cell>
          <cell r="T28">
            <v>304</v>
          </cell>
          <cell r="U28">
            <v>1146.4000000000001</v>
          </cell>
          <cell r="V28">
            <v>12149.621253000003</v>
          </cell>
          <cell r="W28">
            <v>303</v>
          </cell>
          <cell r="X28">
            <v>1189.4000000000001</v>
          </cell>
          <cell r="Y28">
            <v>12692.893851999997</v>
          </cell>
          <cell r="Z28">
            <v>303</v>
          </cell>
          <cell r="AA28">
            <v>1604.9</v>
          </cell>
          <cell r="AB28">
            <v>17096.367576000001</v>
          </cell>
          <cell r="AC28">
            <v>307</v>
          </cell>
          <cell r="AD28">
            <v>2660.4</v>
          </cell>
          <cell r="AE28">
            <v>28274.549876000019</v>
          </cell>
          <cell r="AF28">
            <v>308</v>
          </cell>
          <cell r="AG28">
            <v>3619.7</v>
          </cell>
          <cell r="AH28">
            <v>38460.206675999987</v>
          </cell>
          <cell r="AI28">
            <v>309</v>
          </cell>
          <cell r="AJ28">
            <v>4628.1000000000004</v>
          </cell>
          <cell r="AK28">
            <v>49139.594256999982</v>
          </cell>
          <cell r="AL28">
            <v>321</v>
          </cell>
          <cell r="AM28">
            <v>9700.7000000000007</v>
          </cell>
        </row>
        <row r="29">
          <cell r="C29">
            <v>8450.1</v>
          </cell>
          <cell r="D29">
            <v>90059.8</v>
          </cell>
          <cell r="E29">
            <v>8482</v>
          </cell>
          <cell r="F29">
            <v>6903.2</v>
          </cell>
          <cell r="G29">
            <v>73440.100000000006</v>
          </cell>
          <cell r="H29">
            <v>8476</v>
          </cell>
          <cell r="I29">
            <v>5085.3999999999996</v>
          </cell>
          <cell r="J29">
            <v>54033.1</v>
          </cell>
          <cell r="K29">
            <v>8464</v>
          </cell>
          <cell r="L29">
            <v>2883.3</v>
          </cell>
          <cell r="M29">
            <v>30665.200000000001</v>
          </cell>
          <cell r="N29">
            <v>8456</v>
          </cell>
          <cell r="O29">
            <v>1928.3</v>
          </cell>
          <cell r="P29">
            <v>20522</v>
          </cell>
          <cell r="Q29">
            <v>8448</v>
          </cell>
          <cell r="R29">
            <v>778.9</v>
          </cell>
          <cell r="S29">
            <v>8293.5</v>
          </cell>
          <cell r="T29">
            <v>8441</v>
          </cell>
          <cell r="U29">
            <v>657.4</v>
          </cell>
          <cell r="V29">
            <v>6966.9</v>
          </cell>
          <cell r="W29">
            <v>8432</v>
          </cell>
          <cell r="X29">
            <v>833.1</v>
          </cell>
          <cell r="Y29">
            <v>8890.7999999999993</v>
          </cell>
          <cell r="Z29">
            <v>8442</v>
          </cell>
          <cell r="AA29">
            <v>1167.5999999999999</v>
          </cell>
          <cell r="AB29">
            <v>12437.3</v>
          </cell>
          <cell r="AC29">
            <v>8453</v>
          </cell>
          <cell r="AD29">
            <v>3078.3</v>
          </cell>
          <cell r="AE29">
            <v>32715.8</v>
          </cell>
          <cell r="AF29">
            <v>8454</v>
          </cell>
          <cell r="AG29">
            <v>5199.6000000000004</v>
          </cell>
          <cell r="AH29">
            <v>55247.199999999997</v>
          </cell>
          <cell r="AI29">
            <v>8487</v>
          </cell>
          <cell r="AJ29">
            <v>7658.5</v>
          </cell>
          <cell r="AK29">
            <v>81315.899999999994</v>
          </cell>
          <cell r="AL29">
            <v>8482</v>
          </cell>
          <cell r="AM29">
            <v>15353.3</v>
          </cell>
        </row>
        <row r="30">
          <cell r="C30">
            <v>13122.7</v>
          </cell>
          <cell r="D30">
            <v>139860.70000000001</v>
          </cell>
          <cell r="E30">
            <v>83652</v>
          </cell>
          <cell r="F30">
            <v>10720.5</v>
          </cell>
          <cell r="G30">
            <v>114050.8</v>
          </cell>
          <cell r="H30">
            <v>83600</v>
          </cell>
          <cell r="I30">
            <v>7897.5</v>
          </cell>
          <cell r="J30">
            <v>83912.1</v>
          </cell>
          <cell r="K30">
            <v>83563</v>
          </cell>
          <cell r="L30">
            <v>4477.7</v>
          </cell>
          <cell r="M30">
            <v>47622.3</v>
          </cell>
          <cell r="N30">
            <v>83507</v>
          </cell>
          <cell r="O30">
            <v>2994.7</v>
          </cell>
          <cell r="P30">
            <v>31870.1</v>
          </cell>
          <cell r="Q30">
            <v>83466</v>
          </cell>
          <cell r="R30">
            <v>1209.5999999999999</v>
          </cell>
          <cell r="S30">
            <v>12879.6</v>
          </cell>
          <cell r="T30">
            <v>83408</v>
          </cell>
          <cell r="U30">
            <v>1020.9</v>
          </cell>
          <cell r="V30">
            <v>10819.4</v>
          </cell>
          <cell r="W30">
            <v>83378</v>
          </cell>
          <cell r="X30">
            <v>1293.8</v>
          </cell>
          <cell r="Y30">
            <v>13807.2</v>
          </cell>
          <cell r="Z30">
            <v>83393</v>
          </cell>
          <cell r="AA30">
            <v>1813.2</v>
          </cell>
          <cell r="AB30">
            <v>19314.8</v>
          </cell>
          <cell r="AC30">
            <v>83425</v>
          </cell>
          <cell r="AD30">
            <v>4780.6000000000004</v>
          </cell>
          <cell r="AE30">
            <v>50806.8</v>
          </cell>
          <cell r="AF30">
            <v>83424</v>
          </cell>
          <cell r="AG30">
            <v>8074.9</v>
          </cell>
          <cell r="AH30">
            <v>85797.6</v>
          </cell>
          <cell r="AI30">
            <v>83519</v>
          </cell>
          <cell r="AJ30">
            <v>11893.5</v>
          </cell>
          <cell r="AK30">
            <v>126281.60000000001</v>
          </cell>
          <cell r="AL30">
            <v>83652</v>
          </cell>
          <cell r="AM30">
            <v>23843.200000000001</v>
          </cell>
        </row>
        <row r="33">
          <cell r="C33">
            <v>48848.9</v>
          </cell>
          <cell r="D33">
            <v>520429.49802299996</v>
          </cell>
          <cell r="E33">
            <v>129</v>
          </cell>
          <cell r="F33">
            <v>41836.1</v>
          </cell>
          <cell r="G33">
            <v>444929.56744800007</v>
          </cell>
          <cell r="H33">
            <v>129</v>
          </cell>
          <cell r="I33">
            <v>42318.7</v>
          </cell>
          <cell r="J33">
            <v>449504.19983600004</v>
          </cell>
          <cell r="K33">
            <v>129</v>
          </cell>
          <cell r="L33">
            <v>37574.5</v>
          </cell>
          <cell r="M33">
            <v>399484.58302500006</v>
          </cell>
          <cell r="N33">
            <v>129</v>
          </cell>
          <cell r="O33">
            <v>38543</v>
          </cell>
          <cell r="P33">
            <v>410067.0600479999</v>
          </cell>
          <cell r="Q33">
            <v>128</v>
          </cell>
          <cell r="R33">
            <v>35144</v>
          </cell>
          <cell r="S33">
            <v>374101.91829200002</v>
          </cell>
          <cell r="T33">
            <v>128</v>
          </cell>
          <cell r="U33">
            <v>34466.5</v>
          </cell>
          <cell r="V33">
            <v>365198.51737000002</v>
          </cell>
          <cell r="W33">
            <v>129</v>
          </cell>
          <cell r="X33">
            <v>28028.6</v>
          </cell>
          <cell r="Y33">
            <v>298959.39884499996</v>
          </cell>
          <cell r="Z33">
            <v>130</v>
          </cell>
          <cell r="AA33">
            <v>37452.699999999997</v>
          </cell>
          <cell r="AB33">
            <v>398828.67629000015</v>
          </cell>
          <cell r="AC33">
            <v>129</v>
          </cell>
          <cell r="AD33">
            <v>41224.6</v>
          </cell>
          <cell r="AE33">
            <v>438008.40335000004</v>
          </cell>
          <cell r="AF33">
            <v>129</v>
          </cell>
          <cell r="AG33">
            <v>43714.8</v>
          </cell>
          <cell r="AH33">
            <v>464329.45827399986</v>
          </cell>
          <cell r="AI33">
            <v>130</v>
          </cell>
          <cell r="AJ33">
            <v>43749.200000000004</v>
          </cell>
          <cell r="AK33">
            <v>464352.64666800003</v>
          </cell>
          <cell r="AL33">
            <v>129</v>
          </cell>
          <cell r="AM33">
            <v>90685</v>
          </cell>
        </row>
        <row r="34">
          <cell r="C34">
            <v>8067.2</v>
          </cell>
          <cell r="D34">
            <v>85953.127990000052</v>
          </cell>
          <cell r="E34">
            <v>501</v>
          </cell>
          <cell r="F34">
            <v>6297.6</v>
          </cell>
          <cell r="G34">
            <v>66981.078783999968</v>
          </cell>
          <cell r="H34">
            <v>494</v>
          </cell>
          <cell r="I34">
            <v>5388.6</v>
          </cell>
          <cell r="J34">
            <v>57243.177112000012</v>
          </cell>
          <cell r="K34">
            <v>492</v>
          </cell>
          <cell r="L34">
            <v>3981.2</v>
          </cell>
          <cell r="M34">
            <v>42333.461687000061</v>
          </cell>
          <cell r="N34">
            <v>490</v>
          </cell>
          <cell r="O34">
            <v>3130</v>
          </cell>
          <cell r="P34">
            <v>33295.758101000021</v>
          </cell>
          <cell r="Q34">
            <v>490</v>
          </cell>
          <cell r="R34">
            <v>2274.5</v>
          </cell>
          <cell r="S34">
            <v>24207.988667000023</v>
          </cell>
          <cell r="T34">
            <v>487</v>
          </cell>
          <cell r="U34">
            <v>2328.3000000000002</v>
          </cell>
          <cell r="V34">
            <v>24669.807133999995</v>
          </cell>
          <cell r="W34">
            <v>488</v>
          </cell>
          <cell r="X34">
            <v>2340.1999999999998</v>
          </cell>
          <cell r="Y34">
            <v>24964.558764000005</v>
          </cell>
          <cell r="Z34">
            <v>488</v>
          </cell>
          <cell r="AA34">
            <v>2655</v>
          </cell>
          <cell r="AB34">
            <v>28270.791609000007</v>
          </cell>
          <cell r="AC34">
            <v>487</v>
          </cell>
          <cell r="AD34">
            <v>4331.6000000000004</v>
          </cell>
          <cell r="AE34">
            <v>46024.741327000025</v>
          </cell>
          <cell r="AF34">
            <v>490</v>
          </cell>
          <cell r="AG34">
            <v>5936.1</v>
          </cell>
          <cell r="AH34">
            <v>63055.370543999961</v>
          </cell>
          <cell r="AI34">
            <v>488</v>
          </cell>
          <cell r="AJ34">
            <v>7430.7999999999993</v>
          </cell>
          <cell r="AK34">
            <v>78876.657738000009</v>
          </cell>
          <cell r="AL34">
            <v>501</v>
          </cell>
          <cell r="AM34">
            <v>14364.8</v>
          </cell>
        </row>
        <row r="35">
          <cell r="C35">
            <v>17304.23</v>
          </cell>
          <cell r="D35">
            <v>184412.09</v>
          </cell>
          <cell r="E35">
            <v>18266</v>
          </cell>
          <cell r="F35">
            <v>14128.130000000001</v>
          </cell>
          <cell r="G35">
            <v>150294.76999999999</v>
          </cell>
          <cell r="H35">
            <v>18254</v>
          </cell>
          <cell r="I35">
            <v>10400.284</v>
          </cell>
          <cell r="J35">
            <v>110500.133</v>
          </cell>
          <cell r="K35">
            <v>18227</v>
          </cell>
          <cell r="L35">
            <v>5904.6949999999997</v>
          </cell>
          <cell r="M35">
            <v>62790.065000000002</v>
          </cell>
          <cell r="N35">
            <v>18212</v>
          </cell>
          <cell r="O35">
            <v>3955.5169999999998</v>
          </cell>
          <cell r="P35">
            <v>42081.439999999995</v>
          </cell>
          <cell r="Q35">
            <v>18194</v>
          </cell>
          <cell r="R35">
            <v>1592.712</v>
          </cell>
          <cell r="S35">
            <v>16964.23</v>
          </cell>
          <cell r="T35">
            <v>18180</v>
          </cell>
          <cell r="U35">
            <v>1344.009</v>
          </cell>
          <cell r="V35">
            <v>14242.115000000002</v>
          </cell>
          <cell r="W35">
            <v>18158</v>
          </cell>
          <cell r="X35">
            <v>1701.7090000000001</v>
          </cell>
          <cell r="Y35">
            <v>18163.543999999998</v>
          </cell>
          <cell r="Z35">
            <v>18180</v>
          </cell>
          <cell r="AA35">
            <v>2385.5880000000002</v>
          </cell>
          <cell r="AB35">
            <v>25408.508000000002</v>
          </cell>
          <cell r="AC35">
            <v>18205</v>
          </cell>
          <cell r="AD35">
            <v>6290.8860000000004</v>
          </cell>
          <cell r="AE35">
            <v>66854.982000000004</v>
          </cell>
          <cell r="AF35">
            <v>18204</v>
          </cell>
          <cell r="AG35">
            <v>10628.483280353714</v>
          </cell>
          <cell r="AH35">
            <v>112927.76039720121</v>
          </cell>
          <cell r="AI35">
            <v>18276</v>
          </cell>
          <cell r="AJ35">
            <v>15662.727999999999</v>
          </cell>
          <cell r="AK35">
            <v>166312.02199999997</v>
          </cell>
          <cell r="AL35">
            <v>18266</v>
          </cell>
          <cell r="AM35">
            <v>31432.36</v>
          </cell>
        </row>
        <row r="36">
          <cell r="C36">
            <v>39458.800000000003</v>
          </cell>
          <cell r="D36">
            <v>420547.3</v>
          </cell>
          <cell r="E36">
            <v>367792</v>
          </cell>
          <cell r="F36">
            <v>32235.4</v>
          </cell>
          <cell r="G36">
            <v>342939.5</v>
          </cell>
          <cell r="H36">
            <v>367567</v>
          </cell>
          <cell r="I36">
            <v>23747</v>
          </cell>
          <cell r="J36">
            <v>252315.4</v>
          </cell>
          <cell r="K36">
            <v>367401</v>
          </cell>
          <cell r="L36">
            <v>13464.1</v>
          </cell>
          <cell r="M36">
            <v>143195.70000000001</v>
          </cell>
          <cell r="N36">
            <v>367157</v>
          </cell>
          <cell r="O36">
            <v>9004.6</v>
          </cell>
          <cell r="P36">
            <v>95830.3</v>
          </cell>
          <cell r="Q36">
            <v>366978</v>
          </cell>
          <cell r="R36">
            <v>3637</v>
          </cell>
          <cell r="S36">
            <v>38727.599999999999</v>
          </cell>
          <cell r="T36">
            <v>366723</v>
          </cell>
          <cell r="U36">
            <v>3069.6</v>
          </cell>
          <cell r="V36">
            <v>32533</v>
          </cell>
          <cell r="W36">
            <v>366592</v>
          </cell>
          <cell r="X36">
            <v>3890.4</v>
          </cell>
          <cell r="Y36">
            <v>41516.800000000003</v>
          </cell>
          <cell r="Z36">
            <v>366654</v>
          </cell>
          <cell r="AA36">
            <v>5452.1</v>
          </cell>
          <cell r="AB36">
            <v>58077.7</v>
          </cell>
          <cell r="AC36">
            <v>366795</v>
          </cell>
          <cell r="AD36">
            <v>14374.7</v>
          </cell>
          <cell r="AE36">
            <v>152771.1</v>
          </cell>
          <cell r="AF36">
            <v>366794</v>
          </cell>
          <cell r="AG36">
            <v>24280.400000000001</v>
          </cell>
          <cell r="AH36">
            <v>257984.9</v>
          </cell>
          <cell r="AI36">
            <v>367211</v>
          </cell>
          <cell r="AJ36">
            <v>35952.9</v>
          </cell>
          <cell r="AK36">
            <v>381739.6</v>
          </cell>
          <cell r="AL36">
            <v>367792</v>
          </cell>
          <cell r="AM36">
            <v>71694.200000000012</v>
          </cell>
        </row>
        <row r="39">
          <cell r="C39">
            <v>17675.8</v>
          </cell>
          <cell r="D39">
            <v>188386.22035899997</v>
          </cell>
          <cell r="E39">
            <v>111</v>
          </cell>
          <cell r="F39">
            <v>15217.8</v>
          </cell>
          <cell r="G39">
            <v>161895.47002400007</v>
          </cell>
          <cell r="H39">
            <v>111</v>
          </cell>
          <cell r="I39">
            <v>15315.8</v>
          </cell>
          <cell r="J39">
            <v>162733.25341300003</v>
          </cell>
          <cell r="K39">
            <v>111</v>
          </cell>
          <cell r="L39">
            <v>12538.7</v>
          </cell>
          <cell r="M39">
            <v>133353.54653699996</v>
          </cell>
          <cell r="N39">
            <v>111</v>
          </cell>
          <cell r="O39">
            <v>12075.7</v>
          </cell>
          <cell r="P39">
            <v>128513.44315900005</v>
          </cell>
          <cell r="Q39">
            <v>110</v>
          </cell>
          <cell r="R39">
            <v>10866</v>
          </cell>
          <cell r="S39">
            <v>115701.574245</v>
          </cell>
          <cell r="T39">
            <v>110</v>
          </cell>
          <cell r="U39">
            <v>10834.1</v>
          </cell>
          <cell r="V39">
            <v>114823.06207200007</v>
          </cell>
          <cell r="W39">
            <v>110</v>
          </cell>
          <cell r="X39">
            <v>10496.3</v>
          </cell>
          <cell r="Y39">
            <v>112012.254844</v>
          </cell>
          <cell r="Z39">
            <v>111</v>
          </cell>
          <cell r="AA39">
            <v>12105.6</v>
          </cell>
          <cell r="AB39">
            <v>128954.08596199995</v>
          </cell>
          <cell r="AC39">
            <v>111</v>
          </cell>
          <cell r="AD39">
            <v>15638.6</v>
          </cell>
          <cell r="AE39">
            <v>166203.96315900001</v>
          </cell>
          <cell r="AF39">
            <v>111</v>
          </cell>
          <cell r="AG39">
            <v>16081</v>
          </cell>
          <cell r="AH39">
            <v>170864.18461</v>
          </cell>
          <cell r="AI39">
            <v>111</v>
          </cell>
          <cell r="AJ39">
            <v>16970.900000000001</v>
          </cell>
          <cell r="AK39">
            <v>180192.30423800007</v>
          </cell>
          <cell r="AL39">
            <v>111</v>
          </cell>
          <cell r="AM39">
            <v>32893.599999999999</v>
          </cell>
        </row>
        <row r="40">
          <cell r="C40">
            <v>6500.7</v>
          </cell>
          <cell r="D40">
            <v>69283.444159999999</v>
          </cell>
          <cell r="E40">
            <v>388</v>
          </cell>
          <cell r="F40">
            <v>5286.1</v>
          </cell>
          <cell r="G40">
            <v>56236.812752000034</v>
          </cell>
          <cell r="H40">
            <v>380</v>
          </cell>
          <cell r="I40">
            <v>4304.8</v>
          </cell>
          <cell r="J40">
            <v>45739.453539000031</v>
          </cell>
          <cell r="K40">
            <v>381</v>
          </cell>
          <cell r="L40">
            <v>2919.3</v>
          </cell>
          <cell r="M40">
            <v>31047.617420999992</v>
          </cell>
          <cell r="N40">
            <v>381</v>
          </cell>
          <cell r="O40">
            <v>2131.1</v>
          </cell>
          <cell r="P40">
            <v>22680.069781000009</v>
          </cell>
          <cell r="Q40">
            <v>381</v>
          </cell>
          <cell r="R40">
            <v>1547</v>
          </cell>
          <cell r="S40">
            <v>16472.368089</v>
          </cell>
          <cell r="T40">
            <v>381</v>
          </cell>
          <cell r="U40">
            <v>1476</v>
          </cell>
          <cell r="V40">
            <v>15643.187736000003</v>
          </cell>
          <cell r="W40">
            <v>381</v>
          </cell>
          <cell r="X40">
            <v>1778.6</v>
          </cell>
          <cell r="Y40">
            <v>18980.157821000001</v>
          </cell>
          <cell r="Z40">
            <v>381</v>
          </cell>
          <cell r="AA40">
            <v>1996.1</v>
          </cell>
          <cell r="AB40">
            <v>21263.060027999985</v>
          </cell>
          <cell r="AC40">
            <v>384</v>
          </cell>
          <cell r="AD40">
            <v>3457.9</v>
          </cell>
          <cell r="AE40">
            <v>36749.830563000025</v>
          </cell>
          <cell r="AF40">
            <v>386</v>
          </cell>
          <cell r="AG40">
            <v>4725.8</v>
          </cell>
          <cell r="AH40">
            <v>50212.336283999968</v>
          </cell>
          <cell r="AI40">
            <v>386</v>
          </cell>
          <cell r="AJ40">
            <v>5865.1</v>
          </cell>
          <cell r="AK40">
            <v>62274.460555000056</v>
          </cell>
          <cell r="AL40">
            <v>388</v>
          </cell>
          <cell r="AM40">
            <v>11786.8</v>
          </cell>
        </row>
        <row r="41">
          <cell r="C41">
            <v>12399.4</v>
          </cell>
          <cell r="D41">
            <v>132151.6</v>
          </cell>
          <cell r="E41">
            <v>12802</v>
          </cell>
          <cell r="F41">
            <v>10129.6</v>
          </cell>
          <cell r="G41">
            <v>107764.4</v>
          </cell>
          <cell r="H41">
            <v>12793</v>
          </cell>
          <cell r="I41">
            <v>7462.2</v>
          </cell>
          <cell r="J41">
            <v>79286.899999999994</v>
          </cell>
          <cell r="K41">
            <v>12774</v>
          </cell>
          <cell r="L41">
            <v>4230.8999999999996</v>
          </cell>
          <cell r="M41">
            <v>44997.4</v>
          </cell>
          <cell r="N41">
            <v>12763</v>
          </cell>
          <cell r="O41">
            <v>2829.6</v>
          </cell>
          <cell r="P41">
            <v>30113.4</v>
          </cell>
          <cell r="Q41">
            <v>12751</v>
          </cell>
          <cell r="R41">
            <v>1142.9000000000001</v>
          </cell>
          <cell r="S41">
            <v>12169.6</v>
          </cell>
          <cell r="T41">
            <v>12740</v>
          </cell>
          <cell r="U41">
            <v>964.6</v>
          </cell>
          <cell r="V41">
            <v>10223.1</v>
          </cell>
          <cell r="W41">
            <v>12726</v>
          </cell>
          <cell r="X41">
            <v>1222.5</v>
          </cell>
          <cell r="Y41">
            <v>13046.1</v>
          </cell>
          <cell r="Z41">
            <v>12742</v>
          </cell>
          <cell r="AA41">
            <v>1713.2</v>
          </cell>
          <cell r="AB41">
            <v>18250.2</v>
          </cell>
          <cell r="AC41">
            <v>12759</v>
          </cell>
          <cell r="AD41">
            <v>4517.1000000000004</v>
          </cell>
          <cell r="AE41">
            <v>48006.400000000001</v>
          </cell>
          <cell r="AF41">
            <v>12759</v>
          </cell>
          <cell r="AG41">
            <v>7629.8</v>
          </cell>
          <cell r="AH41">
            <v>81068.5</v>
          </cell>
          <cell r="AI41">
            <v>12809</v>
          </cell>
          <cell r="AJ41">
            <v>11237.9</v>
          </cell>
          <cell r="AK41">
            <v>119321</v>
          </cell>
          <cell r="AL41">
            <v>12802</v>
          </cell>
          <cell r="AM41">
            <v>22529</v>
          </cell>
        </row>
        <row r="42">
          <cell r="C42">
            <v>25194.3</v>
          </cell>
          <cell r="D42">
            <v>268517.59999999998</v>
          </cell>
          <cell r="E42">
            <v>175214</v>
          </cell>
          <cell r="F42">
            <v>20582.2</v>
          </cell>
          <cell r="G42">
            <v>218965.3</v>
          </cell>
          <cell r="H42">
            <v>175107</v>
          </cell>
          <cell r="I42">
            <v>15162.3</v>
          </cell>
          <cell r="J42">
            <v>161102.20000000001</v>
          </cell>
          <cell r="K42">
            <v>175028</v>
          </cell>
          <cell r="L42">
            <v>8596.7999999999993</v>
          </cell>
          <cell r="M42">
            <v>91429.8</v>
          </cell>
          <cell r="N42">
            <v>174911</v>
          </cell>
          <cell r="O42">
            <v>5749.4</v>
          </cell>
          <cell r="P42">
            <v>61187.199999999997</v>
          </cell>
          <cell r="Q42">
            <v>174826</v>
          </cell>
          <cell r="R42">
            <v>2322.1999999999998</v>
          </cell>
          <cell r="S42">
            <v>24727.4</v>
          </cell>
          <cell r="T42">
            <v>174704</v>
          </cell>
          <cell r="U42">
            <v>1960</v>
          </cell>
          <cell r="V42">
            <v>20772.2</v>
          </cell>
          <cell r="W42">
            <v>174642</v>
          </cell>
          <cell r="X42">
            <v>2484</v>
          </cell>
          <cell r="Y42">
            <v>26508.3</v>
          </cell>
          <cell r="Z42">
            <v>174672</v>
          </cell>
          <cell r="AA42">
            <v>3481.1</v>
          </cell>
          <cell r="AB42">
            <v>37082.300000000003</v>
          </cell>
          <cell r="AC42">
            <v>174739</v>
          </cell>
          <cell r="AD42">
            <v>9178.2000000000007</v>
          </cell>
          <cell r="AE42">
            <v>97543.7</v>
          </cell>
          <cell r="AF42">
            <v>174738</v>
          </cell>
          <cell r="AG42">
            <v>15502.9</v>
          </cell>
          <cell r="AH42">
            <v>164722.20000000001</v>
          </cell>
          <cell r="AI42">
            <v>174937</v>
          </cell>
          <cell r="AJ42">
            <v>22834.1</v>
          </cell>
          <cell r="AK42">
            <v>242447.1</v>
          </cell>
          <cell r="AL42">
            <v>175214</v>
          </cell>
          <cell r="AM42">
            <v>45776.5</v>
          </cell>
        </row>
        <row r="45">
          <cell r="C45">
            <v>12019.5</v>
          </cell>
          <cell r="D45">
            <v>128101.98789899994</v>
          </cell>
          <cell r="E45">
            <v>72</v>
          </cell>
          <cell r="F45">
            <v>11510.4</v>
          </cell>
          <cell r="G45">
            <v>122454.27260900001</v>
          </cell>
          <cell r="H45">
            <v>72</v>
          </cell>
          <cell r="I45">
            <v>11497.5</v>
          </cell>
          <cell r="J45">
            <v>122163.10567600004</v>
          </cell>
          <cell r="K45">
            <v>72</v>
          </cell>
          <cell r="L45">
            <v>10470.6</v>
          </cell>
          <cell r="M45">
            <v>111358.84084899999</v>
          </cell>
          <cell r="N45">
            <v>72</v>
          </cell>
          <cell r="O45">
            <v>9637.2999999999993</v>
          </cell>
          <cell r="P45">
            <v>102563.053979</v>
          </cell>
          <cell r="Q45">
            <v>71</v>
          </cell>
          <cell r="R45">
            <v>9232</v>
          </cell>
          <cell r="S45">
            <v>98302.792000000001</v>
          </cell>
          <cell r="T45">
            <v>71</v>
          </cell>
          <cell r="U45">
            <v>8951.4</v>
          </cell>
          <cell r="V45">
            <v>94869.533073000042</v>
          </cell>
          <cell r="W45">
            <v>71</v>
          </cell>
          <cell r="X45">
            <v>8236.1</v>
          </cell>
          <cell r="Y45">
            <v>87892.56336700001</v>
          </cell>
          <cell r="Z45">
            <v>71</v>
          </cell>
          <cell r="AA45">
            <v>9258.2999999999993</v>
          </cell>
          <cell r="AB45">
            <v>98623.405948999993</v>
          </cell>
          <cell r="AC45">
            <v>71</v>
          </cell>
          <cell r="AD45">
            <v>9863.2999999999993</v>
          </cell>
          <cell r="AE45">
            <v>104825.33723800001</v>
          </cell>
          <cell r="AF45">
            <v>71</v>
          </cell>
          <cell r="AG45">
            <v>10190.799999999999</v>
          </cell>
          <cell r="AH45">
            <v>108279.88607600005</v>
          </cell>
          <cell r="AI45">
            <v>71</v>
          </cell>
          <cell r="AJ45">
            <v>10574.2</v>
          </cell>
          <cell r="AK45">
            <v>112273.93120800001</v>
          </cell>
          <cell r="AL45">
            <v>72</v>
          </cell>
          <cell r="AM45">
            <v>23529.9</v>
          </cell>
        </row>
        <row r="46">
          <cell r="C46">
            <v>4926.8</v>
          </cell>
          <cell r="D46">
            <v>52509.378883000049</v>
          </cell>
          <cell r="E46">
            <v>291</v>
          </cell>
          <cell r="F46">
            <v>4167.3</v>
          </cell>
          <cell r="G46">
            <v>44334.092981000002</v>
          </cell>
          <cell r="H46">
            <v>289</v>
          </cell>
          <cell r="I46">
            <v>3568.3</v>
          </cell>
          <cell r="J46">
            <v>37913.760894000006</v>
          </cell>
          <cell r="K46">
            <v>289</v>
          </cell>
          <cell r="L46">
            <v>2537.3000000000002</v>
          </cell>
          <cell r="M46">
            <v>26984.918616000003</v>
          </cell>
          <cell r="N46">
            <v>286</v>
          </cell>
          <cell r="O46">
            <v>2034.8</v>
          </cell>
          <cell r="P46">
            <v>21655.529348999997</v>
          </cell>
          <cell r="Q46">
            <v>286</v>
          </cell>
          <cell r="R46">
            <v>1561</v>
          </cell>
          <cell r="S46">
            <v>16621.464266999992</v>
          </cell>
          <cell r="T46">
            <v>286</v>
          </cell>
          <cell r="U46">
            <v>1402.2</v>
          </cell>
          <cell r="V46">
            <v>14861.411626999999</v>
          </cell>
          <cell r="W46">
            <v>287</v>
          </cell>
          <cell r="X46">
            <v>1627</v>
          </cell>
          <cell r="Y46">
            <v>17363.055061999999</v>
          </cell>
          <cell r="Z46">
            <v>288</v>
          </cell>
          <cell r="AA46">
            <v>2014.1</v>
          </cell>
          <cell r="AB46">
            <v>21455.24795999999</v>
          </cell>
          <cell r="AC46">
            <v>291</v>
          </cell>
          <cell r="AD46">
            <v>3232.2</v>
          </cell>
          <cell r="AE46">
            <v>34350.992505999995</v>
          </cell>
          <cell r="AF46">
            <v>292</v>
          </cell>
          <cell r="AG46">
            <v>4196.1000000000004</v>
          </cell>
          <cell r="AH46">
            <v>44584.957545000012</v>
          </cell>
          <cell r="AI46">
            <v>294</v>
          </cell>
          <cell r="AJ46">
            <v>4480.5</v>
          </cell>
          <cell r="AK46">
            <v>47573.140125000005</v>
          </cell>
          <cell r="AL46">
            <v>291</v>
          </cell>
          <cell r="AM46">
            <v>9094.1</v>
          </cell>
        </row>
        <row r="47">
          <cell r="C47">
            <v>10005.200000000001</v>
          </cell>
          <cell r="D47">
            <v>106634.2</v>
          </cell>
          <cell r="E47">
            <v>10790</v>
          </cell>
          <cell r="F47">
            <v>8173.6</v>
          </cell>
          <cell r="G47">
            <v>86955.9</v>
          </cell>
          <cell r="H47">
            <v>10783</v>
          </cell>
          <cell r="I47">
            <v>6021.3</v>
          </cell>
          <cell r="J47">
            <v>63977.2</v>
          </cell>
          <cell r="K47">
            <v>10767</v>
          </cell>
          <cell r="L47">
            <v>3414</v>
          </cell>
          <cell r="M47">
            <v>36308.800000000003</v>
          </cell>
          <cell r="N47">
            <v>10757</v>
          </cell>
          <cell r="O47">
            <v>2283.1999999999998</v>
          </cell>
          <cell r="P47">
            <v>24298.799999999999</v>
          </cell>
          <cell r="Q47">
            <v>10746</v>
          </cell>
          <cell r="R47">
            <v>922.2</v>
          </cell>
          <cell r="S47">
            <v>9819.7999999999993</v>
          </cell>
          <cell r="T47">
            <v>10737</v>
          </cell>
          <cell r="U47">
            <v>778.3</v>
          </cell>
          <cell r="V47">
            <v>8249.1</v>
          </cell>
          <cell r="W47">
            <v>10726</v>
          </cell>
          <cell r="X47">
            <v>986.4</v>
          </cell>
          <cell r="Y47">
            <v>10527</v>
          </cell>
          <cell r="Z47">
            <v>10739</v>
          </cell>
          <cell r="AA47">
            <v>1382.4</v>
          </cell>
          <cell r="AB47">
            <v>14726.2</v>
          </cell>
          <cell r="AC47">
            <v>10753</v>
          </cell>
          <cell r="AD47">
            <v>3644.8</v>
          </cell>
          <cell r="AE47">
            <v>38736.699999999997</v>
          </cell>
          <cell r="AF47">
            <v>10754</v>
          </cell>
          <cell r="AG47">
            <v>6156.5</v>
          </cell>
          <cell r="AH47">
            <v>65414.8</v>
          </cell>
          <cell r="AI47">
            <v>10796</v>
          </cell>
          <cell r="AJ47">
            <v>9067.9</v>
          </cell>
          <cell r="AK47">
            <v>96281.1</v>
          </cell>
          <cell r="AL47">
            <v>10790</v>
          </cell>
          <cell r="AM47">
            <v>18178.800000000003</v>
          </cell>
        </row>
        <row r="48">
          <cell r="C48">
            <v>19777.8</v>
          </cell>
          <cell r="D48">
            <v>210789</v>
          </cell>
          <cell r="E48">
            <v>125463</v>
          </cell>
          <cell r="F48">
            <v>16157.2</v>
          </cell>
          <cell r="G48">
            <v>171890</v>
          </cell>
          <cell r="H48">
            <v>125386</v>
          </cell>
          <cell r="I48">
            <v>11902.6</v>
          </cell>
          <cell r="J48">
            <v>126466.9</v>
          </cell>
          <cell r="K48">
            <v>125329</v>
          </cell>
          <cell r="L48">
            <v>6748.6</v>
          </cell>
          <cell r="M48">
            <v>71773.3</v>
          </cell>
          <cell r="N48">
            <v>125246</v>
          </cell>
          <cell r="O48">
            <v>4513.3</v>
          </cell>
          <cell r="P48">
            <v>48032.6</v>
          </cell>
          <cell r="Q48">
            <v>125185</v>
          </cell>
          <cell r="R48">
            <v>1823</v>
          </cell>
          <cell r="S48">
            <v>19411.2</v>
          </cell>
          <cell r="T48">
            <v>125098</v>
          </cell>
          <cell r="U48">
            <v>1538.6</v>
          </cell>
          <cell r="V48">
            <v>16306.3</v>
          </cell>
          <cell r="W48">
            <v>125053</v>
          </cell>
          <cell r="X48">
            <v>1950</v>
          </cell>
          <cell r="Y48">
            <v>20809.3</v>
          </cell>
          <cell r="Z48">
            <v>125074</v>
          </cell>
          <cell r="AA48">
            <v>2732.7</v>
          </cell>
          <cell r="AB48">
            <v>29110</v>
          </cell>
          <cell r="AC48">
            <v>125122</v>
          </cell>
          <cell r="AD48">
            <v>7205</v>
          </cell>
          <cell r="AE48">
            <v>76572.800000000003</v>
          </cell>
          <cell r="AF48">
            <v>125122</v>
          </cell>
          <cell r="AG48">
            <v>12169.9</v>
          </cell>
          <cell r="AH48">
            <v>129308.6</v>
          </cell>
          <cell r="AI48">
            <v>125265</v>
          </cell>
          <cell r="AJ48">
            <v>17925</v>
          </cell>
          <cell r="AK48">
            <v>190323.4</v>
          </cell>
          <cell r="AL48">
            <v>125463</v>
          </cell>
          <cell r="AM48">
            <v>35935</v>
          </cell>
        </row>
        <row r="51">
          <cell r="C51">
            <v>15215.9</v>
          </cell>
          <cell r="D51">
            <v>162169.50292100006</v>
          </cell>
          <cell r="E51">
            <v>81</v>
          </cell>
          <cell r="F51">
            <v>14852.2</v>
          </cell>
          <cell r="G51">
            <v>158006.03251399999</v>
          </cell>
          <cell r="H51">
            <v>81</v>
          </cell>
          <cell r="I51">
            <v>15348.8</v>
          </cell>
          <cell r="J51">
            <v>163083.30032800004</v>
          </cell>
          <cell r="K51">
            <v>81</v>
          </cell>
          <cell r="L51">
            <v>13297.4</v>
          </cell>
          <cell r="M51">
            <v>141422.99178500005</v>
          </cell>
          <cell r="N51">
            <v>81</v>
          </cell>
          <cell r="O51">
            <v>12735.8</v>
          </cell>
          <cell r="P51">
            <v>135539.29819400003</v>
          </cell>
          <cell r="Q51">
            <v>82</v>
          </cell>
          <cell r="R51">
            <v>11114.2</v>
          </cell>
          <cell r="S51">
            <v>118345.11036000002</v>
          </cell>
          <cell r="T51">
            <v>82</v>
          </cell>
          <cell r="U51">
            <v>10624.6</v>
          </cell>
          <cell r="V51">
            <v>112603.19518000002</v>
          </cell>
          <cell r="W51">
            <v>82</v>
          </cell>
          <cell r="X51">
            <v>10682.3</v>
          </cell>
          <cell r="Y51">
            <v>113997.86137000001</v>
          </cell>
          <cell r="Z51">
            <v>82</v>
          </cell>
          <cell r="AA51">
            <v>11717.2</v>
          </cell>
          <cell r="AB51">
            <v>124815.98929000001</v>
          </cell>
          <cell r="AC51">
            <v>82</v>
          </cell>
          <cell r="AD51">
            <v>13286.4</v>
          </cell>
          <cell r="AE51">
            <v>141205.01061999996</v>
          </cell>
          <cell r="AF51">
            <v>82</v>
          </cell>
          <cell r="AG51">
            <v>13558.2</v>
          </cell>
          <cell r="AH51">
            <v>144058.70919000002</v>
          </cell>
          <cell r="AI51">
            <v>82</v>
          </cell>
          <cell r="AJ51">
            <v>12720.4</v>
          </cell>
          <cell r="AK51">
            <v>135061.62848000007</v>
          </cell>
          <cell r="AL51">
            <v>81</v>
          </cell>
          <cell r="AM51">
            <v>30068.1</v>
          </cell>
        </row>
        <row r="52">
          <cell r="C52">
            <v>5938.6</v>
          </cell>
          <cell r="D52">
            <v>63293.122313999986</v>
          </cell>
          <cell r="E52">
            <v>342</v>
          </cell>
          <cell r="F52">
            <v>5011.3999999999996</v>
          </cell>
          <cell r="G52">
            <v>53314.144358999984</v>
          </cell>
          <cell r="H52">
            <v>330</v>
          </cell>
          <cell r="I52">
            <v>4106.2</v>
          </cell>
          <cell r="J52">
            <v>43629.046719999969</v>
          </cell>
          <cell r="K52">
            <v>328</v>
          </cell>
          <cell r="L52">
            <v>2678.8</v>
          </cell>
          <cell r="M52">
            <v>28490.258751000005</v>
          </cell>
          <cell r="N52">
            <v>327</v>
          </cell>
          <cell r="O52">
            <v>1968.9</v>
          </cell>
          <cell r="P52">
            <v>20953.553658999987</v>
          </cell>
          <cell r="Q52">
            <v>330</v>
          </cell>
          <cell r="R52">
            <v>1283.0999999999999</v>
          </cell>
          <cell r="S52">
            <v>13662.267491000008</v>
          </cell>
          <cell r="T52">
            <v>333</v>
          </cell>
          <cell r="U52">
            <v>1313.3</v>
          </cell>
          <cell r="V52">
            <v>13918.290244999997</v>
          </cell>
          <cell r="W52">
            <v>335</v>
          </cell>
          <cell r="X52">
            <v>1566.8</v>
          </cell>
          <cell r="Y52">
            <v>16720.634252000011</v>
          </cell>
          <cell r="Z52">
            <v>335</v>
          </cell>
          <cell r="AA52">
            <v>1732.3</v>
          </cell>
          <cell r="AB52">
            <v>18453.515549</v>
          </cell>
          <cell r="AC52">
            <v>336</v>
          </cell>
          <cell r="AD52">
            <v>2682.9</v>
          </cell>
          <cell r="AE52">
            <v>28513.597980000006</v>
          </cell>
          <cell r="AF52">
            <v>337</v>
          </cell>
          <cell r="AG52">
            <v>4049.5</v>
          </cell>
          <cell r="AH52">
            <v>43027.172525999951</v>
          </cell>
          <cell r="AI52">
            <v>340</v>
          </cell>
          <cell r="AJ52">
            <v>5261.2</v>
          </cell>
          <cell r="AK52">
            <v>55861.989169000037</v>
          </cell>
          <cell r="AL52">
            <v>342</v>
          </cell>
          <cell r="AM52">
            <v>10950</v>
          </cell>
        </row>
        <row r="53">
          <cell r="C53">
            <v>10674.9</v>
          </cell>
          <cell r="D53">
            <v>113772.3</v>
          </cell>
          <cell r="E53">
            <v>11425</v>
          </cell>
          <cell r="F53">
            <v>8720.7999999999993</v>
          </cell>
          <cell r="G53">
            <v>92776.8</v>
          </cell>
          <cell r="H53">
            <v>11417</v>
          </cell>
          <cell r="I53">
            <v>6424.4</v>
          </cell>
          <cell r="J53">
            <v>68259.899999999994</v>
          </cell>
          <cell r="K53">
            <v>11400</v>
          </cell>
          <cell r="L53">
            <v>3642.5</v>
          </cell>
          <cell r="M53">
            <v>38739.300000000003</v>
          </cell>
          <cell r="N53">
            <v>11389</v>
          </cell>
          <cell r="O53">
            <v>2436.1</v>
          </cell>
          <cell r="P53">
            <v>25925.3</v>
          </cell>
          <cell r="Q53">
            <v>11378</v>
          </cell>
          <cell r="R53">
            <v>983.9</v>
          </cell>
          <cell r="S53">
            <v>10477.1</v>
          </cell>
          <cell r="T53">
            <v>11369</v>
          </cell>
          <cell r="U53">
            <v>830.4</v>
          </cell>
          <cell r="V53">
            <v>8801.2999999999993</v>
          </cell>
          <cell r="W53">
            <v>11356</v>
          </cell>
          <cell r="X53">
            <v>1052.5</v>
          </cell>
          <cell r="Y53">
            <v>11231.7</v>
          </cell>
          <cell r="Z53">
            <v>11371</v>
          </cell>
          <cell r="AA53">
            <v>1475</v>
          </cell>
          <cell r="AB53">
            <v>15712</v>
          </cell>
          <cell r="AC53">
            <v>11386</v>
          </cell>
          <cell r="AD53">
            <v>3888.8</v>
          </cell>
          <cell r="AE53">
            <v>41329.800000000003</v>
          </cell>
          <cell r="AF53">
            <v>11386</v>
          </cell>
          <cell r="AG53">
            <v>6568.7</v>
          </cell>
          <cell r="AH53">
            <v>69793.7</v>
          </cell>
          <cell r="AI53">
            <v>11431</v>
          </cell>
          <cell r="AJ53">
            <v>9675</v>
          </cell>
          <cell r="AK53">
            <v>102726.2</v>
          </cell>
          <cell r="AL53">
            <v>11425</v>
          </cell>
          <cell r="AM53">
            <v>19395.699999999997</v>
          </cell>
        </row>
        <row r="54">
          <cell r="C54">
            <v>17783.900000000001</v>
          </cell>
          <cell r="D54">
            <v>189538.4</v>
          </cell>
          <cell r="E54">
            <v>147739</v>
          </cell>
          <cell r="F54">
            <v>14528.3</v>
          </cell>
          <cell r="G54">
            <v>154561</v>
          </cell>
          <cell r="H54">
            <v>147648</v>
          </cell>
          <cell r="I54">
            <v>10702.6</v>
          </cell>
          <cell r="J54">
            <v>113717.2</v>
          </cell>
          <cell r="K54">
            <v>147582</v>
          </cell>
          <cell r="L54">
            <v>6068.2</v>
          </cell>
          <cell r="M54">
            <v>64537.5</v>
          </cell>
          <cell r="N54">
            <v>147484</v>
          </cell>
          <cell r="O54">
            <v>4058.3</v>
          </cell>
          <cell r="P54">
            <v>43190.2</v>
          </cell>
          <cell r="Q54">
            <v>147412</v>
          </cell>
          <cell r="R54">
            <v>1639.2</v>
          </cell>
          <cell r="S54">
            <v>17454.3</v>
          </cell>
          <cell r="T54">
            <v>147309</v>
          </cell>
          <cell r="U54">
            <v>1383.5</v>
          </cell>
          <cell r="V54">
            <v>14662.4</v>
          </cell>
          <cell r="W54">
            <v>147257</v>
          </cell>
          <cell r="X54">
            <v>1753.4</v>
          </cell>
          <cell r="Y54">
            <v>18711.400000000001</v>
          </cell>
          <cell r="Z54">
            <v>147282</v>
          </cell>
          <cell r="AA54">
            <v>2457.1999999999998</v>
          </cell>
          <cell r="AB54">
            <v>26175.3</v>
          </cell>
          <cell r="AC54">
            <v>147338</v>
          </cell>
          <cell r="AD54">
            <v>6478.6</v>
          </cell>
          <cell r="AE54">
            <v>68853.100000000006</v>
          </cell>
          <cell r="AF54">
            <v>147338</v>
          </cell>
          <cell r="AG54">
            <v>10943</v>
          </cell>
          <cell r="AH54">
            <v>116272.4</v>
          </cell>
          <cell r="AI54">
            <v>147506</v>
          </cell>
          <cell r="AJ54">
            <v>16117.9</v>
          </cell>
          <cell r="AK54">
            <v>171136.1</v>
          </cell>
          <cell r="AL54">
            <v>147739</v>
          </cell>
          <cell r="AM54">
            <v>32312.2</v>
          </cell>
        </row>
        <row r="57">
          <cell r="C57">
            <v>33838.361271365633</v>
          </cell>
          <cell r="D57">
            <v>359116.636</v>
          </cell>
          <cell r="E57">
            <v>183</v>
          </cell>
          <cell r="F57">
            <v>26838.761054332659</v>
          </cell>
          <cell r="G57">
            <v>284039.321</v>
          </cell>
          <cell r="H57">
            <v>184</v>
          </cell>
          <cell r="I57">
            <v>22626.186059765547</v>
          </cell>
          <cell r="J57">
            <v>239915.79</v>
          </cell>
          <cell r="K57">
            <v>183</v>
          </cell>
          <cell r="L57">
            <v>16579.175460657189</v>
          </cell>
          <cell r="M57">
            <v>176133.32</v>
          </cell>
          <cell r="N57">
            <v>183</v>
          </cell>
          <cell r="O57">
            <v>13380.628168518007</v>
          </cell>
          <cell r="P57">
            <v>142239.52799999999</v>
          </cell>
          <cell r="Q57">
            <v>183</v>
          </cell>
          <cell r="R57">
            <v>8801.9857644603126</v>
          </cell>
          <cell r="S57">
            <v>93504.231</v>
          </cell>
          <cell r="T57">
            <v>183</v>
          </cell>
          <cell r="U57">
            <v>7922.2030459859388</v>
          </cell>
          <cell r="V57">
            <v>83753.466</v>
          </cell>
          <cell r="W57">
            <v>183</v>
          </cell>
          <cell r="X57">
            <v>8319.8004031901983</v>
          </cell>
          <cell r="Y57">
            <v>88736.974000000002</v>
          </cell>
          <cell r="Z57">
            <v>183</v>
          </cell>
          <cell r="AA57">
            <v>9968.2387832349632</v>
          </cell>
          <cell r="AB57">
            <v>106140.19100000001</v>
          </cell>
          <cell r="AC57">
            <v>183</v>
          </cell>
          <cell r="AD57">
            <v>16631.464458005074</v>
          </cell>
          <cell r="AE57">
            <v>176523.52799999999</v>
          </cell>
          <cell r="AF57">
            <v>183</v>
          </cell>
          <cell r="AG57">
            <v>23368.511047589058</v>
          </cell>
          <cell r="AH57">
            <v>247810.18900000001</v>
          </cell>
          <cell r="AI57">
            <v>184</v>
          </cell>
          <cell r="AJ57">
            <v>30888.292744776238</v>
          </cell>
          <cell r="AK57">
            <v>326801.75400000002</v>
          </cell>
          <cell r="AL57">
            <v>183</v>
          </cell>
          <cell r="AM57">
            <v>60677.122325698292</v>
          </cell>
        </row>
        <row r="58">
          <cell r="C58">
            <v>25849.594071187665</v>
          </cell>
          <cell r="D58">
            <v>274334.23300000001</v>
          </cell>
          <cell r="E58">
            <v>1616</v>
          </cell>
          <cell r="F58">
            <v>20582.537282271947</v>
          </cell>
          <cell r="G58">
            <v>217828.606</v>
          </cell>
          <cell r="H58">
            <v>1610</v>
          </cell>
          <cell r="I58">
            <v>16206.689793497879</v>
          </cell>
          <cell r="J58">
            <v>171846.84</v>
          </cell>
          <cell r="K58">
            <v>1610</v>
          </cell>
          <cell r="L58">
            <v>10494.106861507407</v>
          </cell>
          <cell r="M58">
            <v>111486.891</v>
          </cell>
          <cell r="N58">
            <v>1606</v>
          </cell>
          <cell r="O58">
            <v>7811.24825067458</v>
          </cell>
          <cell r="P58">
            <v>83035.584000000003</v>
          </cell>
          <cell r="Q58">
            <v>1607</v>
          </cell>
          <cell r="R58">
            <v>3949.0099906671262</v>
          </cell>
          <cell r="S58">
            <v>41950.665000000001</v>
          </cell>
          <cell r="T58">
            <v>1602</v>
          </cell>
          <cell r="U58">
            <v>3412.2126007520455</v>
          </cell>
          <cell r="V58">
            <v>36073.891000000003</v>
          </cell>
          <cell r="W58">
            <v>1604</v>
          </cell>
          <cell r="X58">
            <v>3634.5853455480155</v>
          </cell>
          <cell r="Y58">
            <v>38765.588000000003</v>
          </cell>
          <cell r="Z58">
            <v>1604</v>
          </cell>
          <cell r="AA58">
            <v>5111.3630018527747</v>
          </cell>
          <cell r="AB58">
            <v>54424.953000000001</v>
          </cell>
          <cell r="AC58">
            <v>1609</v>
          </cell>
          <cell r="AD58">
            <v>10848.14447153762</v>
          </cell>
          <cell r="AE58">
            <v>115140.067</v>
          </cell>
          <cell r="AF58">
            <v>1613</v>
          </cell>
          <cell r="AG58">
            <v>16756.002156031958</v>
          </cell>
          <cell r="AH58">
            <v>177688.163</v>
          </cell>
          <cell r="AI58">
            <v>1615</v>
          </cell>
          <cell r="AJ58">
            <v>23769.854010564122</v>
          </cell>
          <cell r="AK58">
            <v>251488.005</v>
          </cell>
          <cell r="AL58">
            <v>1616</v>
          </cell>
          <cell r="AM58">
            <v>46432.131353459612</v>
          </cell>
        </row>
        <row r="59">
          <cell r="C59">
            <v>31565.510739700112</v>
          </cell>
          <cell r="D59">
            <v>334995.59622411622</v>
          </cell>
          <cell r="E59">
            <v>39251</v>
          </cell>
          <cell r="F59">
            <v>25363.647751457011</v>
          </cell>
          <cell r="G59">
            <v>268427.93757665722</v>
          </cell>
          <cell r="H59">
            <v>39290</v>
          </cell>
          <cell r="I59">
            <v>19264.781608944377</v>
          </cell>
          <cell r="J59">
            <v>204273.16651148687</v>
          </cell>
          <cell r="K59">
            <v>39249</v>
          </cell>
          <cell r="L59">
            <v>10701.936201310245</v>
          </cell>
          <cell r="M59">
            <v>113694.82038922605</v>
          </cell>
          <cell r="N59">
            <v>39186</v>
          </cell>
          <cell r="O59">
            <v>7783.5406253971087</v>
          </cell>
          <cell r="P59">
            <v>82741.044795466427</v>
          </cell>
          <cell r="Q59">
            <v>39128</v>
          </cell>
          <cell r="R59">
            <v>2996.8772072388497</v>
          </cell>
          <cell r="S59">
            <v>31836.078425766125</v>
          </cell>
          <cell r="T59">
            <v>39027</v>
          </cell>
          <cell r="U59">
            <v>2322.3788446912545</v>
          </cell>
          <cell r="V59">
            <v>24552.175115241618</v>
          </cell>
          <cell r="W59">
            <v>38979</v>
          </cell>
          <cell r="X59">
            <v>2626.4834685298424</v>
          </cell>
          <cell r="Y59">
            <v>28013.422811643195</v>
          </cell>
          <cell r="Z59">
            <v>38796</v>
          </cell>
          <cell r="AA59">
            <v>4656.4311825987852</v>
          </cell>
          <cell r="AB59">
            <v>49580.913773647277</v>
          </cell>
          <cell r="AC59">
            <v>38818</v>
          </cell>
          <cell r="AD59">
            <v>11620.720616930566</v>
          </cell>
          <cell r="AE59">
            <v>123340.45001816805</v>
          </cell>
          <cell r="AF59">
            <v>38776</v>
          </cell>
          <cell r="AG59">
            <v>20290.830859399743</v>
          </cell>
          <cell r="AH59">
            <v>215173.07216701075</v>
          </cell>
          <cell r="AI59">
            <v>38933</v>
          </cell>
          <cell r="AJ59">
            <v>29505.080398852268</v>
          </cell>
          <cell r="AK59">
            <v>312167.41186438024</v>
          </cell>
          <cell r="AL59">
            <v>39251</v>
          </cell>
          <cell r="AM59">
            <v>56929.158491157126</v>
          </cell>
        </row>
        <row r="60">
          <cell r="C60">
            <v>47204.503147069743</v>
          </cell>
          <cell r="D60">
            <v>500967.67977612128</v>
          </cell>
          <cell r="E60">
            <v>393492</v>
          </cell>
          <cell r="F60">
            <v>37524.606325632754</v>
          </cell>
          <cell r="G60">
            <v>397129.49742360949</v>
          </cell>
          <cell r="H60">
            <v>393223</v>
          </cell>
          <cell r="I60">
            <v>29156.569164441473</v>
          </cell>
          <cell r="J60">
            <v>309160.25048871519</v>
          </cell>
          <cell r="K60">
            <v>393057</v>
          </cell>
          <cell r="L60">
            <v>16935.288833341911</v>
          </cell>
          <cell r="M60">
            <v>179916.47361070412</v>
          </cell>
          <cell r="N60">
            <v>392800</v>
          </cell>
          <cell r="O60">
            <v>13323.466989903221</v>
          </cell>
          <cell r="P60">
            <v>141631.89120455799</v>
          </cell>
          <cell r="Q60">
            <v>392635</v>
          </cell>
          <cell r="R60">
            <v>6031.5684493434501</v>
          </cell>
          <cell r="S60">
            <v>64073.858521748436</v>
          </cell>
          <cell r="T60">
            <v>392230</v>
          </cell>
          <cell r="U60">
            <v>4842.509945247306</v>
          </cell>
          <cell r="V60">
            <v>51194.985884750073</v>
          </cell>
          <cell r="W60">
            <v>391995</v>
          </cell>
          <cell r="X60">
            <v>5460.7564118143509</v>
          </cell>
          <cell r="Y60">
            <v>58243.076748232292</v>
          </cell>
          <cell r="Z60">
            <v>391286</v>
          </cell>
          <cell r="AA60">
            <v>7513.2725125625439</v>
          </cell>
          <cell r="AB60">
            <v>80000.090626352743</v>
          </cell>
          <cell r="AC60">
            <v>390485</v>
          </cell>
          <cell r="AD60">
            <v>18360.274945401692</v>
          </cell>
          <cell r="AE60">
            <v>194872.99014174991</v>
          </cell>
          <cell r="AF60">
            <v>390439</v>
          </cell>
          <cell r="AG60">
            <v>30836.056572194291</v>
          </cell>
          <cell r="AH60">
            <v>326999.37583290617</v>
          </cell>
          <cell r="AI60">
            <v>390479</v>
          </cell>
          <cell r="AJ60">
            <v>43493.923856236535</v>
          </cell>
          <cell r="AK60">
            <v>460171.11149969744</v>
          </cell>
          <cell r="AL60">
            <v>393492</v>
          </cell>
          <cell r="AM60">
            <v>84729.10947270249</v>
          </cell>
        </row>
        <row r="63">
          <cell r="C63">
            <v>55116.069000000003</v>
          </cell>
          <cell r="D63">
            <v>587339.54421900003</v>
          </cell>
          <cell r="E63">
            <v>177</v>
          </cell>
          <cell r="F63">
            <v>46141.663999999997</v>
          </cell>
          <cell r="G63">
            <v>490902.04020800005</v>
          </cell>
          <cell r="H63">
            <v>178</v>
          </cell>
          <cell r="I63">
            <v>45776.023999999998</v>
          </cell>
          <cell r="J63">
            <v>486367.08316600014</v>
          </cell>
          <cell r="K63">
            <v>178</v>
          </cell>
          <cell r="L63">
            <v>39532.550999999999</v>
          </cell>
          <cell r="M63">
            <v>420424.64735500014</v>
          </cell>
          <cell r="N63">
            <v>178</v>
          </cell>
          <cell r="O63">
            <v>37962.873999999996</v>
          </cell>
          <cell r="P63">
            <v>403997.50975799985</v>
          </cell>
          <cell r="Q63">
            <v>179</v>
          </cell>
          <cell r="R63">
            <v>34338.976000000002</v>
          </cell>
          <cell r="S63">
            <v>365611.58886299987</v>
          </cell>
          <cell r="T63">
            <v>180</v>
          </cell>
          <cell r="U63">
            <v>36768.795999999995</v>
          </cell>
          <cell r="V63">
            <v>389677.46962600003</v>
          </cell>
          <cell r="W63">
            <v>180</v>
          </cell>
          <cell r="X63">
            <v>35973.046000000002</v>
          </cell>
          <cell r="Y63">
            <v>383862.71981899987</v>
          </cell>
          <cell r="Z63">
            <v>180</v>
          </cell>
          <cell r="AA63">
            <v>43476.404999999999</v>
          </cell>
          <cell r="AB63">
            <v>463115.60063</v>
          </cell>
          <cell r="AC63">
            <v>180</v>
          </cell>
          <cell r="AD63">
            <v>52181.761999999995</v>
          </cell>
          <cell r="AE63">
            <v>554551.59908699989</v>
          </cell>
          <cell r="AF63">
            <v>180</v>
          </cell>
          <cell r="AG63">
            <v>52513.896000000001</v>
          </cell>
          <cell r="AH63">
            <v>557935.36674199987</v>
          </cell>
          <cell r="AI63">
            <v>183</v>
          </cell>
          <cell r="AJ63">
            <v>54843.11</v>
          </cell>
          <cell r="AK63">
            <v>582217.89887500007</v>
          </cell>
          <cell r="AL63">
            <v>177</v>
          </cell>
          <cell r="AM63">
            <v>101257.73300000001</v>
          </cell>
        </row>
        <row r="64">
          <cell r="C64">
            <v>11205.8</v>
          </cell>
          <cell r="D64">
            <v>119429.89590899994</v>
          </cell>
          <cell r="E64">
            <v>671</v>
          </cell>
          <cell r="F64">
            <v>9311.4</v>
          </cell>
          <cell r="G64">
            <v>99059.76145599992</v>
          </cell>
          <cell r="H64">
            <v>647</v>
          </cell>
          <cell r="I64">
            <v>7405.9</v>
          </cell>
          <cell r="J64">
            <v>78689.37342900013</v>
          </cell>
          <cell r="K64">
            <v>646</v>
          </cell>
          <cell r="L64">
            <v>4948</v>
          </cell>
          <cell r="M64">
            <v>52623.420029999994</v>
          </cell>
          <cell r="N64">
            <v>646</v>
          </cell>
          <cell r="O64">
            <v>3822.8</v>
          </cell>
          <cell r="P64">
            <v>40683.833562999993</v>
          </cell>
          <cell r="Q64">
            <v>646</v>
          </cell>
          <cell r="R64">
            <v>2650.2</v>
          </cell>
          <cell r="S64">
            <v>28219.789007000025</v>
          </cell>
          <cell r="T64">
            <v>648</v>
          </cell>
          <cell r="U64">
            <v>2887.9</v>
          </cell>
          <cell r="V64">
            <v>30606.883000999998</v>
          </cell>
          <cell r="W64">
            <v>645</v>
          </cell>
          <cell r="X64">
            <v>3264.1</v>
          </cell>
          <cell r="Y64">
            <v>34833.323407000011</v>
          </cell>
          <cell r="Z64">
            <v>644</v>
          </cell>
          <cell r="AA64">
            <v>3591.4</v>
          </cell>
          <cell r="AB64">
            <v>38256.570177999965</v>
          </cell>
          <cell r="AC64">
            <v>643</v>
          </cell>
          <cell r="AD64">
            <v>6351.5</v>
          </cell>
          <cell r="AE64">
            <v>67502.831455999985</v>
          </cell>
          <cell r="AF64">
            <v>645</v>
          </cell>
          <cell r="AG64">
            <v>9094.4</v>
          </cell>
          <cell r="AH64">
            <v>96629.934030999924</v>
          </cell>
          <cell r="AI64">
            <v>647</v>
          </cell>
          <cell r="AJ64">
            <v>10137</v>
          </cell>
          <cell r="AK64">
            <v>107632.06214799994</v>
          </cell>
          <cell r="AL64">
            <v>671</v>
          </cell>
          <cell r="AM64">
            <v>20517.199999999997</v>
          </cell>
        </row>
        <row r="65">
          <cell r="C65">
            <v>17686.2</v>
          </cell>
          <cell r="D65">
            <v>188497.3</v>
          </cell>
          <cell r="E65">
            <v>17832</v>
          </cell>
          <cell r="F65">
            <v>14448.5</v>
          </cell>
          <cell r="G65">
            <v>153712</v>
          </cell>
          <cell r="H65">
            <v>17819</v>
          </cell>
          <cell r="I65">
            <v>10643.8</v>
          </cell>
          <cell r="J65">
            <v>113092.5</v>
          </cell>
          <cell r="K65">
            <v>17793</v>
          </cell>
          <cell r="L65">
            <v>6034.9</v>
          </cell>
          <cell r="M65">
            <v>64183</v>
          </cell>
          <cell r="N65">
            <v>17776</v>
          </cell>
          <cell r="O65">
            <v>4036</v>
          </cell>
          <cell r="P65">
            <v>42953</v>
          </cell>
          <cell r="Q65">
            <v>17759</v>
          </cell>
          <cell r="R65">
            <v>1630.2</v>
          </cell>
          <cell r="S65">
            <v>17358.400000000001</v>
          </cell>
          <cell r="T65">
            <v>17744</v>
          </cell>
          <cell r="U65">
            <v>1375.9</v>
          </cell>
          <cell r="V65">
            <v>14581.9</v>
          </cell>
          <cell r="W65">
            <v>17725</v>
          </cell>
          <cell r="X65">
            <v>1743.7</v>
          </cell>
          <cell r="Y65">
            <v>18608.599999999999</v>
          </cell>
          <cell r="Z65">
            <v>17747</v>
          </cell>
          <cell r="AA65">
            <v>2443.6999999999998</v>
          </cell>
          <cell r="AB65">
            <v>26031.5</v>
          </cell>
          <cell r="AC65">
            <v>17770</v>
          </cell>
          <cell r="AD65">
            <v>6443</v>
          </cell>
          <cell r="AE65">
            <v>68474.899999999994</v>
          </cell>
          <cell r="AF65">
            <v>17771</v>
          </cell>
          <cell r="AG65">
            <v>10882.9</v>
          </cell>
          <cell r="AH65">
            <v>115633.7</v>
          </cell>
          <cell r="AI65">
            <v>17841</v>
          </cell>
          <cell r="AJ65">
            <v>16029.4</v>
          </cell>
          <cell r="AK65">
            <v>170196</v>
          </cell>
          <cell r="AL65">
            <v>17832</v>
          </cell>
          <cell r="AM65">
            <v>32134.7</v>
          </cell>
        </row>
        <row r="66">
          <cell r="C66">
            <v>43663.9</v>
          </cell>
          <cell r="D66">
            <v>465364.5</v>
          </cell>
          <cell r="E66">
            <v>233600</v>
          </cell>
          <cell r="F66">
            <v>35670.699999999997</v>
          </cell>
          <cell r="G66">
            <v>379486.1</v>
          </cell>
          <cell r="H66">
            <v>233457</v>
          </cell>
          <cell r="I66">
            <v>26277.599999999999</v>
          </cell>
          <cell r="J66">
            <v>279204.3</v>
          </cell>
          <cell r="K66">
            <v>233351</v>
          </cell>
          <cell r="L66">
            <v>14899</v>
          </cell>
          <cell r="M66">
            <v>158455.9</v>
          </cell>
          <cell r="N66">
            <v>233196</v>
          </cell>
          <cell r="O66">
            <v>9964.2000000000007</v>
          </cell>
          <cell r="P66">
            <v>106042.8</v>
          </cell>
          <cell r="Q66">
            <v>233083</v>
          </cell>
          <cell r="R66">
            <v>4024.6</v>
          </cell>
          <cell r="S66">
            <v>42854.7</v>
          </cell>
          <cell r="T66">
            <v>232921</v>
          </cell>
          <cell r="U66">
            <v>3396.8</v>
          </cell>
          <cell r="V66">
            <v>36000</v>
          </cell>
          <cell r="W66">
            <v>232837</v>
          </cell>
          <cell r="X66">
            <v>4305</v>
          </cell>
          <cell r="Y66">
            <v>45941.2</v>
          </cell>
          <cell r="Z66">
            <v>232877</v>
          </cell>
          <cell r="AA66">
            <v>6033.1</v>
          </cell>
          <cell r="AB66">
            <v>64266.9</v>
          </cell>
          <cell r="AC66">
            <v>232966</v>
          </cell>
          <cell r="AD66">
            <v>15906.6</v>
          </cell>
          <cell r="AE66">
            <v>169051.7</v>
          </cell>
          <cell r="AF66">
            <v>232966</v>
          </cell>
          <cell r="AG66">
            <v>26867.9</v>
          </cell>
          <cell r="AH66">
            <v>285478</v>
          </cell>
          <cell r="AI66">
            <v>233231</v>
          </cell>
          <cell r="AJ66">
            <v>39573.599999999999</v>
          </cell>
          <cell r="AK66">
            <v>420182.2</v>
          </cell>
          <cell r="AL66">
            <v>233600</v>
          </cell>
          <cell r="AM66">
            <v>79334.600000000006</v>
          </cell>
        </row>
        <row r="69">
          <cell r="C69">
            <v>48751.791000000005</v>
          </cell>
          <cell r="D69">
            <v>519582.19904099999</v>
          </cell>
          <cell r="E69">
            <v>132</v>
          </cell>
          <cell r="F69">
            <v>47989.556000000004</v>
          </cell>
          <cell r="G69">
            <v>510399.0770990001</v>
          </cell>
          <cell r="H69">
            <v>132</v>
          </cell>
          <cell r="I69">
            <v>55434.73</v>
          </cell>
          <cell r="J69">
            <v>588857.91222800012</v>
          </cell>
          <cell r="K69">
            <v>132</v>
          </cell>
          <cell r="L69">
            <v>55602.182000000001</v>
          </cell>
          <cell r="M69">
            <v>591307.9021849999</v>
          </cell>
          <cell r="N69">
            <v>132</v>
          </cell>
          <cell r="O69">
            <v>45722.9</v>
          </cell>
          <cell r="P69">
            <v>486598.96690699994</v>
          </cell>
          <cell r="Q69">
            <v>131</v>
          </cell>
          <cell r="R69">
            <v>43714.659</v>
          </cell>
          <cell r="S69">
            <v>465476.72272299964</v>
          </cell>
          <cell r="T69">
            <v>131</v>
          </cell>
          <cell r="U69">
            <v>51890.563999999998</v>
          </cell>
          <cell r="V69">
            <v>549942.7451950002</v>
          </cell>
          <cell r="W69">
            <v>131</v>
          </cell>
          <cell r="X69">
            <v>43526.064999999995</v>
          </cell>
          <cell r="Y69">
            <v>464468.63464000018</v>
          </cell>
          <cell r="Z69">
            <v>130</v>
          </cell>
          <cell r="AA69">
            <v>43423.976999999999</v>
          </cell>
          <cell r="AB69">
            <v>462618.61491599999</v>
          </cell>
          <cell r="AC69">
            <v>129</v>
          </cell>
          <cell r="AD69">
            <v>41279.460999999996</v>
          </cell>
          <cell r="AE69">
            <v>438710.26547099993</v>
          </cell>
          <cell r="AF69">
            <v>129</v>
          </cell>
          <cell r="AG69">
            <v>47807.224999999999</v>
          </cell>
          <cell r="AH69">
            <v>507951.22194100003</v>
          </cell>
          <cell r="AI69">
            <v>129</v>
          </cell>
          <cell r="AJ69">
            <v>46878.127</v>
          </cell>
          <cell r="AK69">
            <v>497739.4790900001</v>
          </cell>
          <cell r="AL69">
            <v>132</v>
          </cell>
          <cell r="AM69">
            <v>96741.347000000009</v>
          </cell>
        </row>
        <row r="70">
          <cell r="C70">
            <v>5883.2</v>
          </cell>
          <cell r="D70">
            <v>62702.622239000018</v>
          </cell>
          <cell r="E70">
            <v>352</v>
          </cell>
          <cell r="F70">
            <v>4851.6000000000004</v>
          </cell>
          <cell r="G70">
            <v>51613.917480000026</v>
          </cell>
          <cell r="H70">
            <v>345</v>
          </cell>
          <cell r="I70">
            <v>3740.9</v>
          </cell>
          <cell r="J70">
            <v>39747.433546000015</v>
          </cell>
          <cell r="K70">
            <v>343</v>
          </cell>
          <cell r="L70">
            <v>2616.4</v>
          </cell>
          <cell r="M70">
            <v>27826.418201000011</v>
          </cell>
          <cell r="N70">
            <v>343</v>
          </cell>
          <cell r="O70">
            <v>2163.6</v>
          </cell>
          <cell r="P70">
            <v>23025.272935000005</v>
          </cell>
          <cell r="Q70">
            <v>343</v>
          </cell>
          <cell r="R70">
            <v>1448.8</v>
          </cell>
          <cell r="S70">
            <v>15426.971869999996</v>
          </cell>
          <cell r="T70">
            <v>344</v>
          </cell>
          <cell r="U70">
            <v>1322.3</v>
          </cell>
          <cell r="V70">
            <v>14014.258867000006</v>
          </cell>
          <cell r="W70">
            <v>349</v>
          </cell>
          <cell r="X70">
            <v>1666.2</v>
          </cell>
          <cell r="Y70">
            <v>17780.578048000003</v>
          </cell>
          <cell r="Z70">
            <v>349</v>
          </cell>
          <cell r="AA70">
            <v>2008.6</v>
          </cell>
          <cell r="AB70">
            <v>21396.619296000001</v>
          </cell>
          <cell r="AC70">
            <v>346</v>
          </cell>
          <cell r="AD70">
            <v>2939.7</v>
          </cell>
          <cell r="AE70">
            <v>31242.355923999985</v>
          </cell>
          <cell r="AF70">
            <v>344</v>
          </cell>
          <cell r="AG70">
            <v>4186.8999999999996</v>
          </cell>
          <cell r="AH70">
            <v>44487.137811999994</v>
          </cell>
          <cell r="AI70">
            <v>343</v>
          </cell>
          <cell r="AJ70">
            <v>5100.8999999999996</v>
          </cell>
          <cell r="AK70">
            <v>54160.362173000038</v>
          </cell>
          <cell r="AL70">
            <v>352</v>
          </cell>
          <cell r="AM70">
            <v>10734.8</v>
          </cell>
        </row>
        <row r="71">
          <cell r="C71">
            <v>10296.5</v>
          </cell>
          <cell r="D71">
            <v>109738.7</v>
          </cell>
          <cell r="E71">
            <v>12274</v>
          </cell>
          <cell r="F71">
            <v>8411.6</v>
          </cell>
          <cell r="G71">
            <v>89487.5</v>
          </cell>
          <cell r="H71">
            <v>12265</v>
          </cell>
          <cell r="I71">
            <v>6196.6</v>
          </cell>
          <cell r="J71">
            <v>65839.8</v>
          </cell>
          <cell r="K71">
            <v>12247</v>
          </cell>
          <cell r="L71">
            <v>3513.4</v>
          </cell>
          <cell r="M71">
            <v>37365.800000000003</v>
          </cell>
          <cell r="N71">
            <v>12236</v>
          </cell>
          <cell r="O71">
            <v>2349.6999999999998</v>
          </cell>
          <cell r="P71">
            <v>25006.2</v>
          </cell>
          <cell r="Q71">
            <v>12224</v>
          </cell>
          <cell r="R71">
            <v>949.1</v>
          </cell>
          <cell r="S71">
            <v>10105.700000000001</v>
          </cell>
          <cell r="T71">
            <v>12213</v>
          </cell>
          <cell r="U71">
            <v>801</v>
          </cell>
          <cell r="V71">
            <v>8489.2000000000007</v>
          </cell>
          <cell r="W71">
            <v>12200</v>
          </cell>
          <cell r="X71">
            <v>1015.2</v>
          </cell>
          <cell r="Y71">
            <v>10833.5</v>
          </cell>
          <cell r="Z71">
            <v>12216</v>
          </cell>
          <cell r="AA71">
            <v>1422.7</v>
          </cell>
          <cell r="AB71">
            <v>15154.9</v>
          </cell>
          <cell r="AC71">
            <v>12231</v>
          </cell>
          <cell r="AD71">
            <v>3751</v>
          </cell>
          <cell r="AE71">
            <v>39864.5</v>
          </cell>
          <cell r="AF71">
            <v>12232</v>
          </cell>
          <cell r="AG71">
            <v>6335.8</v>
          </cell>
          <cell r="AH71">
            <v>67319.199999999997</v>
          </cell>
          <cell r="AI71">
            <v>12280</v>
          </cell>
          <cell r="AJ71">
            <v>9331.9</v>
          </cell>
          <cell r="AK71">
            <v>99084.1</v>
          </cell>
          <cell r="AL71">
            <v>12274</v>
          </cell>
          <cell r="AM71">
            <v>18708.099999999999</v>
          </cell>
        </row>
        <row r="72">
          <cell r="C72">
            <v>23003.1</v>
          </cell>
          <cell r="D72">
            <v>245164.79999999999</v>
          </cell>
          <cell r="E72">
            <v>215893</v>
          </cell>
          <cell r="F72">
            <v>18792.2</v>
          </cell>
          <cell r="G72">
            <v>199922.1</v>
          </cell>
          <cell r="H72">
            <v>215761</v>
          </cell>
          <cell r="I72">
            <v>13843.7</v>
          </cell>
          <cell r="J72">
            <v>147091.29999999999</v>
          </cell>
          <cell r="K72">
            <v>215663</v>
          </cell>
          <cell r="L72">
            <v>7849.1</v>
          </cell>
          <cell r="M72">
            <v>83478.2</v>
          </cell>
          <cell r="N72">
            <v>215520</v>
          </cell>
          <cell r="O72">
            <v>5249.4</v>
          </cell>
          <cell r="P72">
            <v>55865.8</v>
          </cell>
          <cell r="Q72">
            <v>215415</v>
          </cell>
          <cell r="R72">
            <v>2120.3000000000002</v>
          </cell>
          <cell r="S72">
            <v>22576.9</v>
          </cell>
          <cell r="T72">
            <v>215265</v>
          </cell>
          <cell r="U72">
            <v>1789.5</v>
          </cell>
          <cell r="V72">
            <v>18965.599999999999</v>
          </cell>
          <cell r="W72">
            <v>215188</v>
          </cell>
          <cell r="X72">
            <v>2268</v>
          </cell>
          <cell r="Y72">
            <v>24202.9</v>
          </cell>
          <cell r="Z72">
            <v>215225</v>
          </cell>
          <cell r="AA72">
            <v>3178.4</v>
          </cell>
          <cell r="AB72">
            <v>33857.300000000003</v>
          </cell>
          <cell r="AC72">
            <v>215307</v>
          </cell>
          <cell r="AD72">
            <v>8379.9</v>
          </cell>
          <cell r="AE72">
            <v>89060.4</v>
          </cell>
          <cell r="AF72">
            <v>215307</v>
          </cell>
          <cell r="AG72">
            <v>14154.6</v>
          </cell>
          <cell r="AH72">
            <v>150396.4</v>
          </cell>
          <cell r="AI72">
            <v>215552</v>
          </cell>
          <cell r="AJ72">
            <v>20848.3</v>
          </cell>
          <cell r="AK72">
            <v>221361.7</v>
          </cell>
          <cell r="AL72">
            <v>215893</v>
          </cell>
          <cell r="AM72">
            <v>41795.300000000003</v>
          </cell>
        </row>
        <row r="75">
          <cell r="C75">
            <v>16251.321</v>
          </cell>
          <cell r="D75">
            <v>173217.72960999989</v>
          </cell>
          <cell r="E75">
            <v>102</v>
          </cell>
          <cell r="F75">
            <v>14294.325000000001</v>
          </cell>
          <cell r="G75">
            <v>152103.67914299999</v>
          </cell>
          <cell r="H75">
            <v>102</v>
          </cell>
          <cell r="I75">
            <v>13954.225</v>
          </cell>
          <cell r="J75">
            <v>148230.50021699996</v>
          </cell>
          <cell r="K75">
            <v>101</v>
          </cell>
          <cell r="L75">
            <v>11732.832</v>
          </cell>
          <cell r="M75">
            <v>124777.62279199999</v>
          </cell>
          <cell r="N75">
            <v>101</v>
          </cell>
          <cell r="O75">
            <v>10398.246999999999</v>
          </cell>
          <cell r="P75">
            <v>110651.06959400002</v>
          </cell>
          <cell r="Q75">
            <v>99</v>
          </cell>
          <cell r="R75">
            <v>9074.39</v>
          </cell>
          <cell r="S75">
            <v>96602.644022999943</v>
          </cell>
          <cell r="T75">
            <v>99</v>
          </cell>
          <cell r="U75">
            <v>8517.1360000000004</v>
          </cell>
          <cell r="V75">
            <v>90282.149538999976</v>
          </cell>
          <cell r="W75">
            <v>99</v>
          </cell>
          <cell r="X75">
            <v>8844.9490000000005</v>
          </cell>
          <cell r="Y75">
            <v>94367.153898000062</v>
          </cell>
          <cell r="Z75">
            <v>99</v>
          </cell>
          <cell r="AA75">
            <v>9959.6230000000014</v>
          </cell>
          <cell r="AB75">
            <v>106086.38316999999</v>
          </cell>
          <cell r="AC75">
            <v>99</v>
          </cell>
          <cell r="AD75">
            <v>11008.212</v>
          </cell>
          <cell r="AE75">
            <v>116974.04295200003</v>
          </cell>
          <cell r="AF75">
            <v>99</v>
          </cell>
          <cell r="AG75">
            <v>11770.228000000001</v>
          </cell>
          <cell r="AH75">
            <v>125036.88777100002</v>
          </cell>
          <cell r="AI75">
            <v>98</v>
          </cell>
          <cell r="AJ75">
            <v>12422.321</v>
          </cell>
          <cell r="AK75">
            <v>131873.24473099996</v>
          </cell>
          <cell r="AL75">
            <v>102</v>
          </cell>
          <cell r="AM75">
            <v>30545.646000000001</v>
          </cell>
        </row>
        <row r="76">
          <cell r="C76">
            <v>5517.9629999999997</v>
          </cell>
          <cell r="D76">
            <v>58814.129697000055</v>
          </cell>
          <cell r="E76">
            <v>365</v>
          </cell>
          <cell r="F76">
            <v>4376.3940000000002</v>
          </cell>
          <cell r="G76">
            <v>46566.710988000006</v>
          </cell>
          <cell r="H76">
            <v>356</v>
          </cell>
          <cell r="I76">
            <v>3514.694</v>
          </cell>
          <cell r="J76">
            <v>37334.496984000012</v>
          </cell>
          <cell r="K76">
            <v>343</v>
          </cell>
          <cell r="L76">
            <v>2569.0279999999998</v>
          </cell>
          <cell r="M76">
            <v>27321.049720999996</v>
          </cell>
          <cell r="N76">
            <v>342</v>
          </cell>
          <cell r="O76">
            <v>2030.115</v>
          </cell>
          <cell r="P76">
            <v>21602.293146</v>
          </cell>
          <cell r="Q76">
            <v>345</v>
          </cell>
          <cell r="R76">
            <v>1421.6860000000001</v>
          </cell>
          <cell r="S76">
            <v>15132.344330000002</v>
          </cell>
          <cell r="T76">
            <v>346</v>
          </cell>
          <cell r="U76">
            <v>1376.316</v>
          </cell>
          <cell r="V76">
            <v>14590.637694000001</v>
          </cell>
          <cell r="W76">
            <v>347</v>
          </cell>
          <cell r="X76">
            <v>1778.0450000000001</v>
          </cell>
          <cell r="Y76">
            <v>18968.097962999997</v>
          </cell>
          <cell r="Z76">
            <v>347</v>
          </cell>
          <cell r="AA76">
            <v>2026.087</v>
          </cell>
          <cell r="AB76">
            <v>21580.112625000016</v>
          </cell>
          <cell r="AC76">
            <v>352</v>
          </cell>
          <cell r="AD76">
            <v>3201.1970000000001</v>
          </cell>
          <cell r="AE76">
            <v>34013.783054</v>
          </cell>
          <cell r="AF76">
            <v>350</v>
          </cell>
          <cell r="AG76">
            <v>4002.4949999999999</v>
          </cell>
          <cell r="AH76">
            <v>42519.278268000016</v>
          </cell>
          <cell r="AI76">
            <v>350</v>
          </cell>
          <cell r="AJ76">
            <v>4801.7629999999999</v>
          </cell>
          <cell r="AK76">
            <v>50976.333376000017</v>
          </cell>
          <cell r="AL76">
            <v>365</v>
          </cell>
          <cell r="AM76">
            <v>9894.357</v>
          </cell>
        </row>
        <row r="77">
          <cell r="C77">
            <v>9777.3154799999993</v>
          </cell>
          <cell r="D77">
            <v>104213.28818</v>
          </cell>
          <cell r="E77">
            <v>10216</v>
          </cell>
          <cell r="F77">
            <v>8211.1623199999995</v>
          </cell>
          <cell r="G77">
            <v>87381.958568000002</v>
          </cell>
          <cell r="H77">
            <v>10210</v>
          </cell>
          <cell r="I77">
            <v>6284.7664999999997</v>
          </cell>
          <cell r="J77">
            <v>66745.136299999998</v>
          </cell>
          <cell r="K77">
            <v>10208</v>
          </cell>
          <cell r="L77">
            <v>3672.430852</v>
          </cell>
          <cell r="M77">
            <v>39053.795407999998</v>
          </cell>
          <cell r="N77">
            <v>10200</v>
          </cell>
          <cell r="O77">
            <v>2520.089892</v>
          </cell>
          <cell r="P77">
            <v>26812.987413999999</v>
          </cell>
          <cell r="Q77">
            <v>10191</v>
          </cell>
          <cell r="R77">
            <v>1042.310236</v>
          </cell>
          <cell r="S77">
            <v>11092.294972</v>
          </cell>
          <cell r="T77">
            <v>10183</v>
          </cell>
          <cell r="U77">
            <v>925.13057600000002</v>
          </cell>
          <cell r="V77">
            <v>9809.1245960000015</v>
          </cell>
          <cell r="W77">
            <v>10173</v>
          </cell>
          <cell r="X77">
            <v>1101.348504</v>
          </cell>
          <cell r="Y77">
            <v>11745.959416000002</v>
          </cell>
          <cell r="Z77">
            <v>10186</v>
          </cell>
          <cell r="AA77">
            <v>1429.3637940000001</v>
          </cell>
          <cell r="AB77">
            <v>15224.702034</v>
          </cell>
          <cell r="AC77">
            <v>10198</v>
          </cell>
          <cell r="AD77">
            <v>3534.6940560000003</v>
          </cell>
          <cell r="AE77">
            <v>37558.446877999995</v>
          </cell>
          <cell r="AF77">
            <v>10198</v>
          </cell>
          <cell r="AG77">
            <v>5951.3869619999996</v>
          </cell>
          <cell r="AH77">
            <v>63222.449093000003</v>
          </cell>
          <cell r="AI77">
            <v>10018</v>
          </cell>
          <cell r="AJ77">
            <v>8687.5414799999999</v>
          </cell>
          <cell r="AK77">
            <v>92227.067167999994</v>
          </cell>
          <cell r="AL77">
            <v>10216</v>
          </cell>
          <cell r="AM77">
            <v>17988.477800000001</v>
          </cell>
        </row>
        <row r="78">
          <cell r="C78">
            <v>18476.124519999998</v>
          </cell>
          <cell r="D78">
            <v>196932.50181999998</v>
          </cell>
          <cell r="E78">
            <v>105110</v>
          </cell>
          <cell r="F78">
            <v>15564.89768</v>
          </cell>
          <cell r="G78">
            <v>165644.38543199998</v>
          </cell>
          <cell r="H78">
            <v>105051</v>
          </cell>
          <cell r="I78">
            <v>11669.523499999999</v>
          </cell>
          <cell r="J78">
            <v>123931.9817</v>
          </cell>
          <cell r="K78">
            <v>105010</v>
          </cell>
          <cell r="L78">
            <v>7012.2351480000007</v>
          </cell>
          <cell r="M78">
            <v>74570.668592000002</v>
          </cell>
          <cell r="N78">
            <v>104946</v>
          </cell>
          <cell r="O78">
            <v>4824.4961080000003</v>
          </cell>
          <cell r="P78">
            <v>51330.499585999998</v>
          </cell>
          <cell r="Q78">
            <v>104899</v>
          </cell>
          <cell r="R78">
            <v>2000.1277639999998</v>
          </cell>
          <cell r="S78">
            <v>21284.131028</v>
          </cell>
          <cell r="T78">
            <v>104819</v>
          </cell>
          <cell r="U78">
            <v>1783.7774239999999</v>
          </cell>
          <cell r="V78">
            <v>18913.593403999999</v>
          </cell>
          <cell r="W78">
            <v>104786</v>
          </cell>
          <cell r="X78">
            <v>2110.783496</v>
          </cell>
          <cell r="Y78">
            <v>22511.168583999999</v>
          </cell>
          <cell r="Z78">
            <v>104805</v>
          </cell>
          <cell r="AA78">
            <v>2718.113206</v>
          </cell>
          <cell r="AB78">
            <v>28950.094966000001</v>
          </cell>
          <cell r="AC78">
            <v>104845</v>
          </cell>
          <cell r="AD78">
            <v>6673.5539440000002</v>
          </cell>
          <cell r="AE78">
            <v>70910.052121999994</v>
          </cell>
          <cell r="AF78">
            <v>104846</v>
          </cell>
          <cell r="AG78">
            <v>10997.831038</v>
          </cell>
          <cell r="AH78">
            <v>116832.877907</v>
          </cell>
          <cell r="AI78">
            <v>105400</v>
          </cell>
          <cell r="AJ78">
            <v>16379.19852</v>
          </cell>
          <cell r="AK78">
            <v>173878.776832</v>
          </cell>
          <cell r="AL78">
            <v>105110</v>
          </cell>
          <cell r="AM78">
            <v>34041.022199999999</v>
          </cell>
        </row>
        <row r="81">
          <cell r="C81">
            <v>18570.3</v>
          </cell>
          <cell r="D81">
            <v>197919.96525899996</v>
          </cell>
          <cell r="E81">
            <v>71</v>
          </cell>
          <cell r="F81">
            <v>15289.3</v>
          </cell>
          <cell r="G81">
            <v>162656.72427200002</v>
          </cell>
          <cell r="H81">
            <v>71</v>
          </cell>
          <cell r="I81">
            <v>14843.7</v>
          </cell>
          <cell r="J81">
            <v>157716.34482600004</v>
          </cell>
          <cell r="K81">
            <v>71</v>
          </cell>
          <cell r="L81">
            <v>13232.9</v>
          </cell>
          <cell r="M81">
            <v>140736.40940600002</v>
          </cell>
          <cell r="N81">
            <v>71</v>
          </cell>
          <cell r="O81">
            <v>12966.9</v>
          </cell>
          <cell r="P81">
            <v>137998.650005</v>
          </cell>
          <cell r="Q81">
            <v>70</v>
          </cell>
          <cell r="R81">
            <v>10697.7</v>
          </cell>
          <cell r="S81">
            <v>113909.74179100001</v>
          </cell>
          <cell r="T81">
            <v>70</v>
          </cell>
          <cell r="U81">
            <v>11325.2</v>
          </cell>
          <cell r="V81">
            <v>120027.363379</v>
          </cell>
          <cell r="W81">
            <v>70</v>
          </cell>
          <cell r="X81">
            <v>9417.1</v>
          </cell>
          <cell r="Y81">
            <v>100495.84539300003</v>
          </cell>
          <cell r="Z81">
            <v>70</v>
          </cell>
          <cell r="AA81">
            <v>12024.5</v>
          </cell>
          <cell r="AB81">
            <v>128090.01416600002</v>
          </cell>
          <cell r="AC81">
            <v>71</v>
          </cell>
          <cell r="AD81">
            <v>13907.3</v>
          </cell>
          <cell r="AE81">
            <v>147803.782114</v>
          </cell>
          <cell r="AF81">
            <v>71</v>
          </cell>
          <cell r="AG81">
            <v>13698.9</v>
          </cell>
          <cell r="AH81">
            <v>145553.722144</v>
          </cell>
          <cell r="AI81">
            <v>70</v>
          </cell>
          <cell r="AJ81">
            <v>16958.900000000001</v>
          </cell>
          <cell r="AK81">
            <v>180065.39632600002</v>
          </cell>
          <cell r="AL81">
            <v>71</v>
          </cell>
          <cell r="AM81">
            <v>33859.599999999999</v>
          </cell>
        </row>
        <row r="82">
          <cell r="C82">
            <v>5297.5</v>
          </cell>
          <cell r="D82">
            <v>56460.013422999953</v>
          </cell>
          <cell r="E82">
            <v>371</v>
          </cell>
          <cell r="F82">
            <v>4096.2</v>
          </cell>
          <cell r="G82">
            <v>43577.668522000022</v>
          </cell>
          <cell r="H82">
            <v>364</v>
          </cell>
          <cell r="I82">
            <v>3321.6</v>
          </cell>
          <cell r="J82">
            <v>35292.105297000002</v>
          </cell>
          <cell r="K82">
            <v>366</v>
          </cell>
          <cell r="L82">
            <v>2315.1999999999998</v>
          </cell>
          <cell r="M82">
            <v>24623.130059999978</v>
          </cell>
          <cell r="N82">
            <v>365</v>
          </cell>
          <cell r="O82">
            <v>1715</v>
          </cell>
          <cell r="P82">
            <v>18251.225451000017</v>
          </cell>
          <cell r="Q82">
            <v>366</v>
          </cell>
          <cell r="R82">
            <v>1256.5</v>
          </cell>
          <cell r="S82">
            <v>13379.153174000005</v>
          </cell>
          <cell r="T82">
            <v>363</v>
          </cell>
          <cell r="U82">
            <v>1203.3</v>
          </cell>
          <cell r="V82">
            <v>12752.932921</v>
          </cell>
          <cell r="W82">
            <v>363</v>
          </cell>
          <cell r="X82">
            <v>1360.7</v>
          </cell>
          <cell r="Y82">
            <v>14520.532766999995</v>
          </cell>
          <cell r="Z82">
            <v>359</v>
          </cell>
          <cell r="AA82">
            <v>1525.8</v>
          </cell>
          <cell r="AB82">
            <v>16253.454457000003</v>
          </cell>
          <cell r="AC82">
            <v>360</v>
          </cell>
          <cell r="AD82">
            <v>3238.3</v>
          </cell>
          <cell r="AE82">
            <v>34415.541758999985</v>
          </cell>
          <cell r="AF82">
            <v>359</v>
          </cell>
          <cell r="AG82">
            <v>4110.3</v>
          </cell>
          <cell r="AH82">
            <v>43672.849541000003</v>
          </cell>
          <cell r="AI82">
            <v>360</v>
          </cell>
          <cell r="AJ82">
            <v>4760.6000000000004</v>
          </cell>
          <cell r="AK82">
            <v>50547.307430000015</v>
          </cell>
          <cell r="AL82">
            <v>371</v>
          </cell>
          <cell r="AM82">
            <v>9393.7000000000007</v>
          </cell>
        </row>
        <row r="83">
          <cell r="C83">
            <v>10921.2</v>
          </cell>
          <cell r="D83">
            <v>116396.6</v>
          </cell>
          <cell r="E83">
            <v>10346</v>
          </cell>
          <cell r="F83">
            <v>8921.9</v>
          </cell>
          <cell r="G83">
            <v>94916.800000000003</v>
          </cell>
          <cell r="H83">
            <v>10338</v>
          </cell>
          <cell r="I83">
            <v>6572.5</v>
          </cell>
          <cell r="J83">
            <v>69834.399999999994</v>
          </cell>
          <cell r="K83">
            <v>10323</v>
          </cell>
          <cell r="L83">
            <v>3726.5</v>
          </cell>
          <cell r="M83">
            <v>39632.9</v>
          </cell>
          <cell r="N83">
            <v>10314</v>
          </cell>
          <cell r="O83">
            <v>2492.3000000000002</v>
          </cell>
          <cell r="P83">
            <v>26523.4</v>
          </cell>
          <cell r="Q83">
            <v>10304</v>
          </cell>
          <cell r="R83">
            <v>1006.6</v>
          </cell>
          <cell r="S83">
            <v>10718.8</v>
          </cell>
          <cell r="T83">
            <v>10295</v>
          </cell>
          <cell r="U83">
            <v>849.6</v>
          </cell>
          <cell r="V83">
            <v>9004.2999999999993</v>
          </cell>
          <cell r="W83">
            <v>10284</v>
          </cell>
          <cell r="X83">
            <v>1076.8</v>
          </cell>
          <cell r="Y83">
            <v>11490.8</v>
          </cell>
          <cell r="Z83">
            <v>10297</v>
          </cell>
          <cell r="AA83">
            <v>1509</v>
          </cell>
          <cell r="AB83">
            <v>16074.4</v>
          </cell>
          <cell r="AC83">
            <v>10310</v>
          </cell>
          <cell r="AD83">
            <v>3978.5</v>
          </cell>
          <cell r="AE83">
            <v>42283.1</v>
          </cell>
          <cell r="AF83">
            <v>10311</v>
          </cell>
          <cell r="AG83">
            <v>6720.2</v>
          </cell>
          <cell r="AH83">
            <v>71403.600000000006</v>
          </cell>
          <cell r="AI83">
            <v>10351</v>
          </cell>
          <cell r="AJ83">
            <v>9898.1</v>
          </cell>
          <cell r="AK83">
            <v>105095.7</v>
          </cell>
          <cell r="AL83">
            <v>10346</v>
          </cell>
          <cell r="AM83">
            <v>19843.099999999999</v>
          </cell>
        </row>
        <row r="84">
          <cell r="C84">
            <v>24465.3</v>
          </cell>
          <cell r="D84">
            <v>260748.6</v>
          </cell>
          <cell r="E84">
            <v>148759</v>
          </cell>
          <cell r="F84">
            <v>19986.7</v>
          </cell>
          <cell r="G84">
            <v>212630</v>
          </cell>
          <cell r="H84">
            <v>148668</v>
          </cell>
          <cell r="I84">
            <v>14723.6</v>
          </cell>
          <cell r="J84">
            <v>156441.1</v>
          </cell>
          <cell r="K84">
            <v>148601</v>
          </cell>
          <cell r="L84">
            <v>8348.1</v>
          </cell>
          <cell r="M84">
            <v>88784.5</v>
          </cell>
          <cell r="N84">
            <v>148502</v>
          </cell>
          <cell r="O84">
            <v>5583.1</v>
          </cell>
          <cell r="P84">
            <v>59416.9</v>
          </cell>
          <cell r="Q84">
            <v>148430</v>
          </cell>
          <cell r="R84">
            <v>2255</v>
          </cell>
          <cell r="S84">
            <v>24011.9</v>
          </cell>
          <cell r="T84">
            <v>148326</v>
          </cell>
          <cell r="U84">
            <v>1903.2</v>
          </cell>
          <cell r="V84">
            <v>20171.2</v>
          </cell>
          <cell r="W84">
            <v>148273</v>
          </cell>
          <cell r="X84">
            <v>2412.1</v>
          </cell>
          <cell r="Y84">
            <v>25741.3</v>
          </cell>
          <cell r="Z84">
            <v>148298</v>
          </cell>
          <cell r="AA84">
            <v>3380.4</v>
          </cell>
          <cell r="AB84">
            <v>36009.4</v>
          </cell>
          <cell r="AC84">
            <v>148355</v>
          </cell>
          <cell r="AD84">
            <v>8912.6</v>
          </cell>
          <cell r="AE84">
            <v>94721.4</v>
          </cell>
          <cell r="AF84">
            <v>148355</v>
          </cell>
          <cell r="AG84">
            <v>15054.4</v>
          </cell>
          <cell r="AH84">
            <v>159956.29999999999</v>
          </cell>
          <cell r="AI84">
            <v>148524</v>
          </cell>
          <cell r="AJ84">
            <v>22173.5</v>
          </cell>
          <cell r="AK84">
            <v>235432.4</v>
          </cell>
          <cell r="AL84">
            <v>148759</v>
          </cell>
          <cell r="AM84">
            <v>44452</v>
          </cell>
        </row>
      </sheetData>
      <sheetData sheetId="10">
        <row r="3">
          <cell r="C3">
            <v>33838.361271365633</v>
          </cell>
          <cell r="D3">
            <v>359116.636</v>
          </cell>
          <cell r="E3">
            <v>183</v>
          </cell>
          <cell r="F3">
            <v>26838.761054332659</v>
          </cell>
          <cell r="G3">
            <v>284039.321</v>
          </cell>
          <cell r="H3">
            <v>184</v>
          </cell>
          <cell r="I3">
            <v>22626.186059765547</v>
          </cell>
          <cell r="J3">
            <v>239915.79</v>
          </cell>
          <cell r="K3">
            <v>183</v>
          </cell>
          <cell r="L3">
            <v>16579.175460657189</v>
          </cell>
          <cell r="M3">
            <v>176133.32</v>
          </cell>
          <cell r="N3">
            <v>183</v>
          </cell>
          <cell r="O3">
            <v>13380.628168518007</v>
          </cell>
          <cell r="P3">
            <v>142239.52799999999</v>
          </cell>
          <cell r="Q3">
            <v>183</v>
          </cell>
          <cell r="R3">
            <v>8801.9857644603126</v>
          </cell>
          <cell r="S3">
            <v>93504.231</v>
          </cell>
          <cell r="T3">
            <v>183</v>
          </cell>
          <cell r="U3">
            <v>7922.2030459859388</v>
          </cell>
          <cell r="V3">
            <v>83753.466</v>
          </cell>
          <cell r="W3">
            <v>183</v>
          </cell>
          <cell r="X3">
            <v>8319.8004031901983</v>
          </cell>
          <cell r="Y3">
            <v>88736.974000000002</v>
          </cell>
          <cell r="Z3">
            <v>183</v>
          </cell>
          <cell r="AA3">
            <v>9968.2387832349632</v>
          </cell>
          <cell r="AB3">
            <v>106140.19100000001</v>
          </cell>
          <cell r="AC3">
            <v>183</v>
          </cell>
          <cell r="AD3">
            <v>16631.464458005074</v>
          </cell>
          <cell r="AE3">
            <v>176523.52799999999</v>
          </cell>
          <cell r="AF3">
            <v>183</v>
          </cell>
          <cell r="AG3">
            <v>23368.511047589058</v>
          </cell>
          <cell r="AH3">
            <v>247810.18900000001</v>
          </cell>
          <cell r="AI3">
            <v>184</v>
          </cell>
          <cell r="AJ3">
            <v>30888.292744776238</v>
          </cell>
          <cell r="AK3">
            <v>326801.75400000002</v>
          </cell>
          <cell r="AL3">
            <v>183</v>
          </cell>
          <cell r="AM3">
            <v>60677.122325698292</v>
          </cell>
        </row>
        <row r="4">
          <cell r="C4">
            <v>25849.594071187665</v>
          </cell>
          <cell r="D4">
            <v>274334.23300000001</v>
          </cell>
          <cell r="E4">
            <v>1616</v>
          </cell>
          <cell r="F4">
            <v>20582.537282271947</v>
          </cell>
          <cell r="G4">
            <v>217828.606</v>
          </cell>
          <cell r="H4">
            <v>1610</v>
          </cell>
          <cell r="I4">
            <v>16206.689793497879</v>
          </cell>
          <cell r="J4">
            <v>171846.84</v>
          </cell>
          <cell r="K4">
            <v>1610</v>
          </cell>
          <cell r="L4">
            <v>10494.106861507407</v>
          </cell>
          <cell r="M4">
            <v>111486.891</v>
          </cell>
          <cell r="N4">
            <v>1606</v>
          </cell>
          <cell r="O4">
            <v>7811.24825067458</v>
          </cell>
          <cell r="P4">
            <v>83035.584000000003</v>
          </cell>
          <cell r="Q4">
            <v>1607</v>
          </cell>
          <cell r="R4">
            <v>3949.0099906671262</v>
          </cell>
          <cell r="S4">
            <v>41950.665000000001</v>
          </cell>
          <cell r="T4">
            <v>1602</v>
          </cell>
          <cell r="U4">
            <v>3412.2126007520455</v>
          </cell>
          <cell r="V4">
            <v>36073.891000000003</v>
          </cell>
          <cell r="W4">
            <v>1604</v>
          </cell>
          <cell r="X4">
            <v>3634.5853455480155</v>
          </cell>
          <cell r="Y4">
            <v>38765.588000000003</v>
          </cell>
          <cell r="Z4">
            <v>1604</v>
          </cell>
          <cell r="AA4">
            <v>5111.3630018527747</v>
          </cell>
          <cell r="AB4">
            <v>54424.953000000001</v>
          </cell>
          <cell r="AC4">
            <v>1609</v>
          </cell>
          <cell r="AD4">
            <v>10848.14447153762</v>
          </cell>
          <cell r="AE4">
            <v>115140.067</v>
          </cell>
          <cell r="AF4">
            <v>1613</v>
          </cell>
          <cell r="AG4">
            <v>16756.002156031958</v>
          </cell>
          <cell r="AH4">
            <v>177688.163</v>
          </cell>
          <cell r="AI4">
            <v>1615</v>
          </cell>
          <cell r="AJ4">
            <v>23769.854010564122</v>
          </cell>
          <cell r="AK4">
            <v>251488.005</v>
          </cell>
          <cell r="AL4">
            <v>1616</v>
          </cell>
          <cell r="AM4">
            <v>46432.131353459612</v>
          </cell>
        </row>
        <row r="5">
          <cell r="C5">
            <v>31565.510739700112</v>
          </cell>
          <cell r="D5">
            <v>334995.59622411622</v>
          </cell>
          <cell r="E5">
            <v>39251</v>
          </cell>
          <cell r="F5">
            <v>25363.647751457011</v>
          </cell>
          <cell r="G5">
            <v>268427.93757665722</v>
          </cell>
          <cell r="H5">
            <v>39290</v>
          </cell>
          <cell r="I5">
            <v>19264.781608944377</v>
          </cell>
          <cell r="J5">
            <v>204273.16651148687</v>
          </cell>
          <cell r="K5">
            <v>39249</v>
          </cell>
          <cell r="L5">
            <v>10701.936201310245</v>
          </cell>
          <cell r="M5">
            <v>113694.82038922605</v>
          </cell>
          <cell r="N5">
            <v>39186</v>
          </cell>
          <cell r="O5">
            <v>7783.5406253971087</v>
          </cell>
          <cell r="P5">
            <v>82741.044795466427</v>
          </cell>
          <cell r="Q5">
            <v>39128</v>
          </cell>
          <cell r="R5">
            <v>2996.8772072388497</v>
          </cell>
          <cell r="S5">
            <v>31836.078425766125</v>
          </cell>
          <cell r="T5">
            <v>39027</v>
          </cell>
          <cell r="U5">
            <v>2322.3788446912545</v>
          </cell>
          <cell r="V5">
            <v>24552.175115241618</v>
          </cell>
          <cell r="W5">
            <v>38979</v>
          </cell>
          <cell r="X5">
            <v>2626.4834685298424</v>
          </cell>
          <cell r="Y5">
            <v>28013.422811643195</v>
          </cell>
          <cell r="Z5">
            <v>38796</v>
          </cell>
          <cell r="AA5">
            <v>4656.4311825987852</v>
          </cell>
          <cell r="AB5">
            <v>49580.913773647277</v>
          </cell>
          <cell r="AC5">
            <v>38818</v>
          </cell>
          <cell r="AD5">
            <v>11620.720616930566</v>
          </cell>
          <cell r="AE5">
            <v>123340.45001816805</v>
          </cell>
          <cell r="AF5">
            <v>38776</v>
          </cell>
          <cell r="AG5">
            <v>20290.830859399743</v>
          </cell>
          <cell r="AH5">
            <v>215173.07216701075</v>
          </cell>
          <cell r="AI5">
            <v>38933</v>
          </cell>
          <cell r="AJ5">
            <v>29505.080398852268</v>
          </cell>
          <cell r="AK5">
            <v>312167.41186438024</v>
          </cell>
          <cell r="AL5">
            <v>39251</v>
          </cell>
          <cell r="AM5">
            <v>56929.158491157126</v>
          </cell>
        </row>
        <row r="6">
          <cell r="C6">
            <v>47204.503147069743</v>
          </cell>
          <cell r="D6">
            <v>500967.67977612128</v>
          </cell>
          <cell r="E6">
            <v>393492</v>
          </cell>
          <cell r="F6">
            <v>37524.606325632754</v>
          </cell>
          <cell r="G6">
            <v>397129.49742360949</v>
          </cell>
          <cell r="H6">
            <v>393223</v>
          </cell>
          <cell r="I6">
            <v>29156.569164441473</v>
          </cell>
          <cell r="J6">
            <v>309160.25048871519</v>
          </cell>
          <cell r="K6">
            <v>393057</v>
          </cell>
          <cell r="L6">
            <v>16935.288833341911</v>
          </cell>
          <cell r="M6">
            <v>179916.47361070412</v>
          </cell>
          <cell r="N6">
            <v>392800</v>
          </cell>
          <cell r="O6">
            <v>13323.466989903221</v>
          </cell>
          <cell r="P6">
            <v>141631.89120455799</v>
          </cell>
          <cell r="Q6">
            <v>392635</v>
          </cell>
          <cell r="R6">
            <v>6031.5684493434501</v>
          </cell>
          <cell r="S6">
            <v>64073.858521748436</v>
          </cell>
          <cell r="T6">
            <v>392230</v>
          </cell>
          <cell r="U6">
            <v>4842.509945247306</v>
          </cell>
          <cell r="V6">
            <v>51194.985884750073</v>
          </cell>
          <cell r="W6">
            <v>391995</v>
          </cell>
          <cell r="X6">
            <v>5460.7564118143509</v>
          </cell>
          <cell r="Y6">
            <v>58243.076748232292</v>
          </cell>
          <cell r="Z6">
            <v>391286</v>
          </cell>
          <cell r="AA6">
            <v>7513.2725125625439</v>
          </cell>
          <cell r="AB6">
            <v>80000.090626352743</v>
          </cell>
          <cell r="AC6">
            <v>390485</v>
          </cell>
          <cell r="AD6">
            <v>18360.274945401692</v>
          </cell>
          <cell r="AE6">
            <v>194872.99014174991</v>
          </cell>
          <cell r="AF6">
            <v>390439</v>
          </cell>
          <cell r="AG6">
            <v>30836.056572194291</v>
          </cell>
          <cell r="AH6">
            <v>326999.37583290617</v>
          </cell>
          <cell r="AI6">
            <v>390479</v>
          </cell>
          <cell r="AJ6">
            <v>43493.923856236535</v>
          </cell>
          <cell r="AK6">
            <v>460171.11149969744</v>
          </cell>
          <cell r="AL6">
            <v>393492</v>
          </cell>
          <cell r="AM6">
            <v>84729.10947270249</v>
          </cell>
        </row>
        <row r="7">
          <cell r="C7">
            <v>2920.3337706992279</v>
          </cell>
          <cell r="D7">
            <v>30992.653999999999</v>
          </cell>
          <cell r="F7">
            <v>2555.44158633084</v>
          </cell>
          <cell r="G7">
            <v>27044.686999999998</v>
          </cell>
          <cell r="I7">
            <v>2176.7573733697732</v>
          </cell>
          <cell r="J7">
            <v>23081.14</v>
          </cell>
          <cell r="L7">
            <v>1908.8996431766807</v>
          </cell>
          <cell r="M7">
            <v>20279.695</v>
          </cell>
          <cell r="O7">
            <v>1662.8888070268135</v>
          </cell>
          <cell r="P7">
            <v>17676.936999999998</v>
          </cell>
          <cell r="R7">
            <v>1371.19598177992</v>
          </cell>
          <cell r="S7">
            <v>14566.549000000001</v>
          </cell>
          <cell r="U7">
            <v>1297.2309910757813</v>
          </cell>
          <cell r="V7">
            <v>13714.536</v>
          </cell>
          <cell r="X7">
            <v>1338.8616417506489</v>
          </cell>
          <cell r="Y7">
            <v>14279.967000000001</v>
          </cell>
          <cell r="AA7">
            <v>1524.157508668872</v>
          </cell>
          <cell r="AB7">
            <v>16228.978599999999</v>
          </cell>
          <cell r="AD7">
            <v>1855.3231366322691</v>
          </cell>
          <cell r="AE7">
            <v>19692.099840000003</v>
          </cell>
          <cell r="AG7">
            <v>2387.9093615709071</v>
          </cell>
          <cell r="AH7">
            <v>25322.462</v>
          </cell>
          <cell r="AJ7">
            <v>2864.1648009780802</v>
          </cell>
          <cell r="AK7">
            <v>30303.218999999997</v>
          </cell>
          <cell r="AM7">
            <v>5475.7753570300683</v>
          </cell>
        </row>
        <row r="10">
          <cell r="C10">
            <v>325432.10000000003</v>
          </cell>
          <cell r="D10">
            <v>3468418.8596190005</v>
          </cell>
          <cell r="E10">
            <v>1269</v>
          </cell>
          <cell r="F10">
            <v>282591.39999999997</v>
          </cell>
          <cell r="G10">
            <v>3006373.2035840005</v>
          </cell>
          <cell r="H10">
            <v>1271</v>
          </cell>
          <cell r="I10">
            <v>275147.79999999993</v>
          </cell>
          <cell r="J10">
            <v>2923491.5887120003</v>
          </cell>
          <cell r="K10">
            <v>1269</v>
          </cell>
          <cell r="L10">
            <v>245035.6</v>
          </cell>
          <cell r="M10">
            <v>2606039.5611300003</v>
          </cell>
          <cell r="N10">
            <v>1269</v>
          </cell>
          <cell r="O10">
            <v>227138.90000000002</v>
          </cell>
          <cell r="P10">
            <v>2417290.8525</v>
          </cell>
          <cell r="Q10">
            <v>1260</v>
          </cell>
          <cell r="R10">
            <v>204683.9</v>
          </cell>
          <cell r="S10">
            <v>2179488.4637259995</v>
          </cell>
          <cell r="T10">
            <v>1262</v>
          </cell>
          <cell r="U10">
            <v>204222.6</v>
          </cell>
          <cell r="V10">
            <v>2164413.1353010004</v>
          </cell>
          <cell r="W10">
            <v>1263</v>
          </cell>
          <cell r="X10">
            <v>186165.6</v>
          </cell>
          <cell r="Y10">
            <v>1986691.8321730001</v>
          </cell>
          <cell r="Z10">
            <v>1265</v>
          </cell>
          <cell r="AA10">
            <v>218199.3</v>
          </cell>
          <cell r="AB10">
            <v>2324347.6395700001</v>
          </cell>
          <cell r="AC10">
            <v>1264</v>
          </cell>
          <cell r="AD10">
            <v>259752.39999999997</v>
          </cell>
          <cell r="AE10">
            <v>2760596.0486100009</v>
          </cell>
          <cell r="AF10">
            <v>1265</v>
          </cell>
          <cell r="AG10">
            <v>282131.3</v>
          </cell>
          <cell r="AH10">
            <v>2997712.2418379993</v>
          </cell>
          <cell r="AI10">
            <v>1265</v>
          </cell>
          <cell r="AJ10">
            <v>299736.59999999998</v>
          </cell>
          <cell r="AK10">
            <v>3182525.5532660005</v>
          </cell>
          <cell r="AL10">
            <v>1269</v>
          </cell>
          <cell r="AM10">
            <v>608023.5</v>
          </cell>
        </row>
        <row r="11">
          <cell r="C11">
            <v>81403.199999999997</v>
          </cell>
          <cell r="D11">
            <v>867585.9138509999</v>
          </cell>
          <cell r="E11">
            <v>4948</v>
          </cell>
          <cell r="F11">
            <v>66675.399999999994</v>
          </cell>
          <cell r="G11">
            <v>709330.58732999989</v>
          </cell>
          <cell r="H11">
            <v>4831</v>
          </cell>
          <cell r="I11">
            <v>53355.700000000004</v>
          </cell>
          <cell r="J11">
            <v>566914.02728799998</v>
          </cell>
          <cell r="K11">
            <v>4827</v>
          </cell>
          <cell r="L11">
            <v>37202</v>
          </cell>
          <cell r="M11">
            <v>395655.94468899997</v>
          </cell>
          <cell r="N11">
            <v>4820</v>
          </cell>
          <cell r="O11">
            <v>29129.899999999998</v>
          </cell>
          <cell r="P11">
            <v>310010.81543000008</v>
          </cell>
          <cell r="Q11">
            <v>4830</v>
          </cell>
          <cell r="R11">
            <v>20095.400000000001</v>
          </cell>
          <cell r="S11">
            <v>213976.45156000004</v>
          </cell>
          <cell r="T11">
            <v>4835</v>
          </cell>
          <cell r="U11">
            <v>19727.999999999996</v>
          </cell>
          <cell r="V11">
            <v>209083.01564299999</v>
          </cell>
          <cell r="W11">
            <v>4841</v>
          </cell>
          <cell r="X11">
            <v>22270.100000000002</v>
          </cell>
          <cell r="Y11">
            <v>237657.97905000005</v>
          </cell>
          <cell r="Z11">
            <v>4838</v>
          </cell>
          <cell r="AA11">
            <v>25979.299999999996</v>
          </cell>
          <cell r="AB11">
            <v>276742.69274999993</v>
          </cell>
          <cell r="AC11">
            <v>4854</v>
          </cell>
          <cell r="AD11">
            <v>46409</v>
          </cell>
          <cell r="AE11">
            <v>493224.73189700017</v>
          </cell>
          <cell r="AF11">
            <v>4862</v>
          </cell>
          <cell r="AG11">
            <v>61998.600000000006</v>
          </cell>
          <cell r="AH11">
            <v>658750.43738499971</v>
          </cell>
          <cell r="AI11">
            <v>4872</v>
          </cell>
          <cell r="AJ11">
            <v>73290.399999999994</v>
          </cell>
          <cell r="AK11">
            <v>778180.39961300022</v>
          </cell>
          <cell r="AL11">
            <v>4948</v>
          </cell>
          <cell r="AM11">
            <v>148078.59999999998</v>
          </cell>
        </row>
        <row r="12">
          <cell r="C12">
            <v>144893.53</v>
          </cell>
          <cell r="D12">
            <v>1544255.1900000002</v>
          </cell>
          <cell r="E12">
            <v>150819</v>
          </cell>
          <cell r="F12">
            <v>118368.83000000002</v>
          </cell>
          <cell r="G12">
            <v>1259278.27</v>
          </cell>
          <cell r="H12">
            <v>150712</v>
          </cell>
          <cell r="I12">
            <v>87199.084000000003</v>
          </cell>
          <cell r="J12">
            <v>926505.33299999998</v>
          </cell>
          <cell r="K12">
            <v>150489</v>
          </cell>
          <cell r="L12">
            <v>49440.294999999998</v>
          </cell>
          <cell r="M12">
            <v>525816.36499999999</v>
          </cell>
          <cell r="N12">
            <v>150354</v>
          </cell>
          <cell r="O12">
            <v>33065.116999999998</v>
          </cell>
          <cell r="P12">
            <v>351890.04</v>
          </cell>
          <cell r="Q12">
            <v>150207</v>
          </cell>
          <cell r="R12">
            <v>13355.111999999999</v>
          </cell>
          <cell r="S12">
            <v>142208.03000000003</v>
          </cell>
          <cell r="T12">
            <v>150082</v>
          </cell>
          <cell r="U12">
            <v>11271.708999999999</v>
          </cell>
          <cell r="V12">
            <v>119461.41500000004</v>
          </cell>
          <cell r="W12">
            <v>149917</v>
          </cell>
          <cell r="X12">
            <v>14285.508999999998</v>
          </cell>
          <cell r="Y12">
            <v>152450.144</v>
          </cell>
          <cell r="Z12">
            <v>150106</v>
          </cell>
          <cell r="AA12">
            <v>20020.088</v>
          </cell>
          <cell r="AB12">
            <v>213262.00800000003</v>
          </cell>
          <cell r="AC12">
            <v>150301</v>
          </cell>
          <cell r="AD12">
            <v>52783.686000000002</v>
          </cell>
          <cell r="AE12">
            <v>560977.48199999996</v>
          </cell>
          <cell r="AF12">
            <v>150307</v>
          </cell>
          <cell r="AG12">
            <v>89157.883280353708</v>
          </cell>
          <cell r="AH12">
            <v>947324.06039720122</v>
          </cell>
          <cell r="AI12">
            <v>150899</v>
          </cell>
          <cell r="AJ12">
            <v>131320.32800000001</v>
          </cell>
          <cell r="AK12">
            <v>1394323.2220000001</v>
          </cell>
          <cell r="AL12">
            <v>150819</v>
          </cell>
          <cell r="AM12">
            <v>263262.36</v>
          </cell>
        </row>
        <row r="13">
          <cell r="C13">
            <v>311203.19999999995</v>
          </cell>
          <cell r="D13">
            <v>3316768.0999999996</v>
          </cell>
          <cell r="E13">
            <v>2150037</v>
          </cell>
          <cell r="F13">
            <v>254234.00000000003</v>
          </cell>
          <cell r="G13">
            <v>2704691.4999999995</v>
          </cell>
          <cell r="H13">
            <v>2148721</v>
          </cell>
          <cell r="I13">
            <v>187287.2</v>
          </cell>
          <cell r="J13">
            <v>1989958.2</v>
          </cell>
          <cell r="K13">
            <v>2147751</v>
          </cell>
          <cell r="L13">
            <v>106188.70000000003</v>
          </cell>
          <cell r="M13">
            <v>1129354.1000000001</v>
          </cell>
          <cell r="N13">
            <v>2146322</v>
          </cell>
          <cell r="O13">
            <v>71017.600000000006</v>
          </cell>
          <cell r="P13">
            <v>755793.4</v>
          </cell>
          <cell r="Q13">
            <v>2145277</v>
          </cell>
          <cell r="R13">
            <v>28684.5</v>
          </cell>
          <cell r="S13">
            <v>305436.29999999993</v>
          </cell>
          <cell r="T13">
            <v>2143784</v>
          </cell>
          <cell r="U13">
            <v>24209.699999999997</v>
          </cell>
          <cell r="V13">
            <v>256580.7</v>
          </cell>
          <cell r="W13">
            <v>2143017</v>
          </cell>
          <cell r="X13">
            <v>30682.7</v>
          </cell>
          <cell r="Y13">
            <v>327434.3</v>
          </cell>
          <cell r="Z13">
            <v>2143383</v>
          </cell>
          <cell r="AA13">
            <v>42999.499999999993</v>
          </cell>
          <cell r="AB13">
            <v>458046.3</v>
          </cell>
          <cell r="AC13">
            <v>2144205</v>
          </cell>
          <cell r="AD13">
            <v>113370.20000000001</v>
          </cell>
          <cell r="AE13">
            <v>1204873.6000000001</v>
          </cell>
          <cell r="AF13">
            <v>2144200</v>
          </cell>
          <cell r="AG13">
            <v>191494.19999999998</v>
          </cell>
          <cell r="AH13">
            <v>2034672.4000000001</v>
          </cell>
          <cell r="AI13">
            <v>2146641</v>
          </cell>
          <cell r="AJ13">
            <v>282050.7</v>
          </cell>
          <cell r="AK13">
            <v>2994742.3</v>
          </cell>
          <cell r="AL13">
            <v>2150037</v>
          </cell>
          <cell r="AM13">
            <v>565437.19999999995</v>
          </cell>
        </row>
        <row r="14">
          <cell r="C14">
            <v>15908.801352309487</v>
          </cell>
          <cell r="D14">
            <v>169554.13246000005</v>
          </cell>
          <cell r="F14">
            <v>13846.378807340236</v>
          </cell>
          <cell r="G14">
            <v>147305.91819999999</v>
          </cell>
          <cell r="I14">
            <v>11031.091986699101</v>
          </cell>
          <cell r="J14">
            <v>117207.23096</v>
          </cell>
          <cell r="L14">
            <v>8661.9972232592481</v>
          </cell>
          <cell r="M14">
            <v>92123.40058999999</v>
          </cell>
          <cell r="O14">
            <v>6661.2621699047068</v>
          </cell>
          <cell r="P14">
            <v>70891.449039999992</v>
          </cell>
          <cell r="R14">
            <v>4865.4857655225333</v>
          </cell>
          <cell r="S14">
            <v>51808.083939999997</v>
          </cell>
          <cell r="U14">
            <v>4947.1651667200522</v>
          </cell>
          <cell r="V14">
            <v>52431.540629999996</v>
          </cell>
          <cell r="X14">
            <v>4684.009233078752</v>
          </cell>
          <cell r="Y14">
            <v>49986.041109999998</v>
          </cell>
          <cell r="AA14">
            <v>5844.7759808323972</v>
          </cell>
          <cell r="AB14">
            <v>62260.904220000004</v>
          </cell>
          <cell r="AD14">
            <v>9193.3002420927514</v>
          </cell>
          <cell r="AE14">
            <v>97704.54595</v>
          </cell>
          <cell r="AG14">
            <v>11251.188639720265</v>
          </cell>
          <cell r="AH14">
            <v>119546.59074</v>
          </cell>
          <cell r="AJ14">
            <v>26800.827808806105</v>
          </cell>
          <cell r="AK14">
            <v>284564.27870999998</v>
          </cell>
          <cell r="AM14">
            <v>29755.180159649724</v>
          </cell>
        </row>
        <row r="17">
          <cell r="C17">
            <v>12603.195000000002</v>
          </cell>
          <cell r="D17">
            <v>134396.63700000002</v>
          </cell>
          <cell r="E17">
            <v>140</v>
          </cell>
          <cell r="F17">
            <v>10823.411</v>
          </cell>
          <cell r="G17">
            <v>115368.02999999998</v>
          </cell>
          <cell r="H17">
            <v>140</v>
          </cell>
          <cell r="I17">
            <v>10605.793</v>
          </cell>
          <cell r="J17">
            <v>112404.69100000001</v>
          </cell>
          <cell r="K17">
            <v>141</v>
          </cell>
          <cell r="L17">
            <v>8240.8260000000009</v>
          </cell>
          <cell r="M17">
            <v>87607.1</v>
          </cell>
          <cell r="N17">
            <v>141</v>
          </cell>
          <cell r="O17">
            <v>8028.7570000000005</v>
          </cell>
          <cell r="P17">
            <v>85356.163</v>
          </cell>
          <cell r="Q17">
            <v>141</v>
          </cell>
          <cell r="R17">
            <v>7092.3990000000003</v>
          </cell>
          <cell r="S17">
            <v>75350.125</v>
          </cell>
          <cell r="T17">
            <v>141</v>
          </cell>
          <cell r="U17">
            <v>7296.0589999999993</v>
          </cell>
          <cell r="V17">
            <v>77443.379000000001</v>
          </cell>
          <cell r="W17">
            <v>141</v>
          </cell>
          <cell r="X17">
            <v>7289.1009999999997</v>
          </cell>
          <cell r="Y17">
            <v>77601.251999999993</v>
          </cell>
          <cell r="Z17">
            <v>142</v>
          </cell>
          <cell r="AA17">
            <v>7680.4380000000001</v>
          </cell>
          <cell r="AB17">
            <v>81758.304000000004</v>
          </cell>
          <cell r="AC17">
            <v>142</v>
          </cell>
          <cell r="AD17">
            <v>10855.949000000001</v>
          </cell>
          <cell r="AE17">
            <v>115183.398</v>
          </cell>
          <cell r="AF17">
            <v>142</v>
          </cell>
          <cell r="AG17">
            <v>11350.566000000001</v>
          </cell>
          <cell r="AH17">
            <v>120410.054</v>
          </cell>
          <cell r="AI17">
            <v>134</v>
          </cell>
          <cell r="AJ17">
            <v>11833.793000000001</v>
          </cell>
          <cell r="AK17">
            <v>125473.40100000001</v>
          </cell>
          <cell r="AL17">
            <v>140</v>
          </cell>
          <cell r="AM17">
            <v>23426.606</v>
          </cell>
        </row>
        <row r="18">
          <cell r="C18">
            <v>4137.1869999999999</v>
          </cell>
          <cell r="D18">
            <v>44117.720999999998</v>
          </cell>
          <cell r="E18">
            <v>384</v>
          </cell>
          <cell r="F18">
            <v>2564.4669999999996</v>
          </cell>
          <cell r="G18">
            <v>27335.166000000001</v>
          </cell>
          <cell r="H18">
            <v>384</v>
          </cell>
          <cell r="I18">
            <v>2388.8429999999998</v>
          </cell>
          <cell r="J18">
            <v>25317.913999999997</v>
          </cell>
          <cell r="K18">
            <v>314</v>
          </cell>
          <cell r="L18">
            <v>2332.3679999999999</v>
          </cell>
          <cell r="M18">
            <v>24795.171000000002</v>
          </cell>
          <cell r="N18">
            <v>315</v>
          </cell>
          <cell r="O18">
            <v>1457.75</v>
          </cell>
          <cell r="P18">
            <v>15497.777</v>
          </cell>
          <cell r="Q18">
            <v>316</v>
          </cell>
          <cell r="R18">
            <v>1415.9170000000001</v>
          </cell>
          <cell r="S18">
            <v>15042.821</v>
          </cell>
          <cell r="T18">
            <v>316</v>
          </cell>
          <cell r="U18">
            <v>1452.931</v>
          </cell>
          <cell r="V18">
            <v>15421.864000000001</v>
          </cell>
          <cell r="W18">
            <v>316</v>
          </cell>
          <cell r="X18">
            <v>1376.691</v>
          </cell>
          <cell r="Y18">
            <v>14656.527999999998</v>
          </cell>
          <cell r="Z18">
            <v>322</v>
          </cell>
          <cell r="AA18">
            <v>1721.558</v>
          </cell>
          <cell r="AB18">
            <v>18325.985000000001</v>
          </cell>
          <cell r="AC18">
            <v>321</v>
          </cell>
          <cell r="AD18">
            <v>2129.4369999999999</v>
          </cell>
          <cell r="AE18">
            <v>22595.09</v>
          </cell>
          <cell r="AF18">
            <v>320</v>
          </cell>
          <cell r="AG18">
            <v>2501.9690000000001</v>
          </cell>
          <cell r="AH18">
            <v>26542.159</v>
          </cell>
          <cell r="AI18">
            <v>348</v>
          </cell>
          <cell r="AJ18">
            <v>2505.7869999999998</v>
          </cell>
          <cell r="AK18">
            <v>26568.758999999998</v>
          </cell>
          <cell r="AL18">
            <v>384</v>
          </cell>
          <cell r="AM18">
            <v>6701.6539999999995</v>
          </cell>
        </row>
        <row r="19">
          <cell r="C19">
            <v>7675.7071999999998</v>
          </cell>
          <cell r="D19">
            <v>81852.372952000005</v>
          </cell>
          <cell r="E19">
            <v>9898</v>
          </cell>
          <cell r="F19">
            <v>6979.6472059999996</v>
          </cell>
          <cell r="G19">
            <v>74397.661435999995</v>
          </cell>
          <cell r="H19">
            <v>9898</v>
          </cell>
          <cell r="I19">
            <v>5421.8370500000001</v>
          </cell>
          <cell r="J19">
            <v>57462.610800000002</v>
          </cell>
          <cell r="K19">
            <v>9962</v>
          </cell>
          <cell r="L19">
            <v>3196.6112080000003</v>
          </cell>
          <cell r="M19">
            <v>33982.714681999998</v>
          </cell>
          <cell r="N19">
            <v>9963</v>
          </cell>
          <cell r="O19">
            <v>2375.2774360000003</v>
          </cell>
          <cell r="P19">
            <v>25251.714306000002</v>
          </cell>
          <cell r="Q19">
            <v>9964</v>
          </cell>
          <cell r="R19">
            <v>868.20666800000004</v>
          </cell>
          <cell r="S19">
            <v>9223.8918940000003</v>
          </cell>
          <cell r="T19">
            <v>9994</v>
          </cell>
          <cell r="U19">
            <v>865.38079599999992</v>
          </cell>
          <cell r="V19">
            <v>9188.5124660000001</v>
          </cell>
          <cell r="W19">
            <v>9995</v>
          </cell>
          <cell r="X19">
            <v>1031.0153420000001</v>
          </cell>
          <cell r="Y19">
            <v>10977.192198000001</v>
          </cell>
          <cell r="Z19">
            <v>9998</v>
          </cell>
          <cell r="AA19">
            <v>1589.4583319999999</v>
          </cell>
          <cell r="AB19">
            <v>16920.192604</v>
          </cell>
          <cell r="AC19">
            <v>9999</v>
          </cell>
          <cell r="AD19">
            <v>2915.9366880000002</v>
          </cell>
          <cell r="AE19">
            <v>30943.760470000001</v>
          </cell>
          <cell r="AF19">
            <v>10000</v>
          </cell>
          <cell r="AG19">
            <v>5890.9157239999995</v>
          </cell>
          <cell r="AH19">
            <v>62491.724503999998</v>
          </cell>
          <cell r="AI19">
            <v>7984</v>
          </cell>
          <cell r="AJ19">
            <v>7759.7530639999995</v>
          </cell>
          <cell r="AK19">
            <v>82275.062674000001</v>
          </cell>
          <cell r="AL19">
            <v>9898</v>
          </cell>
          <cell r="AM19">
            <v>14655.354405999999</v>
          </cell>
        </row>
        <row r="20">
          <cell r="C20">
            <v>16161.8928</v>
          </cell>
          <cell r="D20">
            <v>172347.54304799999</v>
          </cell>
          <cell r="E20">
            <v>103770</v>
          </cell>
          <cell r="F20">
            <v>14696.275794000001</v>
          </cell>
          <cell r="G20">
            <v>156650.97656400001</v>
          </cell>
          <cell r="H20">
            <v>103774</v>
          </cell>
          <cell r="I20">
            <v>10069.12595</v>
          </cell>
          <cell r="J20">
            <v>106716.2772</v>
          </cell>
          <cell r="K20">
            <v>103781</v>
          </cell>
          <cell r="L20">
            <v>6730.7527920000002</v>
          </cell>
          <cell r="M20">
            <v>71553.666318000003</v>
          </cell>
          <cell r="N20">
            <v>103786</v>
          </cell>
          <cell r="O20">
            <v>5001.3605640000005</v>
          </cell>
          <cell r="P20">
            <v>53169.758693999996</v>
          </cell>
          <cell r="Q20">
            <v>103790</v>
          </cell>
          <cell r="R20">
            <v>1828.0873320000001</v>
          </cell>
          <cell r="S20">
            <v>19421.735106</v>
          </cell>
          <cell r="T20">
            <v>103414</v>
          </cell>
          <cell r="U20">
            <v>1822.1372039999999</v>
          </cell>
          <cell r="V20">
            <v>19347.240534</v>
          </cell>
          <cell r="W20">
            <v>103422</v>
          </cell>
          <cell r="X20">
            <v>2170.8956579999999</v>
          </cell>
          <cell r="Y20">
            <v>23113.466802000003</v>
          </cell>
          <cell r="Z20">
            <v>103429</v>
          </cell>
          <cell r="AA20">
            <v>3346.7476680000004</v>
          </cell>
          <cell r="AB20">
            <v>35626.989395999997</v>
          </cell>
          <cell r="AC20">
            <v>103433</v>
          </cell>
          <cell r="AD20">
            <v>6139.7673119999999</v>
          </cell>
          <cell r="AE20">
            <v>65154.874530000001</v>
          </cell>
          <cell r="AF20">
            <v>103438</v>
          </cell>
          <cell r="AG20">
            <v>10518.320276</v>
          </cell>
          <cell r="AH20">
            <v>111579.931496</v>
          </cell>
          <cell r="AI20">
            <v>105639</v>
          </cell>
          <cell r="AJ20">
            <v>16338.858935999999</v>
          </cell>
          <cell r="AK20">
            <v>173237.55432599998</v>
          </cell>
          <cell r="AL20">
            <v>103770</v>
          </cell>
          <cell r="AM20">
            <v>30858.168594000002</v>
          </cell>
        </row>
        <row r="21">
          <cell r="C21">
            <v>839.68299999999999</v>
          </cell>
          <cell r="D21">
            <v>8954.1579999999994</v>
          </cell>
          <cell r="F21">
            <v>726.625</v>
          </cell>
          <cell r="G21">
            <v>7745.1230000000005</v>
          </cell>
          <cell r="I21">
            <v>586.91799999999989</v>
          </cell>
          <cell r="J21">
            <v>6220.3550000000005</v>
          </cell>
          <cell r="L21">
            <v>418.16800000000001</v>
          </cell>
          <cell r="M21">
            <v>4445.4720000000007</v>
          </cell>
          <cell r="O21">
            <v>331.99300000000005</v>
          </cell>
          <cell r="P21">
            <v>3529.4799999999996</v>
          </cell>
          <cell r="R21">
            <v>219.423</v>
          </cell>
          <cell r="S21">
            <v>2331.1529999999998</v>
          </cell>
          <cell r="U21">
            <v>222.27</v>
          </cell>
          <cell r="V21">
            <v>2359.4899999999998</v>
          </cell>
          <cell r="X21">
            <v>228.517</v>
          </cell>
          <cell r="Y21">
            <v>2432.88</v>
          </cell>
          <cell r="AA21">
            <v>277.584</v>
          </cell>
          <cell r="AB21">
            <v>2954.904</v>
          </cell>
          <cell r="AD21">
            <v>431.36099999999999</v>
          </cell>
          <cell r="AE21">
            <v>4577.0860000000002</v>
          </cell>
          <cell r="AG21">
            <v>609.37700000000007</v>
          </cell>
          <cell r="AH21">
            <v>6464.4690000000001</v>
          </cell>
          <cell r="AJ21">
            <v>786.68700000000001</v>
          </cell>
          <cell r="AK21">
            <v>8341.0550000000003</v>
          </cell>
          <cell r="AM21">
            <v>1566.308</v>
          </cell>
        </row>
        <row r="26">
          <cell r="C26">
            <v>3266.26</v>
          </cell>
          <cell r="D26">
            <v>34720.858</v>
          </cell>
          <cell r="E26">
            <v>8</v>
          </cell>
          <cell r="F26">
            <v>5524.82</v>
          </cell>
          <cell r="G26">
            <v>58653.682000000001</v>
          </cell>
          <cell r="H26">
            <v>8</v>
          </cell>
          <cell r="I26">
            <v>10496.154</v>
          </cell>
          <cell r="J26">
            <v>111366.73030699999</v>
          </cell>
          <cell r="K26">
            <v>8</v>
          </cell>
          <cell r="L26">
            <v>4576.8329999999996</v>
          </cell>
          <cell r="M26">
            <v>48618.072999999997</v>
          </cell>
          <cell r="N26">
            <v>8</v>
          </cell>
          <cell r="O26">
            <v>1228.2739999999999</v>
          </cell>
          <cell r="P26">
            <v>13055.659</v>
          </cell>
          <cell r="Q26">
            <v>8</v>
          </cell>
          <cell r="R26">
            <v>1076.135</v>
          </cell>
          <cell r="S26">
            <v>11426.306</v>
          </cell>
          <cell r="T26">
            <v>8</v>
          </cell>
          <cell r="U26">
            <v>8056.56</v>
          </cell>
          <cell r="V26">
            <v>85367.764541000026</v>
          </cell>
          <cell r="W26">
            <v>8</v>
          </cell>
          <cell r="X26">
            <v>7052.1109999999999</v>
          </cell>
          <cell r="Y26">
            <v>75203.407999999996</v>
          </cell>
          <cell r="Z26">
            <v>8</v>
          </cell>
          <cell r="AA26">
            <v>7029.8819999999996</v>
          </cell>
          <cell r="AB26">
            <v>74921.743000000002</v>
          </cell>
          <cell r="AC26">
            <v>8</v>
          </cell>
          <cell r="AD26">
            <v>1906.423</v>
          </cell>
          <cell r="AE26">
            <v>20235.914000000001</v>
          </cell>
          <cell r="AF26">
            <v>8</v>
          </cell>
          <cell r="AG26">
            <v>4856.3209999999999</v>
          </cell>
          <cell r="AH26">
            <v>51550.161999999997</v>
          </cell>
          <cell r="AI26">
            <v>11</v>
          </cell>
          <cell r="AJ26">
            <v>2764.2370000000001</v>
          </cell>
          <cell r="AK26">
            <v>29257.933000000001</v>
          </cell>
          <cell r="AL26">
            <v>8</v>
          </cell>
          <cell r="AM26">
            <v>8791.08</v>
          </cell>
        </row>
        <row r="32">
          <cell r="C32">
            <v>1244</v>
          </cell>
          <cell r="D32">
            <v>13024</v>
          </cell>
          <cell r="E32">
            <v>158</v>
          </cell>
          <cell r="F32">
            <v>1008</v>
          </cell>
          <cell r="G32">
            <v>10551</v>
          </cell>
          <cell r="H32">
            <v>158</v>
          </cell>
          <cell r="I32">
            <v>999</v>
          </cell>
          <cell r="J32">
            <v>10459</v>
          </cell>
          <cell r="K32">
            <v>158</v>
          </cell>
          <cell r="L32">
            <v>886</v>
          </cell>
          <cell r="M32">
            <v>9270</v>
          </cell>
          <cell r="N32">
            <v>158</v>
          </cell>
          <cell r="O32">
            <v>788</v>
          </cell>
          <cell r="P32">
            <v>8236</v>
          </cell>
          <cell r="Q32">
            <v>158</v>
          </cell>
          <cell r="R32">
            <v>702</v>
          </cell>
          <cell r="S32">
            <v>7352</v>
          </cell>
          <cell r="T32">
            <v>158</v>
          </cell>
          <cell r="U32">
            <v>697</v>
          </cell>
          <cell r="V32">
            <v>7292</v>
          </cell>
          <cell r="W32">
            <v>158</v>
          </cell>
          <cell r="X32">
            <v>674</v>
          </cell>
          <cell r="Y32">
            <v>7035</v>
          </cell>
          <cell r="Z32">
            <v>158</v>
          </cell>
          <cell r="AA32">
            <v>731</v>
          </cell>
          <cell r="AB32">
            <v>7641</v>
          </cell>
          <cell r="AC32">
            <v>158</v>
          </cell>
          <cell r="AD32">
            <v>832</v>
          </cell>
          <cell r="AE32">
            <v>8708</v>
          </cell>
          <cell r="AF32">
            <v>158</v>
          </cell>
          <cell r="AG32">
            <v>957</v>
          </cell>
          <cell r="AH32">
            <v>9998</v>
          </cell>
          <cell r="AI32">
            <v>158</v>
          </cell>
          <cell r="AJ32">
            <v>1348.2</v>
          </cell>
          <cell r="AK32">
            <v>14139.499999999998</v>
          </cell>
          <cell r="AL32">
            <v>158</v>
          </cell>
          <cell r="AM32">
            <v>2252</v>
          </cell>
        </row>
        <row r="34">
          <cell r="C34">
            <v>1072.0869999999959</v>
          </cell>
          <cell r="D34">
            <v>11512.631239999959</v>
          </cell>
          <cell r="F34">
            <v>4237.6790000000001</v>
          </cell>
          <cell r="G34">
            <v>46096.91062000001</v>
          </cell>
          <cell r="I34">
            <v>4433.7200000000012</v>
          </cell>
          <cell r="J34">
            <v>48361.228119999985</v>
          </cell>
          <cell r="L34">
            <v>4458.759</v>
          </cell>
          <cell r="M34">
            <v>48410.802110000048</v>
          </cell>
          <cell r="O34">
            <v>4738.4079999999994</v>
          </cell>
          <cell r="P34">
            <v>51406.968890000018</v>
          </cell>
          <cell r="R34">
            <v>858.8169999999991</v>
          </cell>
          <cell r="S34">
            <v>9313.4843999999866</v>
          </cell>
          <cell r="U34">
            <v>875.18599999999788</v>
          </cell>
          <cell r="V34">
            <v>9609.4676700000273</v>
          </cell>
          <cell r="X34">
            <v>829.24999999999818</v>
          </cell>
          <cell r="Y34">
            <v>9380.5564399999857</v>
          </cell>
          <cell r="AA34">
            <v>568.74900000000162</v>
          </cell>
          <cell r="AB34">
            <v>6461.9171700000152</v>
          </cell>
          <cell r="AD34">
            <v>593.82500000000073</v>
          </cell>
          <cell r="AE34">
            <v>6417.3715800000209</v>
          </cell>
          <cell r="AG34">
            <v>614.34500000000298</v>
          </cell>
          <cell r="AH34">
            <v>6420.6939400000265</v>
          </cell>
          <cell r="AJ34">
            <v>797.82700000000114</v>
          </cell>
          <cell r="AK34">
            <v>8723.7220199999574</v>
          </cell>
          <cell r="AM34">
            <v>5309.765999999996</v>
          </cell>
        </row>
        <row r="36">
          <cell r="C36">
            <v>376172.91627136566</v>
          </cell>
          <cell r="D36">
            <v>4007465.9906190005</v>
          </cell>
          <cell r="E36">
            <v>1605</v>
          </cell>
          <cell r="F36">
            <v>326630.39205433265</v>
          </cell>
          <cell r="G36">
            <v>3473351.2365840003</v>
          </cell>
          <cell r="H36">
            <v>1608</v>
          </cell>
          <cell r="I36">
            <v>319756.93305976543</v>
          </cell>
          <cell r="J36">
            <v>3396400.8000190007</v>
          </cell>
          <cell r="K36">
            <v>1606</v>
          </cell>
          <cell r="L36">
            <v>275230.43446065718</v>
          </cell>
          <cell r="M36">
            <v>2926752.0541300001</v>
          </cell>
          <cell r="N36">
            <v>1606</v>
          </cell>
          <cell r="O36">
            <v>250489.55916851806</v>
          </cell>
          <cell r="P36">
            <v>2665409.2025000001</v>
          </cell>
          <cell r="Q36">
            <v>1597</v>
          </cell>
          <cell r="R36">
            <v>222308.41976446033</v>
          </cell>
          <cell r="S36">
            <v>2366619.1257259995</v>
          </cell>
          <cell r="T36">
            <v>1599</v>
          </cell>
          <cell r="U36">
            <v>228147.42204598596</v>
          </cell>
          <cell r="V36">
            <v>2417778.7448420008</v>
          </cell>
          <cell r="W36">
            <v>1600</v>
          </cell>
          <cell r="X36">
            <v>209455.6124031902</v>
          </cell>
          <cell r="Y36">
            <v>2234794.4661729997</v>
          </cell>
          <cell r="Z36">
            <v>1603</v>
          </cell>
          <cell r="AA36">
            <v>243554.85878323496</v>
          </cell>
          <cell r="AB36">
            <v>2594246.87757</v>
          </cell>
          <cell r="AC36">
            <v>1602</v>
          </cell>
          <cell r="AD36">
            <v>289894.23645800509</v>
          </cell>
          <cell r="AE36">
            <v>3080369.8886100007</v>
          </cell>
          <cell r="AF36">
            <v>1603</v>
          </cell>
          <cell r="AG36">
            <v>322539.69804758905</v>
          </cell>
          <cell r="AH36">
            <v>3426182.6468379991</v>
          </cell>
          <cell r="AI36">
            <v>1599</v>
          </cell>
          <cell r="AJ36">
            <v>346216.72274477623</v>
          </cell>
          <cell r="AK36">
            <v>3674445.241266001</v>
          </cell>
          <cell r="AL36">
            <v>1605</v>
          </cell>
          <cell r="AM36">
            <v>702803.30832569837</v>
          </cell>
        </row>
        <row r="37">
          <cell r="C37">
            <v>111546.98107118766</v>
          </cell>
          <cell r="D37">
            <v>1187684.8678509998</v>
          </cell>
          <cell r="E37">
            <v>6954</v>
          </cell>
          <cell r="F37">
            <v>89942.404282271949</v>
          </cell>
          <cell r="G37">
            <v>955754.35932999989</v>
          </cell>
          <cell r="H37">
            <v>6831</v>
          </cell>
          <cell r="I37">
            <v>72050.232793497882</v>
          </cell>
          <cell r="J37">
            <v>765118.78128799994</v>
          </cell>
          <cell r="K37">
            <v>6757</v>
          </cell>
          <cell r="L37">
            <v>50097.474861507406</v>
          </cell>
          <cell r="M37">
            <v>532664.00668899994</v>
          </cell>
          <cell r="N37">
            <v>6747</v>
          </cell>
          <cell r="O37">
            <v>38454.898250674582</v>
          </cell>
          <cell r="P37">
            <v>409125.17643000011</v>
          </cell>
          <cell r="Q37">
            <v>6759</v>
          </cell>
          <cell r="R37">
            <v>25505.32699066713</v>
          </cell>
          <cell r="S37">
            <v>271437.93756000005</v>
          </cell>
          <cell r="T37">
            <v>6759</v>
          </cell>
          <cell r="U37">
            <v>24638.143600752042</v>
          </cell>
          <cell r="V37">
            <v>261049.770643</v>
          </cell>
          <cell r="W37">
            <v>6767</v>
          </cell>
          <cell r="X37">
            <v>27325.376345548015</v>
          </cell>
          <cell r="Y37">
            <v>291540.09505000006</v>
          </cell>
          <cell r="Z37">
            <v>6770</v>
          </cell>
          <cell r="AA37">
            <v>32864.221001852769</v>
          </cell>
          <cell r="AB37">
            <v>350036.63074999989</v>
          </cell>
          <cell r="AC37">
            <v>6790</v>
          </cell>
          <cell r="AD37">
            <v>59463.581471537618</v>
          </cell>
          <cell r="AE37">
            <v>631767.88889700011</v>
          </cell>
          <cell r="AF37">
            <v>6801</v>
          </cell>
          <cell r="AG37">
            <v>81366.571156031961</v>
          </cell>
          <cell r="AH37">
            <v>864132.75938499975</v>
          </cell>
          <cell r="AI37">
            <v>6841</v>
          </cell>
          <cell r="AJ37">
            <v>99701.441010564115</v>
          </cell>
          <cell r="AK37">
            <v>1057652.9636130002</v>
          </cell>
          <cell r="AL37">
            <v>6954</v>
          </cell>
          <cell r="AM37">
            <v>201489.38535345963</v>
          </cell>
        </row>
        <row r="38">
          <cell r="C38">
            <v>184188.74793970012</v>
          </cell>
          <cell r="D38">
            <v>1961667.1591761163</v>
          </cell>
          <cell r="E38">
            <v>199976</v>
          </cell>
          <cell r="F38">
            <v>150748.12495745701</v>
          </cell>
          <cell r="G38">
            <v>1602477.8690126571</v>
          </cell>
          <cell r="H38">
            <v>199908</v>
          </cell>
          <cell r="I38">
            <v>111904.70265894438</v>
          </cell>
          <cell r="J38">
            <v>1188438.1103114868</v>
          </cell>
          <cell r="K38">
            <v>199708</v>
          </cell>
          <cell r="L38">
            <v>63357.842409310244</v>
          </cell>
          <cell r="M38">
            <v>673683.90007122606</v>
          </cell>
          <cell r="N38">
            <v>199511</v>
          </cell>
          <cell r="O38">
            <v>43242.935061397104</v>
          </cell>
          <cell r="P38">
            <v>460070.79910146637</v>
          </cell>
          <cell r="Q38">
            <v>199307</v>
          </cell>
          <cell r="R38">
            <v>17223.195875238849</v>
          </cell>
          <cell r="S38">
            <v>183302.00031976614</v>
          </cell>
          <cell r="T38">
            <v>199111</v>
          </cell>
          <cell r="U38">
            <v>14461.468640691253</v>
          </cell>
          <cell r="V38">
            <v>153222.10258124163</v>
          </cell>
          <cell r="W38">
            <v>198899</v>
          </cell>
          <cell r="X38">
            <v>17944.007810529838</v>
          </cell>
          <cell r="Y38">
            <v>191454.7590096432</v>
          </cell>
          <cell r="Z38">
            <v>198908</v>
          </cell>
          <cell r="AA38">
            <v>26267.977514598784</v>
          </cell>
          <cell r="AB38">
            <v>279782.11437764729</v>
          </cell>
          <cell r="AC38">
            <v>199126</v>
          </cell>
          <cell r="AD38">
            <v>67327.34330493056</v>
          </cell>
          <cell r="AE38">
            <v>715330.69248816802</v>
          </cell>
          <cell r="AF38">
            <v>199091</v>
          </cell>
          <cell r="AG38">
            <v>115353.62986375346</v>
          </cell>
          <cell r="AH38">
            <v>1225134.857068212</v>
          </cell>
          <cell r="AI38">
            <v>197824</v>
          </cell>
          <cell r="AJ38">
            <v>168613.66146285227</v>
          </cell>
          <cell r="AK38">
            <v>1789079.4965383804</v>
          </cell>
          <cell r="AL38">
            <v>199976</v>
          </cell>
          <cell r="AM38">
            <v>334936.8728971571</v>
          </cell>
        </row>
        <row r="39">
          <cell r="C39">
            <v>374569.59594706964</v>
          </cell>
          <cell r="D39">
            <v>3990083.322824121</v>
          </cell>
          <cell r="E39">
            <v>2647438</v>
          </cell>
          <cell r="F39">
            <v>306454.88211963279</v>
          </cell>
          <cell r="G39">
            <v>3258471.9739876087</v>
          </cell>
          <cell r="H39">
            <v>2645857</v>
          </cell>
          <cell r="I39">
            <v>226512.89511444146</v>
          </cell>
          <cell r="J39">
            <v>2405834.7276887149</v>
          </cell>
          <cell r="K39">
            <v>2644728</v>
          </cell>
          <cell r="L39">
            <v>129854.74162534194</v>
          </cell>
          <cell r="M39">
            <v>1380824.2399287042</v>
          </cell>
          <cell r="N39">
            <v>2643047</v>
          </cell>
          <cell r="O39">
            <v>89342.427553903224</v>
          </cell>
          <cell r="P39">
            <v>950595.04989855795</v>
          </cell>
          <cell r="Q39">
            <v>2641841</v>
          </cell>
          <cell r="R39">
            <v>36544.155781343456</v>
          </cell>
          <cell r="S39">
            <v>388931.89362774836</v>
          </cell>
          <cell r="T39">
            <v>2639567</v>
          </cell>
          <cell r="U39">
            <v>30874.347149247304</v>
          </cell>
          <cell r="V39">
            <v>327122.92641875008</v>
          </cell>
          <cell r="W39">
            <v>2638573</v>
          </cell>
          <cell r="X39">
            <v>38314.352069814355</v>
          </cell>
          <cell r="Y39">
            <v>408790.8435502323</v>
          </cell>
          <cell r="Z39">
            <v>2638237</v>
          </cell>
          <cell r="AA39">
            <v>53859.52018056254</v>
          </cell>
          <cell r="AB39">
            <v>573673.38002235279</v>
          </cell>
          <cell r="AC39">
            <v>2638262</v>
          </cell>
          <cell r="AD39">
            <v>137870.24225740173</v>
          </cell>
          <cell r="AE39">
            <v>1464901.4646717499</v>
          </cell>
          <cell r="AF39">
            <v>2638216</v>
          </cell>
          <cell r="AG39">
            <v>232848.57684819429</v>
          </cell>
          <cell r="AH39">
            <v>2473251.7073289063</v>
          </cell>
          <cell r="AI39">
            <v>2642898</v>
          </cell>
          <cell r="AJ39">
            <v>342073.98279223655</v>
          </cell>
          <cell r="AK39">
            <v>3630174.2658256972</v>
          </cell>
          <cell r="AL39">
            <v>2647438</v>
          </cell>
          <cell r="AM39">
            <v>681024.47806670237</v>
          </cell>
        </row>
        <row r="40">
          <cell r="C40">
            <v>20740.905123008713</v>
          </cell>
          <cell r="D40">
            <v>221013.57570000002</v>
          </cell>
          <cell r="F40">
            <v>21366.124393671074</v>
          </cell>
          <cell r="G40">
            <v>228192.63881999999</v>
          </cell>
          <cell r="I40">
            <v>18228.487360068873</v>
          </cell>
          <cell r="J40">
            <v>194869.95408</v>
          </cell>
          <cell r="L40">
            <v>15447.823866435929</v>
          </cell>
          <cell r="M40">
            <v>165259.36970000004</v>
          </cell>
          <cell r="O40">
            <v>13394.55197693152</v>
          </cell>
          <cell r="P40">
            <v>143504.83493000001</v>
          </cell>
          <cell r="R40">
            <v>7314.9217473024519</v>
          </cell>
          <cell r="S40">
            <v>78019.270339999988</v>
          </cell>
          <cell r="U40">
            <v>7341.8521577958318</v>
          </cell>
          <cell r="V40">
            <v>78115.034300000028</v>
          </cell>
          <cell r="X40">
            <v>7080.6378748293992</v>
          </cell>
          <cell r="Y40">
            <v>76079.444549999986</v>
          </cell>
          <cell r="AA40">
            <v>8215.2664895012713</v>
          </cell>
          <cell r="AB40">
            <v>87906.703990000009</v>
          </cell>
          <cell r="AD40">
            <v>12073.809378725022</v>
          </cell>
          <cell r="AE40">
            <v>128391.10337000003</v>
          </cell>
          <cell r="AG40">
            <v>14862.820001291175</v>
          </cell>
          <cell r="AH40">
            <v>157754.21568000005</v>
          </cell>
          <cell r="AJ40">
            <v>31249.506609784188</v>
          </cell>
          <cell r="AK40">
            <v>331932.27472999995</v>
          </cell>
          <cell r="AM40">
            <v>42107.029516679788</v>
          </cell>
        </row>
      </sheetData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  <sheetName val="Kraje"/>
    </sheetNames>
    <sheetDataSet>
      <sheetData sheetId="0">
        <row r="16">
          <cell r="AF16">
            <v>0</v>
          </cell>
        </row>
        <row r="17">
          <cell r="AF17">
            <v>1.6</v>
          </cell>
        </row>
        <row r="18">
          <cell r="AF18">
            <v>0.9</v>
          </cell>
        </row>
        <row r="19">
          <cell r="AF19">
            <v>0.7</v>
          </cell>
        </row>
        <row r="20">
          <cell r="AF20">
            <v>-0.1</v>
          </cell>
        </row>
        <row r="21">
          <cell r="AF21">
            <v>-3.6</v>
          </cell>
        </row>
        <row r="22">
          <cell r="AF22">
            <v>-3.6</v>
          </cell>
        </row>
        <row r="23">
          <cell r="AF23">
            <v>-0.6</v>
          </cell>
        </row>
        <row r="24">
          <cell r="AF24">
            <v>5.6</v>
          </cell>
        </row>
        <row r="25">
          <cell r="AF25">
            <v>11</v>
          </cell>
        </row>
        <row r="26">
          <cell r="AF26">
            <v>2.2999999999999998</v>
          </cell>
        </row>
        <row r="27">
          <cell r="AF27">
            <v>3.6</v>
          </cell>
        </row>
        <row r="28">
          <cell r="AF28">
            <v>4.4000000000000004</v>
          </cell>
        </row>
        <row r="29">
          <cell r="AF29">
            <v>3.9</v>
          </cell>
        </row>
        <row r="30">
          <cell r="AF30">
            <v>2</v>
          </cell>
        </row>
        <row r="31">
          <cell r="AF31">
            <v>2.7</v>
          </cell>
        </row>
        <row r="32">
          <cell r="AF32">
            <v>2.2000000000000002</v>
          </cell>
        </row>
        <row r="33">
          <cell r="AF33">
            <v>1.2</v>
          </cell>
        </row>
        <row r="34">
          <cell r="AF34">
            <v>0.7</v>
          </cell>
        </row>
        <row r="35">
          <cell r="AF35">
            <v>0.7</v>
          </cell>
        </row>
        <row r="36">
          <cell r="AF36">
            <v>1.2</v>
          </cell>
        </row>
        <row r="37">
          <cell r="AF37">
            <v>3.5</v>
          </cell>
        </row>
        <row r="38">
          <cell r="AF38">
            <v>1.5</v>
          </cell>
        </row>
        <row r="39">
          <cell r="AF39">
            <v>-1.1000000000000001</v>
          </cell>
        </row>
        <row r="40">
          <cell r="AF40">
            <v>-0.2</v>
          </cell>
        </row>
        <row r="41">
          <cell r="AF41">
            <v>-1</v>
          </cell>
        </row>
        <row r="42">
          <cell r="AF42">
            <v>-0.1</v>
          </cell>
        </row>
        <row r="43">
          <cell r="AF43">
            <v>0.4</v>
          </cell>
        </row>
        <row r="44">
          <cell r="AF44">
            <v>0</v>
          </cell>
        </row>
        <row r="45">
          <cell r="AF45">
            <v>-0.4</v>
          </cell>
        </row>
        <row r="46">
          <cell r="AF46">
            <v>-1.7</v>
          </cell>
        </row>
        <row r="47">
          <cell r="AF47">
            <v>-1.4</v>
          </cell>
        </row>
        <row r="48">
          <cell r="AF48">
            <v>-1.6</v>
          </cell>
        </row>
        <row r="49">
          <cell r="AF49">
            <v>-2.5</v>
          </cell>
        </row>
        <row r="50">
          <cell r="AF50">
            <v>-2.9</v>
          </cell>
        </row>
        <row r="51">
          <cell r="AF51">
            <v>-3.4</v>
          </cell>
        </row>
        <row r="52">
          <cell r="AF52">
            <v>-3.9</v>
          </cell>
        </row>
        <row r="53">
          <cell r="AF53">
            <v>-3.7</v>
          </cell>
        </row>
        <row r="54">
          <cell r="AF54">
            <v>-2.2999999999999998</v>
          </cell>
        </row>
        <row r="55">
          <cell r="AF55">
            <v>0.4</v>
          </cell>
        </row>
        <row r="56">
          <cell r="AF56">
            <v>2.4</v>
          </cell>
        </row>
        <row r="57">
          <cell r="AF57">
            <v>0.8</v>
          </cell>
        </row>
        <row r="58">
          <cell r="AF58">
            <v>0.6</v>
          </cell>
        </row>
        <row r="59">
          <cell r="AF59">
            <v>-0.1</v>
          </cell>
        </row>
        <row r="60">
          <cell r="AF60">
            <v>0.7</v>
          </cell>
        </row>
        <row r="61">
          <cell r="AF61">
            <v>2.2999999999999998</v>
          </cell>
        </row>
        <row r="62">
          <cell r="AF62">
            <v>0.8</v>
          </cell>
        </row>
        <row r="63">
          <cell r="AF63">
            <v>-0.2</v>
          </cell>
        </row>
        <row r="64">
          <cell r="AF64">
            <v>-0.3</v>
          </cell>
        </row>
        <row r="65">
          <cell r="AF65">
            <v>-0.6</v>
          </cell>
        </row>
        <row r="66">
          <cell r="AF66">
            <v>1.2</v>
          </cell>
        </row>
        <row r="67">
          <cell r="AF67">
            <v>2</v>
          </cell>
        </row>
        <row r="68">
          <cell r="AF68">
            <v>2</v>
          </cell>
        </row>
        <row r="69">
          <cell r="AF69">
            <v>3.1</v>
          </cell>
        </row>
        <row r="70">
          <cell r="AF70">
            <v>3.7</v>
          </cell>
        </row>
        <row r="71">
          <cell r="AF71">
            <v>2.4</v>
          </cell>
        </row>
        <row r="72">
          <cell r="AF72">
            <v>2</v>
          </cell>
        </row>
        <row r="73">
          <cell r="AF73">
            <v>2.5</v>
          </cell>
        </row>
        <row r="74">
          <cell r="AF74">
            <v>2.2000000000000002</v>
          </cell>
        </row>
        <row r="75">
          <cell r="AF75"/>
        </row>
        <row r="76">
          <cell r="AF76">
            <v>2.7</v>
          </cell>
        </row>
        <row r="77">
          <cell r="AF77">
            <v>3.8</v>
          </cell>
        </row>
        <row r="78">
          <cell r="AF78">
            <v>2.7</v>
          </cell>
        </row>
        <row r="79">
          <cell r="AF79">
            <v>2.2999999999999998</v>
          </cell>
        </row>
        <row r="80">
          <cell r="AF80">
            <v>1</v>
          </cell>
        </row>
        <row r="81">
          <cell r="AF81">
            <v>2.4</v>
          </cell>
        </row>
        <row r="82">
          <cell r="AF82">
            <v>3</v>
          </cell>
        </row>
        <row r="83">
          <cell r="AF83">
            <v>4.3</v>
          </cell>
        </row>
        <row r="84">
          <cell r="AF84">
            <v>3.3</v>
          </cell>
        </row>
        <row r="85">
          <cell r="AF85">
            <v>4.4000000000000004</v>
          </cell>
        </row>
        <row r="86">
          <cell r="AF86">
            <v>2.9</v>
          </cell>
        </row>
        <row r="87">
          <cell r="AF87">
            <v>2.6</v>
          </cell>
        </row>
        <row r="88">
          <cell r="AF88">
            <v>2.1</v>
          </cell>
        </row>
        <row r="89">
          <cell r="AF89">
            <v>1.8</v>
          </cell>
        </row>
        <row r="90">
          <cell r="AF90">
            <v>4.4000000000000004</v>
          </cell>
        </row>
        <row r="91">
          <cell r="AF91">
            <v>7.1</v>
          </cell>
        </row>
        <row r="92">
          <cell r="AF92">
            <v>6.7</v>
          </cell>
        </row>
        <row r="93">
          <cell r="AF93">
            <v>4.5999999999999996</v>
          </cell>
        </row>
        <row r="94">
          <cell r="AF94">
            <v>3.6</v>
          </cell>
        </row>
        <row r="95">
          <cell r="AF95">
            <v>3.3</v>
          </cell>
        </row>
        <row r="96">
          <cell r="AF96">
            <v>6.1</v>
          </cell>
        </row>
        <row r="97">
          <cell r="AF97">
            <v>2.4</v>
          </cell>
        </row>
        <row r="98">
          <cell r="AF98">
            <v>3.1</v>
          </cell>
        </row>
        <row r="99">
          <cell r="AF99">
            <v>6.7</v>
          </cell>
        </row>
        <row r="100">
          <cell r="AF100">
            <v>10.1</v>
          </cell>
        </row>
        <row r="101">
          <cell r="AF101">
            <v>9.5</v>
          </cell>
        </row>
        <row r="102">
          <cell r="AF102">
            <v>5.8</v>
          </cell>
        </row>
        <row r="103">
          <cell r="AF103">
            <v>4.2</v>
          </cell>
        </row>
        <row r="104">
          <cell r="AF104">
            <v>7.4</v>
          </cell>
        </row>
        <row r="105">
          <cell r="AF105">
            <v>4.5</v>
          </cell>
        </row>
        <row r="106">
          <cell r="AF106">
            <v>5.3</v>
          </cell>
        </row>
        <row r="107">
          <cell r="AF107">
            <v>2.2000000000000002</v>
          </cell>
        </row>
        <row r="108">
          <cell r="AF108">
            <v>1.3</v>
          </cell>
        </row>
        <row r="109">
          <cell r="AF109">
            <v>1.8</v>
          </cell>
        </row>
        <row r="110">
          <cell r="AF110">
            <v>1.6</v>
          </cell>
        </row>
        <row r="111">
          <cell r="AF111">
            <v>1.7</v>
          </cell>
        </row>
        <row r="112">
          <cell r="AF112">
            <v>1</v>
          </cell>
        </row>
        <row r="113">
          <cell r="AF113">
            <v>4.3</v>
          </cell>
        </row>
        <row r="114">
          <cell r="AF114">
            <v>6.2</v>
          </cell>
        </row>
        <row r="115">
          <cell r="AF115">
            <v>8.1</v>
          </cell>
        </row>
        <row r="116">
          <cell r="AF116">
            <v>9.9</v>
          </cell>
        </row>
        <row r="117">
          <cell r="AF117">
            <v>12</v>
          </cell>
        </row>
        <row r="118">
          <cell r="AF118">
            <v>10.8</v>
          </cell>
        </row>
        <row r="119">
          <cell r="AF119">
            <v>8.5</v>
          </cell>
        </row>
        <row r="120">
          <cell r="AF120">
            <v>8.9</v>
          </cell>
        </row>
        <row r="121">
          <cell r="AF121">
            <v>14.2</v>
          </cell>
        </row>
        <row r="122">
          <cell r="AF122">
            <v>14.8</v>
          </cell>
        </row>
        <row r="123">
          <cell r="AF123">
            <v>8.1</v>
          </cell>
        </row>
        <row r="124">
          <cell r="AF124">
            <v>3.9</v>
          </cell>
        </row>
        <row r="125">
          <cell r="AF125">
            <v>6.4</v>
          </cell>
        </row>
        <row r="126">
          <cell r="AF126">
            <v>10.4</v>
          </cell>
        </row>
        <row r="127">
          <cell r="AF127">
            <v>12</v>
          </cell>
        </row>
        <row r="128">
          <cell r="AF128">
            <v>10</v>
          </cell>
        </row>
        <row r="129">
          <cell r="AF129">
            <v>10.6</v>
          </cell>
        </row>
        <row r="130">
          <cell r="AF130">
            <v>11.1</v>
          </cell>
        </row>
        <row r="131">
          <cell r="AF131">
            <v>14.6</v>
          </cell>
        </row>
        <row r="132">
          <cell r="AF132">
            <v>13.5</v>
          </cell>
        </row>
        <row r="133">
          <cell r="AF133">
            <v>15.5</v>
          </cell>
        </row>
        <row r="134">
          <cell r="AF134">
            <v>7.3</v>
          </cell>
        </row>
        <row r="135">
          <cell r="AF135">
            <v>7.1</v>
          </cell>
        </row>
        <row r="136">
          <cell r="AF136">
            <v>8.8000000000000007</v>
          </cell>
        </row>
        <row r="137">
          <cell r="AF137"/>
        </row>
        <row r="138">
          <cell r="AF138"/>
        </row>
        <row r="139">
          <cell r="AF139"/>
        </row>
        <row r="140">
          <cell r="AF140"/>
        </row>
        <row r="141">
          <cell r="AF141"/>
        </row>
        <row r="142">
          <cell r="AF142"/>
        </row>
        <row r="143">
          <cell r="AF143"/>
        </row>
        <row r="144">
          <cell r="AF144"/>
        </row>
        <row r="145">
          <cell r="AF145"/>
        </row>
        <row r="146">
          <cell r="AF146"/>
        </row>
        <row r="147">
          <cell r="AF147"/>
        </row>
        <row r="148">
          <cell r="AF148"/>
        </row>
        <row r="149">
          <cell r="AF149"/>
        </row>
        <row r="150">
          <cell r="AF150"/>
        </row>
        <row r="151">
          <cell r="AF151"/>
        </row>
        <row r="152">
          <cell r="AF152"/>
        </row>
        <row r="153">
          <cell r="AF153"/>
        </row>
        <row r="154">
          <cell r="AF154"/>
        </row>
        <row r="155">
          <cell r="AF155"/>
        </row>
        <row r="156">
          <cell r="AF156"/>
        </row>
        <row r="157">
          <cell r="AF157"/>
        </row>
        <row r="158">
          <cell r="AF158"/>
        </row>
        <row r="159">
          <cell r="AF159"/>
        </row>
        <row r="160">
          <cell r="AF160"/>
        </row>
        <row r="161">
          <cell r="AF161"/>
        </row>
        <row r="162">
          <cell r="AF162"/>
        </row>
        <row r="163">
          <cell r="AF163"/>
        </row>
        <row r="164">
          <cell r="AF164"/>
        </row>
        <row r="165">
          <cell r="AF165"/>
        </row>
        <row r="166">
          <cell r="AF166"/>
        </row>
        <row r="167">
          <cell r="AF167"/>
        </row>
        <row r="168">
          <cell r="AF168"/>
        </row>
        <row r="169">
          <cell r="AF169"/>
        </row>
        <row r="170">
          <cell r="AF170"/>
        </row>
        <row r="171">
          <cell r="AF171"/>
        </row>
        <row r="172">
          <cell r="AF172"/>
        </row>
        <row r="173">
          <cell r="AF173"/>
        </row>
        <row r="174">
          <cell r="AF174"/>
        </row>
        <row r="175">
          <cell r="AF175"/>
        </row>
        <row r="176">
          <cell r="AF176"/>
        </row>
        <row r="177">
          <cell r="AF177"/>
        </row>
        <row r="178">
          <cell r="AF178"/>
        </row>
        <row r="179">
          <cell r="AF179"/>
        </row>
        <row r="180">
          <cell r="AF180"/>
        </row>
        <row r="181">
          <cell r="AF181"/>
        </row>
        <row r="182">
          <cell r="AF182"/>
        </row>
        <row r="183">
          <cell r="AF183"/>
        </row>
        <row r="184">
          <cell r="AF184"/>
        </row>
        <row r="185">
          <cell r="AF185"/>
        </row>
        <row r="186">
          <cell r="AF186"/>
        </row>
        <row r="187">
          <cell r="AF187"/>
        </row>
        <row r="188">
          <cell r="AF188"/>
        </row>
        <row r="189">
          <cell r="AF189"/>
        </row>
        <row r="190">
          <cell r="AF190"/>
        </row>
        <row r="191">
          <cell r="AF191"/>
        </row>
        <row r="192">
          <cell r="AF192"/>
        </row>
        <row r="193">
          <cell r="AF193"/>
        </row>
        <row r="194">
          <cell r="AF194"/>
        </row>
        <row r="195">
          <cell r="AF195"/>
        </row>
        <row r="196">
          <cell r="AF196"/>
        </row>
        <row r="197">
          <cell r="AF197"/>
        </row>
        <row r="198">
          <cell r="AF198"/>
        </row>
        <row r="199">
          <cell r="AF199"/>
        </row>
        <row r="200">
          <cell r="AF200"/>
        </row>
        <row r="201">
          <cell r="AF201"/>
        </row>
        <row r="202">
          <cell r="AF202"/>
        </row>
        <row r="203">
          <cell r="AF203"/>
        </row>
        <row r="204">
          <cell r="AF204"/>
        </row>
        <row r="205">
          <cell r="AF205"/>
        </row>
        <row r="206">
          <cell r="AF206"/>
        </row>
        <row r="207">
          <cell r="AF207"/>
        </row>
        <row r="208">
          <cell r="AF208"/>
        </row>
        <row r="209">
          <cell r="AF209"/>
        </row>
        <row r="210">
          <cell r="AF210"/>
        </row>
        <row r="211">
          <cell r="AF211"/>
        </row>
        <row r="212">
          <cell r="AF212"/>
        </row>
        <row r="213">
          <cell r="AF213"/>
        </row>
        <row r="214">
          <cell r="AF214"/>
        </row>
        <row r="215">
          <cell r="AF215"/>
        </row>
        <row r="216">
          <cell r="AF216"/>
        </row>
        <row r="217">
          <cell r="AF217"/>
        </row>
        <row r="218">
          <cell r="AF218"/>
        </row>
        <row r="219">
          <cell r="AF219"/>
        </row>
        <row r="220">
          <cell r="AF220"/>
        </row>
        <row r="221">
          <cell r="AF221"/>
        </row>
        <row r="222">
          <cell r="AF222"/>
        </row>
        <row r="223">
          <cell r="AF223"/>
        </row>
        <row r="224">
          <cell r="AF224"/>
        </row>
        <row r="225">
          <cell r="AF225"/>
        </row>
        <row r="226">
          <cell r="AF226"/>
        </row>
        <row r="227">
          <cell r="AF227"/>
        </row>
        <row r="228">
          <cell r="AF228"/>
        </row>
        <row r="229">
          <cell r="AF229"/>
        </row>
        <row r="230">
          <cell r="AF230"/>
        </row>
        <row r="231">
          <cell r="AF231"/>
        </row>
        <row r="232">
          <cell r="AF232"/>
        </row>
        <row r="233">
          <cell r="AF233"/>
        </row>
        <row r="234">
          <cell r="AF234"/>
        </row>
        <row r="235">
          <cell r="AF235"/>
        </row>
        <row r="236">
          <cell r="AF236"/>
        </row>
        <row r="237">
          <cell r="AF237"/>
        </row>
        <row r="238">
          <cell r="AF238"/>
        </row>
        <row r="239">
          <cell r="AF239"/>
        </row>
        <row r="240">
          <cell r="AF240"/>
        </row>
        <row r="241">
          <cell r="AF241"/>
        </row>
        <row r="242">
          <cell r="AF242"/>
        </row>
        <row r="243">
          <cell r="AF243"/>
        </row>
        <row r="244">
          <cell r="AF244"/>
        </row>
        <row r="245">
          <cell r="AF245"/>
        </row>
        <row r="246">
          <cell r="AF246"/>
        </row>
        <row r="247">
          <cell r="AF247"/>
        </row>
        <row r="248">
          <cell r="AF248"/>
        </row>
        <row r="249">
          <cell r="AF249"/>
        </row>
        <row r="250">
          <cell r="AF250"/>
        </row>
        <row r="251">
          <cell r="AF251"/>
        </row>
        <row r="252">
          <cell r="AF252"/>
        </row>
        <row r="253">
          <cell r="AF253"/>
        </row>
        <row r="254">
          <cell r="AF254"/>
        </row>
        <row r="255">
          <cell r="AF255"/>
        </row>
        <row r="256">
          <cell r="AF256"/>
        </row>
        <row r="257">
          <cell r="AF257"/>
        </row>
        <row r="258">
          <cell r="AF258"/>
        </row>
        <row r="259">
          <cell r="AF259"/>
        </row>
        <row r="260">
          <cell r="AF260"/>
        </row>
        <row r="261">
          <cell r="AF261"/>
        </row>
        <row r="262">
          <cell r="AF262"/>
        </row>
        <row r="263">
          <cell r="AF263"/>
        </row>
        <row r="264">
          <cell r="AF264"/>
        </row>
        <row r="265">
          <cell r="AF265"/>
        </row>
        <row r="266">
          <cell r="AF266"/>
        </row>
        <row r="267">
          <cell r="AF267"/>
        </row>
        <row r="268">
          <cell r="AF268"/>
        </row>
        <row r="269">
          <cell r="AF269"/>
        </row>
        <row r="270">
          <cell r="AF270"/>
        </row>
        <row r="271">
          <cell r="AF271"/>
        </row>
        <row r="272">
          <cell r="AF272"/>
        </row>
        <row r="273">
          <cell r="AF273"/>
        </row>
        <row r="274">
          <cell r="AF274"/>
        </row>
        <row r="275">
          <cell r="AF275"/>
        </row>
        <row r="276">
          <cell r="AF276"/>
        </row>
        <row r="277">
          <cell r="AF277"/>
        </row>
        <row r="278">
          <cell r="AF278"/>
        </row>
        <row r="279">
          <cell r="AF279"/>
        </row>
        <row r="280">
          <cell r="AF280"/>
        </row>
        <row r="281">
          <cell r="AF281"/>
        </row>
        <row r="282">
          <cell r="AF282"/>
        </row>
        <row r="283">
          <cell r="AF283"/>
        </row>
        <row r="284">
          <cell r="AF284"/>
        </row>
        <row r="285">
          <cell r="AF285"/>
        </row>
        <row r="286">
          <cell r="AF286"/>
        </row>
        <row r="287">
          <cell r="AF287"/>
        </row>
        <row r="288">
          <cell r="AF288"/>
        </row>
        <row r="289">
          <cell r="AF289"/>
        </row>
        <row r="290">
          <cell r="AF290"/>
        </row>
        <row r="291">
          <cell r="AF291"/>
        </row>
        <row r="292">
          <cell r="AF292"/>
        </row>
        <row r="293">
          <cell r="AF293"/>
        </row>
        <row r="294">
          <cell r="AF294"/>
        </row>
        <row r="295">
          <cell r="AF295"/>
        </row>
        <row r="296">
          <cell r="AF296"/>
        </row>
        <row r="297">
          <cell r="AF297"/>
        </row>
        <row r="298">
          <cell r="AF298"/>
        </row>
        <row r="299">
          <cell r="AF299"/>
        </row>
        <row r="300">
          <cell r="AF300"/>
        </row>
        <row r="301">
          <cell r="AF301"/>
        </row>
        <row r="302">
          <cell r="AF302"/>
        </row>
        <row r="303">
          <cell r="AF303"/>
        </row>
        <row r="304">
          <cell r="AF304"/>
        </row>
        <row r="305">
          <cell r="AF305"/>
        </row>
        <row r="306">
          <cell r="AF306"/>
        </row>
        <row r="307">
          <cell r="AF307"/>
        </row>
        <row r="308">
          <cell r="AF308"/>
        </row>
        <row r="309">
          <cell r="AF309"/>
        </row>
        <row r="310">
          <cell r="AF310"/>
        </row>
        <row r="311">
          <cell r="AF311"/>
        </row>
        <row r="312">
          <cell r="AF312"/>
        </row>
        <row r="313">
          <cell r="AF313"/>
        </row>
        <row r="314">
          <cell r="AF314"/>
        </row>
        <row r="315">
          <cell r="AF315"/>
        </row>
        <row r="316">
          <cell r="AF316"/>
        </row>
        <row r="317">
          <cell r="AF317"/>
        </row>
        <row r="318">
          <cell r="AF318"/>
        </row>
        <row r="319">
          <cell r="AF319"/>
        </row>
        <row r="320">
          <cell r="AF320"/>
        </row>
        <row r="321">
          <cell r="AF321"/>
        </row>
        <row r="322">
          <cell r="AF322"/>
        </row>
        <row r="323">
          <cell r="AF323"/>
        </row>
        <row r="324">
          <cell r="AF324"/>
        </row>
        <row r="325">
          <cell r="AF325"/>
        </row>
        <row r="326">
          <cell r="AF326"/>
        </row>
        <row r="327">
          <cell r="AF327"/>
        </row>
        <row r="328">
          <cell r="AF328"/>
        </row>
        <row r="329">
          <cell r="AF329"/>
        </row>
        <row r="330">
          <cell r="AF330"/>
        </row>
        <row r="331">
          <cell r="AF331"/>
        </row>
        <row r="332">
          <cell r="AF332"/>
        </row>
        <row r="333">
          <cell r="AF333"/>
        </row>
        <row r="334">
          <cell r="AF334"/>
        </row>
        <row r="335">
          <cell r="AF335"/>
        </row>
        <row r="336">
          <cell r="AF336"/>
        </row>
        <row r="337">
          <cell r="AF337"/>
        </row>
        <row r="338">
          <cell r="AF338"/>
        </row>
        <row r="339">
          <cell r="AF339"/>
        </row>
        <row r="340">
          <cell r="AF340"/>
        </row>
        <row r="341">
          <cell r="AF341"/>
        </row>
        <row r="342">
          <cell r="AF342"/>
        </row>
        <row r="343">
          <cell r="AF343"/>
        </row>
        <row r="344">
          <cell r="AF344"/>
        </row>
        <row r="345">
          <cell r="AF345"/>
        </row>
        <row r="346">
          <cell r="AF346"/>
        </row>
        <row r="347">
          <cell r="AF347"/>
        </row>
        <row r="348">
          <cell r="AF348"/>
        </row>
        <row r="349">
          <cell r="AF349"/>
        </row>
        <row r="350">
          <cell r="AF350"/>
        </row>
        <row r="351">
          <cell r="AF351"/>
        </row>
        <row r="352">
          <cell r="AF352"/>
        </row>
        <row r="353">
          <cell r="AF353"/>
        </row>
        <row r="354">
          <cell r="AF354"/>
        </row>
        <row r="355">
          <cell r="AF355"/>
        </row>
        <row r="356">
          <cell r="AF356"/>
        </row>
        <row r="357">
          <cell r="AF357"/>
        </row>
        <row r="358">
          <cell r="AF358"/>
        </row>
        <row r="359">
          <cell r="AF359"/>
        </row>
        <row r="360">
          <cell r="AF360"/>
        </row>
        <row r="361">
          <cell r="AF361"/>
        </row>
        <row r="362">
          <cell r="AF362"/>
        </row>
        <row r="363">
          <cell r="AF363"/>
        </row>
        <row r="364">
          <cell r="AF364"/>
        </row>
        <row r="365">
          <cell r="AF365"/>
        </row>
        <row r="366">
          <cell r="AF366"/>
        </row>
        <row r="367">
          <cell r="AF367"/>
        </row>
        <row r="368">
          <cell r="AF368"/>
        </row>
        <row r="369">
          <cell r="AF369"/>
        </row>
        <row r="370">
          <cell r="AF370"/>
        </row>
        <row r="371">
          <cell r="AF371"/>
        </row>
        <row r="372">
          <cell r="AF372"/>
        </row>
        <row r="373">
          <cell r="AF373"/>
        </row>
        <row r="374">
          <cell r="AF374"/>
        </row>
        <row r="375">
          <cell r="AF375"/>
        </row>
        <row r="376">
          <cell r="AF376"/>
        </row>
        <row r="377">
          <cell r="AF377"/>
        </row>
        <row r="378">
          <cell r="AF378"/>
        </row>
        <row r="379">
          <cell r="AF379"/>
        </row>
        <row r="380">
          <cell r="AF380"/>
        </row>
        <row r="381">
          <cell r="AF381"/>
        </row>
      </sheetData>
      <sheetData sheetId="1"/>
      <sheetData sheetId="2"/>
      <sheetData sheetId="3">
        <row r="3">
          <cell r="D3">
            <v>1.1774193548387095</v>
          </cell>
          <cell r="E3">
            <v>11.8</v>
          </cell>
          <cell r="F3">
            <v>-2.2000000000000002</v>
          </cell>
          <cell r="G3">
            <v>-1.899999999999999</v>
          </cell>
          <cell r="H3">
            <v>3.0774193548387085</v>
          </cell>
          <cell r="I3">
            <v>-0.41785714285714298</v>
          </cell>
          <cell r="J3">
            <v>2.4</v>
          </cell>
          <cell r="K3">
            <v>-4</v>
          </cell>
          <cell r="L3">
            <v>-0.80000000000000038</v>
          </cell>
          <cell r="M3">
            <v>0.3821428571428574</v>
          </cell>
          <cell r="N3">
            <v>3.7967741935483872</v>
          </cell>
          <cell r="O3">
            <v>8.5</v>
          </cell>
          <cell r="P3">
            <v>0.2</v>
          </cell>
          <cell r="Q3">
            <v>3.0999999999999988</v>
          </cell>
          <cell r="R3">
            <v>0.69677419354838843</v>
          </cell>
          <cell r="S3">
            <v>7.6833333333333345</v>
          </cell>
          <cell r="T3">
            <v>14.9</v>
          </cell>
          <cell r="U3">
            <v>0.3</v>
          </cell>
          <cell r="V3">
            <v>7.0999999999999961</v>
          </cell>
          <cell r="W3">
            <v>0.58333333333333837</v>
          </cell>
          <cell r="X3" t="e">
            <v>#DIV/0!</v>
          </cell>
          <cell r="Y3">
            <v>0</v>
          </cell>
          <cell r="Z3">
            <v>0</v>
          </cell>
          <cell r="AA3">
            <v>12.5</v>
          </cell>
          <cell r="AB3" t="e">
            <v>#DIV/0!</v>
          </cell>
          <cell r="AC3" t="e">
            <v>#DIV/0!</v>
          </cell>
          <cell r="AD3">
            <v>0</v>
          </cell>
          <cell r="AE3">
            <v>0</v>
          </cell>
          <cell r="AF3">
            <v>15.399999999999993</v>
          </cell>
          <cell r="AG3" t="e">
            <v>#DIV/0!</v>
          </cell>
          <cell r="AH3" t="e">
            <v>#DIV/0!</v>
          </cell>
          <cell r="AI3">
            <v>0</v>
          </cell>
          <cell r="AJ3">
            <v>0</v>
          </cell>
          <cell r="AK3">
            <v>17.199999999999996</v>
          </cell>
          <cell r="AL3" t="e">
            <v>#DIV/0!</v>
          </cell>
          <cell r="AM3" t="e">
            <v>#DIV/0!</v>
          </cell>
          <cell r="AN3">
            <v>0</v>
          </cell>
          <cell r="AO3">
            <v>0</v>
          </cell>
          <cell r="AP3">
            <v>16.899999999999991</v>
          </cell>
          <cell r="AQ3" t="e">
            <v>#DIV/0!</v>
          </cell>
          <cell r="AR3" t="e">
            <v>#DIV/0!</v>
          </cell>
          <cell r="AS3">
            <v>0</v>
          </cell>
          <cell r="AT3">
            <v>0</v>
          </cell>
          <cell r="AU3">
            <v>12.600000000000003</v>
          </cell>
          <cell r="AV3" t="e">
            <v>#DIV/0!</v>
          </cell>
          <cell r="AW3" t="e">
            <v>#DIV/0!</v>
          </cell>
          <cell r="AX3">
            <v>0</v>
          </cell>
          <cell r="AY3">
            <v>0</v>
          </cell>
          <cell r="AZ3">
            <v>7.5</v>
          </cell>
          <cell r="BA3" t="e">
            <v>#DIV/0!</v>
          </cell>
          <cell r="BB3" t="e">
            <v>#DIV/0!</v>
          </cell>
          <cell r="BC3">
            <v>0</v>
          </cell>
          <cell r="BD3">
            <v>0</v>
          </cell>
          <cell r="BE3">
            <v>2.2999999999999985</v>
          </cell>
          <cell r="BF3" t="e">
            <v>#DIV/0!</v>
          </cell>
          <cell r="BG3" t="e">
            <v>#DIV/0!</v>
          </cell>
          <cell r="BH3">
            <v>0</v>
          </cell>
          <cell r="BI3">
            <v>0</v>
          </cell>
          <cell r="BJ3">
            <v>-0.5</v>
          </cell>
          <cell r="BK3" t="e">
            <v>#DIV/0!</v>
          </cell>
          <cell r="BL3">
            <v>3.1083333333333334</v>
          </cell>
          <cell r="BM3">
            <v>14.9</v>
          </cell>
        </row>
        <row r="4">
          <cell r="D4">
            <v>1.7354838709677418</v>
          </cell>
          <cell r="E4">
            <v>11.8</v>
          </cell>
          <cell r="F4">
            <v>-4.2</v>
          </cell>
          <cell r="G4">
            <v>-1.7000000000000008</v>
          </cell>
          <cell r="H4">
            <v>3.4354838709677429</v>
          </cell>
          <cell r="I4">
            <v>1.4071428571428568</v>
          </cell>
          <cell r="J4">
            <v>5.5</v>
          </cell>
          <cell r="K4">
            <v>-2.5</v>
          </cell>
          <cell r="L4">
            <v>-0.10000000000000005</v>
          </cell>
          <cell r="M4">
            <v>1.5071428571428569</v>
          </cell>
          <cell r="N4">
            <v>5.2580645161290329</v>
          </cell>
          <cell r="O4">
            <v>11.8</v>
          </cell>
          <cell r="P4">
            <v>1.7</v>
          </cell>
          <cell r="Q4">
            <v>4.2000000000000011</v>
          </cell>
          <cell r="R4">
            <v>1.0580645161290319</v>
          </cell>
          <cell r="S4">
            <v>9.7566666666666659</v>
          </cell>
          <cell r="T4">
            <v>18.100000000000001</v>
          </cell>
          <cell r="U4">
            <v>2.6</v>
          </cell>
          <cell r="V4">
            <v>8.9000000000000021</v>
          </cell>
          <cell r="W4">
            <v>0.8566666666666638</v>
          </cell>
          <cell r="X4" t="e">
            <v>#DIV/0!</v>
          </cell>
          <cell r="Y4">
            <v>0</v>
          </cell>
          <cell r="Z4">
            <v>0</v>
          </cell>
          <cell r="AA4">
            <v>14.199999999999992</v>
          </cell>
          <cell r="AB4" t="e">
            <v>#DIV/0!</v>
          </cell>
          <cell r="AC4" t="e">
            <v>#DIV/0!</v>
          </cell>
          <cell r="AD4">
            <v>0</v>
          </cell>
          <cell r="AE4">
            <v>0</v>
          </cell>
          <cell r="AF4">
            <v>17</v>
          </cell>
          <cell r="AG4" t="e">
            <v>#DIV/0!</v>
          </cell>
          <cell r="AH4" t="e">
            <v>#DIV/0!</v>
          </cell>
          <cell r="AI4">
            <v>0</v>
          </cell>
          <cell r="AJ4">
            <v>0</v>
          </cell>
          <cell r="AK4">
            <v>18.899999999999988</v>
          </cell>
          <cell r="AL4" t="e">
            <v>#DIV/0!</v>
          </cell>
          <cell r="AM4" t="e">
            <v>#DIV/0!</v>
          </cell>
          <cell r="AN4">
            <v>0</v>
          </cell>
          <cell r="AO4">
            <v>0</v>
          </cell>
          <cell r="AP4">
            <v>18.7</v>
          </cell>
          <cell r="AQ4" t="e">
            <v>#DIV/0!</v>
          </cell>
          <cell r="AR4" t="e">
            <v>#DIV/0!</v>
          </cell>
          <cell r="AS4">
            <v>0</v>
          </cell>
          <cell r="AT4">
            <v>0</v>
          </cell>
          <cell r="AU4">
            <v>14.199999999999992</v>
          </cell>
          <cell r="AV4" t="e">
            <v>#DIV/0!</v>
          </cell>
          <cell r="AW4" t="e">
            <v>#DIV/0!</v>
          </cell>
          <cell r="AX4">
            <v>0</v>
          </cell>
          <cell r="AY4">
            <v>0</v>
          </cell>
          <cell r="AZ4">
            <v>8.9</v>
          </cell>
          <cell r="BA4" t="e">
            <v>#DIV/0!</v>
          </cell>
          <cell r="BB4" t="e">
            <v>#DIV/0!</v>
          </cell>
          <cell r="BC4">
            <v>0</v>
          </cell>
          <cell r="BD4">
            <v>0</v>
          </cell>
          <cell r="BE4">
            <v>3.2000000000000015</v>
          </cell>
          <cell r="BF4" t="e">
            <v>#DIV/0!</v>
          </cell>
          <cell r="BG4" t="e">
            <v>#DIV/0!</v>
          </cell>
          <cell r="BH4">
            <v>0</v>
          </cell>
          <cell r="BI4">
            <v>0</v>
          </cell>
          <cell r="BJ4">
            <v>-0.20000000000000009</v>
          </cell>
          <cell r="BK4" t="e">
            <v>#DIV/0!</v>
          </cell>
          <cell r="BL4">
            <v>4.5741666666666676</v>
          </cell>
          <cell r="BM4">
            <v>18.100000000000001</v>
          </cell>
        </row>
        <row r="5">
          <cell r="D5">
            <v>0.17741935483870946</v>
          </cell>
          <cell r="E5">
            <v>6.8</v>
          </cell>
          <cell r="F5">
            <v>-3.2</v>
          </cell>
          <cell r="G5">
            <v>-2</v>
          </cell>
          <cell r="H5">
            <v>2.1774193548387095</v>
          </cell>
          <cell r="I5">
            <v>-1.6392857142857147</v>
          </cell>
          <cell r="J5">
            <v>1.3</v>
          </cell>
          <cell r="K5">
            <v>-6.4</v>
          </cell>
          <cell r="L5">
            <v>-1.1000000000000005</v>
          </cell>
          <cell r="M5">
            <v>-0.53928571428571415</v>
          </cell>
          <cell r="N5">
            <v>3.2677419354838708</v>
          </cell>
          <cell r="O5">
            <v>8.6999999999999993</v>
          </cell>
          <cell r="P5">
            <v>0.2</v>
          </cell>
          <cell r="Q5">
            <v>2.7000000000000015</v>
          </cell>
          <cell r="R5">
            <v>0.56774193548386931</v>
          </cell>
          <cell r="S5">
            <v>6.3466666666666658</v>
          </cell>
          <cell r="T5">
            <v>12.9</v>
          </cell>
          <cell r="U5">
            <v>-0.2</v>
          </cell>
          <cell r="V5">
            <v>6.5</v>
          </cell>
          <cell r="W5">
            <v>-0.15333333333333421</v>
          </cell>
          <cell r="X5" t="e">
            <v>#DIV/0!</v>
          </cell>
          <cell r="Y5">
            <v>0</v>
          </cell>
          <cell r="Z5">
            <v>0</v>
          </cell>
          <cell r="AA5">
            <v>11.800000000000006</v>
          </cell>
          <cell r="AB5" t="e">
            <v>#DIV/0!</v>
          </cell>
          <cell r="AC5" t="e">
            <v>#DIV/0!</v>
          </cell>
          <cell r="AD5">
            <v>0</v>
          </cell>
          <cell r="AE5">
            <v>0</v>
          </cell>
          <cell r="AF5">
            <v>14.600000000000007</v>
          </cell>
          <cell r="AG5" t="e">
            <v>#DIV/0!</v>
          </cell>
          <cell r="AH5" t="e">
            <v>#DIV/0!</v>
          </cell>
          <cell r="AI5">
            <v>0</v>
          </cell>
          <cell r="AJ5">
            <v>0</v>
          </cell>
          <cell r="AK5">
            <v>16.5</v>
          </cell>
          <cell r="AL5" t="e">
            <v>#DIV/0!</v>
          </cell>
          <cell r="AM5" t="e">
            <v>#DIV/0!</v>
          </cell>
          <cell r="AN5">
            <v>0</v>
          </cell>
          <cell r="AO5">
            <v>0</v>
          </cell>
          <cell r="AP5">
            <v>16.100000000000009</v>
          </cell>
          <cell r="AQ5" t="e">
            <v>#DIV/0!</v>
          </cell>
          <cell r="AR5" t="e">
            <v>#DIV/0!</v>
          </cell>
          <cell r="AS5">
            <v>0</v>
          </cell>
          <cell r="AT5">
            <v>0</v>
          </cell>
          <cell r="AU5">
            <v>11.800000000000006</v>
          </cell>
          <cell r="AV5" t="e">
            <v>#DIV/0!</v>
          </cell>
          <cell r="AW5" t="e">
            <v>#DIV/0!</v>
          </cell>
          <cell r="AX5">
            <v>0</v>
          </cell>
          <cell r="AY5">
            <v>0</v>
          </cell>
          <cell r="AZ5">
            <v>7</v>
          </cell>
          <cell r="BA5" t="e">
            <v>#DIV/0!</v>
          </cell>
          <cell r="BB5" t="e">
            <v>#DIV/0!</v>
          </cell>
          <cell r="BC5">
            <v>0</v>
          </cell>
          <cell r="BD5">
            <v>0</v>
          </cell>
          <cell r="BE5">
            <v>1.7999999999999992</v>
          </cell>
          <cell r="BF5" t="e">
            <v>#DIV/0!</v>
          </cell>
          <cell r="BG5" t="e">
            <v>#DIV/0!</v>
          </cell>
          <cell r="BH5">
            <v>0</v>
          </cell>
          <cell r="BI5">
            <v>0</v>
          </cell>
          <cell r="BJ5">
            <v>-0.80000000000000038</v>
          </cell>
          <cell r="BK5" t="e">
            <v>#DIV/0!</v>
          </cell>
          <cell r="BL5">
            <v>2.0941666666666667</v>
          </cell>
          <cell r="BM5">
            <v>12.9</v>
          </cell>
        </row>
        <row r="6">
          <cell r="D6">
            <v>0.87096774193548399</v>
          </cell>
          <cell r="E6">
            <v>8.8000000000000007</v>
          </cell>
          <cell r="F6">
            <v>-4.9000000000000004</v>
          </cell>
          <cell r="G6">
            <v>-2.2999999999999985</v>
          </cell>
          <cell r="H6">
            <v>3.1709677419354825</v>
          </cell>
          <cell r="I6">
            <v>0.27857142857142841</v>
          </cell>
          <cell r="J6">
            <v>3.7</v>
          </cell>
          <cell r="K6">
            <v>-3.8</v>
          </cell>
          <cell r="L6">
            <v>-1.1000000000000005</v>
          </cell>
          <cell r="M6">
            <v>1.378571428571429</v>
          </cell>
          <cell r="N6">
            <v>4.0387096774193552</v>
          </cell>
          <cell r="O6">
            <v>10.3</v>
          </cell>
          <cell r="P6">
            <v>-0.3</v>
          </cell>
          <cell r="Q6">
            <v>2.5999999999999992</v>
          </cell>
          <cell r="R6">
            <v>1.438709677419356</v>
          </cell>
          <cell r="S6">
            <v>7.7266666666666657</v>
          </cell>
          <cell r="T6">
            <v>16.100000000000001</v>
          </cell>
          <cell r="U6">
            <v>0.7</v>
          </cell>
          <cell r="V6">
            <v>7</v>
          </cell>
          <cell r="W6">
            <v>0.72666666666666568</v>
          </cell>
          <cell r="X6" t="e">
            <v>#DIV/0!</v>
          </cell>
          <cell r="Y6">
            <v>0</v>
          </cell>
          <cell r="Z6">
            <v>0</v>
          </cell>
          <cell r="AA6">
            <v>12.600000000000005</v>
          </cell>
          <cell r="AB6" t="e">
            <v>#DIV/0!</v>
          </cell>
          <cell r="AC6" t="e">
            <v>#DIV/0!</v>
          </cell>
          <cell r="AD6">
            <v>0</v>
          </cell>
          <cell r="AE6">
            <v>0</v>
          </cell>
          <cell r="AF6">
            <v>15.199999999999992</v>
          </cell>
          <cell r="AG6" t="e">
            <v>#DIV/0!</v>
          </cell>
          <cell r="AH6" t="e">
            <v>#DIV/0!</v>
          </cell>
          <cell r="AI6">
            <v>0</v>
          </cell>
          <cell r="AJ6">
            <v>0</v>
          </cell>
          <cell r="AK6">
            <v>16.899999999999991</v>
          </cell>
          <cell r="AL6" t="e">
            <v>#DIV/0!</v>
          </cell>
          <cell r="AM6" t="e">
            <v>#DIV/0!</v>
          </cell>
          <cell r="AN6">
            <v>0</v>
          </cell>
          <cell r="AO6">
            <v>0</v>
          </cell>
          <cell r="AP6">
            <v>16.899999999999991</v>
          </cell>
          <cell r="AQ6" t="e">
            <v>#DIV/0!</v>
          </cell>
          <cell r="AR6" t="e">
            <v>#DIV/0!</v>
          </cell>
          <cell r="AS6">
            <v>0</v>
          </cell>
          <cell r="AT6">
            <v>0</v>
          </cell>
          <cell r="AU6">
            <v>12.600000000000003</v>
          </cell>
          <cell r="AV6" t="e">
            <v>#DIV/0!</v>
          </cell>
          <cell r="AW6" t="e">
            <v>#DIV/0!</v>
          </cell>
          <cell r="AX6">
            <v>0</v>
          </cell>
          <cell r="AY6">
            <v>0</v>
          </cell>
          <cell r="AZ6">
            <v>7.8000000000000043</v>
          </cell>
          <cell r="BA6" t="e">
            <v>#DIV/0!</v>
          </cell>
          <cell r="BB6" t="e">
            <v>#DIV/0!</v>
          </cell>
          <cell r="BC6">
            <v>0</v>
          </cell>
          <cell r="BD6">
            <v>0</v>
          </cell>
          <cell r="BE6">
            <v>2.5</v>
          </cell>
          <cell r="BF6" t="e">
            <v>#DIV/0!</v>
          </cell>
          <cell r="BG6" t="e">
            <v>#DIV/0!</v>
          </cell>
          <cell r="BH6">
            <v>0</v>
          </cell>
          <cell r="BI6">
            <v>0</v>
          </cell>
          <cell r="BJ6">
            <v>-0.60000000000000009</v>
          </cell>
          <cell r="BK6" t="e">
            <v>#DIV/0!</v>
          </cell>
          <cell r="BL6">
            <v>3.2650000000000001</v>
          </cell>
          <cell r="BM6">
            <v>16.100000000000001</v>
          </cell>
        </row>
        <row r="7">
          <cell r="D7">
            <v>1.209677419354839</v>
          </cell>
          <cell r="E7">
            <v>7.9</v>
          </cell>
          <cell r="F7">
            <v>-3.2</v>
          </cell>
          <cell r="G7">
            <v>-1.7000000000000008</v>
          </cell>
          <cell r="H7">
            <v>2.90967741935484</v>
          </cell>
          <cell r="I7">
            <v>8.928571428571426E-2</v>
          </cell>
          <cell r="J7">
            <v>3.8</v>
          </cell>
          <cell r="K7">
            <v>-5</v>
          </cell>
          <cell r="L7">
            <v>-0.69999999999999962</v>
          </cell>
          <cell r="M7">
            <v>0.78928571428571392</v>
          </cell>
          <cell r="N7">
            <v>4.2387096774193553</v>
          </cell>
          <cell r="O7">
            <v>10.5</v>
          </cell>
          <cell r="P7">
            <v>0.1</v>
          </cell>
          <cell r="Q7">
            <v>2.7999999999999985</v>
          </cell>
          <cell r="R7">
            <v>1.4387096774193568</v>
          </cell>
          <cell r="S7">
            <v>7.3400000000000007</v>
          </cell>
          <cell r="T7">
            <v>15.2</v>
          </cell>
          <cell r="U7">
            <v>0.3</v>
          </cell>
          <cell r="V7">
            <v>6.9000000000000039</v>
          </cell>
          <cell r="W7">
            <v>0.43999999999999684</v>
          </cell>
          <cell r="X7" t="e">
            <v>#DIV/0!</v>
          </cell>
          <cell r="Y7">
            <v>0</v>
          </cell>
          <cell r="Z7">
            <v>0</v>
          </cell>
          <cell r="AA7">
            <v>12.399999999999995</v>
          </cell>
          <cell r="AB7" t="e">
            <v>#DIV/0!</v>
          </cell>
          <cell r="AC7" t="e">
            <v>#DIV/0!</v>
          </cell>
          <cell r="AD7">
            <v>0</v>
          </cell>
          <cell r="AE7">
            <v>0</v>
          </cell>
          <cell r="AF7">
            <v>15.100000000000007</v>
          </cell>
          <cell r="AG7" t="e">
            <v>#DIV/0!</v>
          </cell>
          <cell r="AH7" t="e">
            <v>#DIV/0!</v>
          </cell>
          <cell r="AI7">
            <v>0</v>
          </cell>
          <cell r="AJ7">
            <v>0</v>
          </cell>
          <cell r="AK7">
            <v>16.600000000000009</v>
          </cell>
          <cell r="AL7" t="e">
            <v>#DIV/0!</v>
          </cell>
          <cell r="AM7" t="e">
            <v>#DIV/0!</v>
          </cell>
          <cell r="AN7">
            <v>0</v>
          </cell>
          <cell r="AO7">
            <v>0</v>
          </cell>
          <cell r="AP7">
            <v>16.300000000000008</v>
          </cell>
          <cell r="AQ7" t="e">
            <v>#DIV/0!</v>
          </cell>
          <cell r="AR7" t="e">
            <v>#DIV/0!</v>
          </cell>
          <cell r="AS7">
            <v>0</v>
          </cell>
          <cell r="AT7">
            <v>0</v>
          </cell>
          <cell r="AU7">
            <v>12.300000000000006</v>
          </cell>
          <cell r="AV7" t="e">
            <v>#DIV/0!</v>
          </cell>
          <cell r="AW7" t="e">
            <v>#DIV/0!</v>
          </cell>
          <cell r="AX7">
            <v>0</v>
          </cell>
          <cell r="AY7">
            <v>0</v>
          </cell>
          <cell r="AZ7">
            <v>7.8000000000000043</v>
          </cell>
          <cell r="BA7" t="e">
            <v>#DIV/0!</v>
          </cell>
          <cell r="BB7" t="e">
            <v>#DIV/0!</v>
          </cell>
          <cell r="BC7">
            <v>0</v>
          </cell>
          <cell r="BD7">
            <v>0</v>
          </cell>
          <cell r="BE7">
            <v>2.7000000000000015</v>
          </cell>
          <cell r="BF7" t="e">
            <v>#DIV/0!</v>
          </cell>
          <cell r="BG7" t="e">
            <v>#DIV/0!</v>
          </cell>
          <cell r="BH7">
            <v>0</v>
          </cell>
          <cell r="BI7">
            <v>0</v>
          </cell>
          <cell r="BJ7">
            <v>-0.20000000000000009</v>
          </cell>
          <cell r="BK7" t="e">
            <v>#DIV/0!</v>
          </cell>
          <cell r="BL7">
            <v>3.2633333333333323</v>
          </cell>
          <cell r="BM7">
            <v>15.2</v>
          </cell>
        </row>
        <row r="8">
          <cell r="D8">
            <v>1.0935483870967746</v>
          </cell>
          <cell r="E8">
            <v>9.9</v>
          </cell>
          <cell r="F8">
            <v>-6.5</v>
          </cell>
          <cell r="G8">
            <v>-1.899999999999999</v>
          </cell>
          <cell r="H8">
            <v>2.9935483870967738</v>
          </cell>
          <cell r="I8">
            <v>0.46785714285714264</v>
          </cell>
          <cell r="J8">
            <v>5</v>
          </cell>
          <cell r="K8">
            <v>-3.6</v>
          </cell>
          <cell r="L8">
            <v>-0.80000000000000038</v>
          </cell>
          <cell r="M8">
            <v>1.267857142857143</v>
          </cell>
          <cell r="N8">
            <v>4.4999999999999991</v>
          </cell>
          <cell r="O8">
            <v>11.3</v>
          </cell>
          <cell r="P8">
            <v>0.5</v>
          </cell>
          <cell r="Q8">
            <v>2.9000000000000008</v>
          </cell>
          <cell r="R8">
            <v>1.5999999999999983</v>
          </cell>
          <cell r="S8">
            <v>8.4366666666666656</v>
          </cell>
          <cell r="T8">
            <v>17.7</v>
          </cell>
          <cell r="U8">
            <v>0.7</v>
          </cell>
          <cell r="V8">
            <v>7.3000000000000034</v>
          </cell>
          <cell r="W8">
            <v>1.1366666666666623</v>
          </cell>
          <cell r="X8" t="e">
            <v>#DIV/0!</v>
          </cell>
          <cell r="Y8">
            <v>0</v>
          </cell>
          <cell r="Z8">
            <v>0</v>
          </cell>
          <cell r="AA8">
            <v>12.699999999999994</v>
          </cell>
          <cell r="AB8" t="e">
            <v>#DIV/0!</v>
          </cell>
          <cell r="AC8" t="e">
            <v>#DIV/0!</v>
          </cell>
          <cell r="AD8">
            <v>0</v>
          </cell>
          <cell r="AE8">
            <v>0</v>
          </cell>
          <cell r="AF8">
            <v>15.5</v>
          </cell>
          <cell r="AG8" t="e">
            <v>#DIV/0!</v>
          </cell>
          <cell r="AH8" t="e">
            <v>#DIV/0!</v>
          </cell>
          <cell r="AI8">
            <v>0</v>
          </cell>
          <cell r="AJ8">
            <v>0</v>
          </cell>
          <cell r="AK8">
            <v>17.199999999999996</v>
          </cell>
          <cell r="AL8" t="e">
            <v>#DIV/0!</v>
          </cell>
          <cell r="AM8" t="e">
            <v>#DIV/0!</v>
          </cell>
          <cell r="AN8">
            <v>0</v>
          </cell>
          <cell r="AO8">
            <v>0</v>
          </cell>
          <cell r="AP8">
            <v>16.899999999999991</v>
          </cell>
          <cell r="AQ8" t="e">
            <v>#DIV/0!</v>
          </cell>
          <cell r="AR8" t="e">
            <v>#DIV/0!</v>
          </cell>
          <cell r="AS8">
            <v>0</v>
          </cell>
          <cell r="AT8">
            <v>0</v>
          </cell>
          <cell r="AU8">
            <v>12.699999999999994</v>
          </cell>
          <cell r="AV8" t="e">
            <v>#DIV/0!</v>
          </cell>
          <cell r="AW8" t="e">
            <v>#DIV/0!</v>
          </cell>
          <cell r="AX8">
            <v>0</v>
          </cell>
          <cell r="AY8">
            <v>0</v>
          </cell>
          <cell r="AZ8">
            <v>8.1999999999999957</v>
          </cell>
          <cell r="BA8" t="e">
            <v>#DIV/0!</v>
          </cell>
          <cell r="BB8" t="e">
            <v>#DIV/0!</v>
          </cell>
          <cell r="BC8">
            <v>0</v>
          </cell>
          <cell r="BD8">
            <v>0</v>
          </cell>
          <cell r="BE8">
            <v>2.7000000000000015</v>
          </cell>
          <cell r="BF8" t="e">
            <v>#DIV/0!</v>
          </cell>
          <cell r="BG8" t="e">
            <v>#DIV/0!</v>
          </cell>
          <cell r="BH8">
            <v>0</v>
          </cell>
          <cell r="BI8">
            <v>0</v>
          </cell>
          <cell r="BJ8">
            <v>-0.5</v>
          </cell>
          <cell r="BK8" t="e">
            <v>#DIV/0!</v>
          </cell>
          <cell r="BL8">
            <v>3.6633333333333327</v>
          </cell>
          <cell r="BM8">
            <v>17.7</v>
          </cell>
        </row>
        <row r="9">
          <cell r="D9">
            <v>0.5096774193548389</v>
          </cell>
          <cell r="E9">
            <v>9.3000000000000007</v>
          </cell>
          <cell r="F9">
            <v>-6.2</v>
          </cell>
          <cell r="G9">
            <v>-2.5</v>
          </cell>
          <cell r="H9">
            <v>3.0096774193548388</v>
          </cell>
          <cell r="I9">
            <v>0.19285714285714309</v>
          </cell>
          <cell r="J9">
            <v>4.0999999999999996</v>
          </cell>
          <cell r="K9">
            <v>-3.9</v>
          </cell>
          <cell r="L9">
            <v>-1.2</v>
          </cell>
          <cell r="M9">
            <v>1.392857142857143</v>
          </cell>
          <cell r="N9">
            <v>4.0903225806451617</v>
          </cell>
          <cell r="O9">
            <v>10.199999999999999</v>
          </cell>
          <cell r="P9">
            <v>0.3</v>
          </cell>
          <cell r="Q9">
            <v>2.5</v>
          </cell>
          <cell r="R9">
            <v>1.5903225806451617</v>
          </cell>
          <cell r="S9">
            <v>8.1666666666666661</v>
          </cell>
          <cell r="T9">
            <v>16.600000000000001</v>
          </cell>
          <cell r="U9">
            <v>0.7</v>
          </cell>
          <cell r="V9">
            <v>6.9000000000000039</v>
          </cell>
          <cell r="W9">
            <v>1.2666666666666622</v>
          </cell>
          <cell r="X9" t="e">
            <v>#DIV/0!</v>
          </cell>
          <cell r="Y9">
            <v>0</v>
          </cell>
          <cell r="Z9">
            <v>0</v>
          </cell>
          <cell r="AA9">
            <v>12.199999999999994</v>
          </cell>
          <cell r="AB9" t="e">
            <v>#DIV/0!</v>
          </cell>
          <cell r="AC9" t="e">
            <v>#DIV/0!</v>
          </cell>
          <cell r="AD9">
            <v>0</v>
          </cell>
          <cell r="AE9">
            <v>0</v>
          </cell>
          <cell r="AF9">
            <v>14.899999999999993</v>
          </cell>
          <cell r="AG9" t="e">
            <v>#DIV/0!</v>
          </cell>
          <cell r="AH9" t="e">
            <v>#DIV/0!</v>
          </cell>
          <cell r="AI9">
            <v>0</v>
          </cell>
          <cell r="AJ9">
            <v>0</v>
          </cell>
          <cell r="AK9">
            <v>16.699999999999996</v>
          </cell>
          <cell r="AL9" t="e">
            <v>#DIV/0!</v>
          </cell>
          <cell r="AM9" t="e">
            <v>#DIV/0!</v>
          </cell>
          <cell r="AN9">
            <v>0</v>
          </cell>
          <cell r="AO9">
            <v>0</v>
          </cell>
          <cell r="AP9">
            <v>16.600000000000009</v>
          </cell>
          <cell r="AQ9" t="e">
            <v>#DIV/0!</v>
          </cell>
          <cell r="AR9" t="e">
            <v>#DIV/0!</v>
          </cell>
          <cell r="AS9">
            <v>0</v>
          </cell>
          <cell r="AT9">
            <v>0</v>
          </cell>
          <cell r="AU9">
            <v>12.5</v>
          </cell>
          <cell r="AV9" t="e">
            <v>#DIV/0!</v>
          </cell>
          <cell r="AW9" t="e">
            <v>#DIV/0!</v>
          </cell>
          <cell r="AX9">
            <v>0</v>
          </cell>
          <cell r="AY9">
            <v>0</v>
          </cell>
          <cell r="AZ9">
            <v>7.6999999999999957</v>
          </cell>
          <cell r="BA9" t="e">
            <v>#DIV/0!</v>
          </cell>
          <cell r="BB9" t="e">
            <v>#DIV/0!</v>
          </cell>
          <cell r="BC9">
            <v>0</v>
          </cell>
          <cell r="BD9">
            <v>0</v>
          </cell>
          <cell r="BE9">
            <v>2.100000000000001</v>
          </cell>
          <cell r="BF9" t="e">
            <v>#DIV/0!</v>
          </cell>
          <cell r="BG9" t="e">
            <v>#DIV/0!</v>
          </cell>
          <cell r="BH9">
            <v>0</v>
          </cell>
          <cell r="BI9">
            <v>0</v>
          </cell>
          <cell r="BJ9">
            <v>-1.1000000000000005</v>
          </cell>
          <cell r="BK9" t="e">
            <v>#DIV/0!</v>
          </cell>
          <cell r="BL9">
            <v>3.2749999999999999</v>
          </cell>
          <cell r="BM9">
            <v>16.600000000000001</v>
          </cell>
        </row>
        <row r="10">
          <cell r="D10">
            <v>1.0935483870967742</v>
          </cell>
          <cell r="E10">
            <v>10.8</v>
          </cell>
          <cell r="F10">
            <v>-5.9</v>
          </cell>
          <cell r="G10">
            <v>-1.6000000000000008</v>
          </cell>
          <cell r="H10">
            <v>2.6935483870967749</v>
          </cell>
          <cell r="I10">
            <v>0.2535714285714285</v>
          </cell>
          <cell r="J10">
            <v>3.9</v>
          </cell>
          <cell r="K10">
            <v>-4.9000000000000004</v>
          </cell>
          <cell r="L10">
            <v>-0.3</v>
          </cell>
          <cell r="M10">
            <v>0.55357142857142849</v>
          </cell>
          <cell r="N10">
            <v>4.1483870967741936</v>
          </cell>
          <cell r="O10">
            <v>10.199999999999999</v>
          </cell>
          <cell r="P10">
            <v>0.8</v>
          </cell>
          <cell r="Q10">
            <v>3.5999999999999979</v>
          </cell>
          <cell r="R10">
            <v>0.54838709677419573</v>
          </cell>
          <cell r="S10">
            <v>7.9133333333333331</v>
          </cell>
          <cell r="T10">
            <v>16.2</v>
          </cell>
          <cell r="U10">
            <v>0.5</v>
          </cell>
          <cell r="V10">
            <v>7.9000000000000039</v>
          </cell>
          <cell r="W10">
            <v>1.33333333333292E-2</v>
          </cell>
          <cell r="X10" t="e">
            <v>#DIV/0!</v>
          </cell>
          <cell r="Y10">
            <v>0</v>
          </cell>
          <cell r="Z10">
            <v>0</v>
          </cell>
          <cell r="AA10">
            <v>13.300000000000008</v>
          </cell>
          <cell r="AB10" t="e">
            <v>#DIV/0!</v>
          </cell>
          <cell r="AC10" t="e">
            <v>#DIV/0!</v>
          </cell>
          <cell r="AD10">
            <v>0</v>
          </cell>
          <cell r="AE10">
            <v>0</v>
          </cell>
          <cell r="AF10">
            <v>16.199999999999992</v>
          </cell>
          <cell r="AG10" t="e">
            <v>#DIV/0!</v>
          </cell>
          <cell r="AH10" t="e">
            <v>#DIV/0!</v>
          </cell>
          <cell r="AI10">
            <v>0</v>
          </cell>
          <cell r="AJ10">
            <v>0</v>
          </cell>
          <cell r="AK10">
            <v>17.7</v>
          </cell>
          <cell r="AL10" t="e">
            <v>#DIV/0!</v>
          </cell>
          <cell r="AM10" t="e">
            <v>#DIV/0!</v>
          </cell>
          <cell r="AN10">
            <v>0</v>
          </cell>
          <cell r="AO10">
            <v>0</v>
          </cell>
          <cell r="AP10">
            <v>17.5</v>
          </cell>
          <cell r="AQ10" t="e">
            <v>#DIV/0!</v>
          </cell>
          <cell r="AR10" t="e">
            <v>#DIV/0!</v>
          </cell>
          <cell r="AS10">
            <v>0</v>
          </cell>
          <cell r="AT10">
            <v>0</v>
          </cell>
          <cell r="AU10">
            <v>13.300000000000008</v>
          </cell>
          <cell r="AV10" t="e">
            <v>#DIV/0!</v>
          </cell>
          <cell r="AW10" t="e">
            <v>#DIV/0!</v>
          </cell>
          <cell r="AX10">
            <v>0</v>
          </cell>
          <cell r="AY10">
            <v>0</v>
          </cell>
          <cell r="AZ10">
            <v>8.4000000000000021</v>
          </cell>
          <cell r="BA10" t="e">
            <v>#DIV/0!</v>
          </cell>
          <cell r="BB10" t="e">
            <v>#DIV/0!</v>
          </cell>
          <cell r="BC10">
            <v>0</v>
          </cell>
          <cell r="BD10">
            <v>0</v>
          </cell>
          <cell r="BE10">
            <v>3</v>
          </cell>
          <cell r="BF10" t="e">
            <v>#DIV/0!</v>
          </cell>
          <cell r="BG10" t="e">
            <v>#DIV/0!</v>
          </cell>
          <cell r="BH10">
            <v>0</v>
          </cell>
          <cell r="BI10">
            <v>0</v>
          </cell>
          <cell r="BJ10">
            <v>0.10000000000000005</v>
          </cell>
          <cell r="BK10" t="e">
            <v>#DIV/0!</v>
          </cell>
          <cell r="BL10">
            <v>3.3916666666666666</v>
          </cell>
          <cell r="BM10">
            <v>16.2</v>
          </cell>
        </row>
        <row r="11">
          <cell r="D11">
            <v>1.6548387096774195</v>
          </cell>
          <cell r="E11">
            <v>11.2</v>
          </cell>
          <cell r="F11">
            <v>-1.5</v>
          </cell>
          <cell r="G11">
            <v>-1.6000000000000008</v>
          </cell>
          <cell r="H11">
            <v>3.2548387096774203</v>
          </cell>
          <cell r="I11">
            <v>-0.22500000000000014</v>
          </cell>
          <cell r="J11">
            <v>2.7</v>
          </cell>
          <cell r="K11">
            <v>-3.8</v>
          </cell>
          <cell r="L11">
            <v>-0.6</v>
          </cell>
          <cell r="M11">
            <v>0.37499999999999983</v>
          </cell>
          <cell r="N11">
            <v>4.3774193548387093</v>
          </cell>
          <cell r="O11">
            <v>9.6999999999999993</v>
          </cell>
          <cell r="P11">
            <v>1.8</v>
          </cell>
          <cell r="Q11">
            <v>3.4000000000000017</v>
          </cell>
          <cell r="R11">
            <v>0.97741935483870757</v>
          </cell>
          <cell r="S11">
            <v>8.0433333333333312</v>
          </cell>
          <cell r="T11">
            <v>15</v>
          </cell>
          <cell r="U11">
            <v>1.1000000000000001</v>
          </cell>
          <cell r="V11">
            <v>7.1999999999999966</v>
          </cell>
          <cell r="W11">
            <v>0.8433333333333346</v>
          </cell>
          <cell r="X11" t="e">
            <v>#DIV/0!</v>
          </cell>
          <cell r="Y11">
            <v>0</v>
          </cell>
          <cell r="Z11">
            <v>0</v>
          </cell>
          <cell r="AA11">
            <v>12.699999999999994</v>
          </cell>
          <cell r="AB11" t="e">
            <v>#DIV/0!</v>
          </cell>
          <cell r="AC11" t="e">
            <v>#DIV/0!</v>
          </cell>
          <cell r="AD11">
            <v>0</v>
          </cell>
          <cell r="AE11">
            <v>0</v>
          </cell>
          <cell r="AF11">
            <v>15.600000000000007</v>
          </cell>
          <cell r="AG11" t="e">
            <v>#DIV/0!</v>
          </cell>
          <cell r="AH11" t="e">
            <v>#DIV/0!</v>
          </cell>
          <cell r="AI11">
            <v>0</v>
          </cell>
          <cell r="AJ11">
            <v>0</v>
          </cell>
          <cell r="AK11">
            <v>17.5</v>
          </cell>
          <cell r="AL11" t="e">
            <v>#DIV/0!</v>
          </cell>
          <cell r="AM11" t="e">
            <v>#DIV/0!</v>
          </cell>
          <cell r="AN11">
            <v>0</v>
          </cell>
          <cell r="AO11">
            <v>0</v>
          </cell>
          <cell r="AP11">
            <v>17</v>
          </cell>
          <cell r="AQ11" t="e">
            <v>#DIV/0!</v>
          </cell>
          <cell r="AR11" t="e">
            <v>#DIV/0!</v>
          </cell>
          <cell r="AS11">
            <v>0</v>
          </cell>
          <cell r="AT11">
            <v>0</v>
          </cell>
          <cell r="AU11">
            <v>12.800000000000006</v>
          </cell>
          <cell r="AV11" t="e">
            <v>#DIV/0!</v>
          </cell>
          <cell r="AW11" t="e">
            <v>#DIV/0!</v>
          </cell>
          <cell r="AX11">
            <v>0</v>
          </cell>
          <cell r="AY11">
            <v>0</v>
          </cell>
          <cell r="AZ11">
            <v>7.6999999999999957</v>
          </cell>
          <cell r="BA11" t="e">
            <v>#DIV/0!</v>
          </cell>
          <cell r="BB11" t="e">
            <v>#DIV/0!</v>
          </cell>
          <cell r="BC11">
            <v>0</v>
          </cell>
          <cell r="BD11">
            <v>0</v>
          </cell>
          <cell r="BE11">
            <v>2.5999999999999996</v>
          </cell>
          <cell r="BF11" t="e">
            <v>#DIV/0!</v>
          </cell>
          <cell r="BG11" t="e">
            <v>#DIV/0!</v>
          </cell>
          <cell r="BH11">
            <v>0</v>
          </cell>
          <cell r="BI11">
            <v>0</v>
          </cell>
          <cell r="BJ11">
            <v>-0.10000000000000005</v>
          </cell>
          <cell r="BK11" t="e">
            <v>#DIV/0!</v>
          </cell>
          <cell r="BL11">
            <v>3.5166666666666666</v>
          </cell>
          <cell r="BM11">
            <v>15</v>
          </cell>
        </row>
        <row r="12">
          <cell r="D12">
            <v>2.9806451612903229</v>
          </cell>
          <cell r="E12">
            <v>11.1</v>
          </cell>
          <cell r="F12">
            <v>-0.4</v>
          </cell>
          <cell r="G12">
            <v>-0.60000000000000009</v>
          </cell>
          <cell r="H12">
            <v>3.580645161290323</v>
          </cell>
          <cell r="I12">
            <v>1.6928571428571431</v>
          </cell>
          <cell r="J12">
            <v>5.0999999999999996</v>
          </cell>
          <cell r="K12">
            <v>-2.8</v>
          </cell>
          <cell r="L12">
            <v>0.69999999999999962</v>
          </cell>
          <cell r="M12">
            <v>0.99285714285714344</v>
          </cell>
          <cell r="N12">
            <v>6.1387096774193557</v>
          </cell>
          <cell r="O12">
            <v>11.1</v>
          </cell>
          <cell r="P12">
            <v>3.2</v>
          </cell>
          <cell r="Q12">
            <v>4.599999999999997</v>
          </cell>
          <cell r="R12">
            <v>1.5387096774193587</v>
          </cell>
          <cell r="S12">
            <v>9.7066666666666706</v>
          </cell>
          <cell r="T12">
            <v>17.3</v>
          </cell>
          <cell r="U12">
            <v>2.1</v>
          </cell>
          <cell r="V12">
            <v>8.6999999999999957</v>
          </cell>
          <cell r="W12">
            <v>1.0066666666666748</v>
          </cell>
          <cell r="X12" t="e">
            <v>#DIV/0!</v>
          </cell>
          <cell r="Y12">
            <v>0</v>
          </cell>
          <cell r="Z12">
            <v>0</v>
          </cell>
          <cell r="AA12">
            <v>14</v>
          </cell>
          <cell r="AB12" t="e">
            <v>#DIV/0!</v>
          </cell>
          <cell r="AC12" t="e">
            <v>#DIV/0!</v>
          </cell>
          <cell r="AD12">
            <v>0</v>
          </cell>
          <cell r="AE12">
            <v>0</v>
          </cell>
          <cell r="AF12">
            <v>16.800000000000008</v>
          </cell>
          <cell r="AG12" t="e">
            <v>#DIV/0!</v>
          </cell>
          <cell r="AH12" t="e">
            <v>#DIV/0!</v>
          </cell>
          <cell r="AI12">
            <v>0</v>
          </cell>
          <cell r="AJ12">
            <v>0</v>
          </cell>
          <cell r="AK12">
            <v>18.7</v>
          </cell>
          <cell r="AL12" t="e">
            <v>#DIV/0!</v>
          </cell>
          <cell r="AM12" t="e">
            <v>#DIV/0!</v>
          </cell>
          <cell r="AN12">
            <v>0</v>
          </cell>
          <cell r="AO12">
            <v>0</v>
          </cell>
          <cell r="AP12">
            <v>18.5</v>
          </cell>
          <cell r="AQ12" t="e">
            <v>#DIV/0!</v>
          </cell>
          <cell r="AR12" t="e">
            <v>#DIV/0!</v>
          </cell>
          <cell r="AS12">
            <v>0</v>
          </cell>
          <cell r="AT12">
            <v>0</v>
          </cell>
          <cell r="AU12">
            <v>14.100000000000005</v>
          </cell>
          <cell r="AV12" t="e">
            <v>#DIV/0!</v>
          </cell>
          <cell r="AW12" t="e">
            <v>#DIV/0!</v>
          </cell>
          <cell r="AX12">
            <v>0</v>
          </cell>
          <cell r="AY12">
            <v>0</v>
          </cell>
          <cell r="AZ12">
            <v>9</v>
          </cell>
          <cell r="BA12" t="e">
            <v>#DIV/0!</v>
          </cell>
          <cell r="BB12" t="e">
            <v>#DIV/0!</v>
          </cell>
          <cell r="BC12">
            <v>0</v>
          </cell>
          <cell r="BD12">
            <v>0</v>
          </cell>
          <cell r="BE12">
            <v>3.700000000000002</v>
          </cell>
          <cell r="BF12" t="e">
            <v>#DIV/0!</v>
          </cell>
          <cell r="BG12" t="e">
            <v>#DIV/0!</v>
          </cell>
          <cell r="BH12">
            <v>0</v>
          </cell>
          <cell r="BI12">
            <v>0</v>
          </cell>
          <cell r="BJ12">
            <v>1.1000000000000005</v>
          </cell>
          <cell r="BK12" t="e">
            <v>#DIV/0!</v>
          </cell>
          <cell r="BL12">
            <v>5.1774999999999993</v>
          </cell>
          <cell r="BM12">
            <v>17.3</v>
          </cell>
        </row>
        <row r="13">
          <cell r="D13">
            <v>2.148387096774194</v>
          </cell>
          <cell r="E13">
            <v>11.4</v>
          </cell>
          <cell r="F13">
            <v>-1.3</v>
          </cell>
          <cell r="G13">
            <v>-1</v>
          </cell>
          <cell r="H13">
            <v>3.148387096774194</v>
          </cell>
          <cell r="I13">
            <v>0.72857142857142865</v>
          </cell>
          <cell r="J13">
            <v>4.0999999999999996</v>
          </cell>
          <cell r="K13">
            <v>-3.8</v>
          </cell>
          <cell r="L13">
            <v>0.20000000000000009</v>
          </cell>
          <cell r="M13">
            <v>0.52857142857142858</v>
          </cell>
          <cell r="N13">
            <v>4.9580645161290322</v>
          </cell>
          <cell r="O13">
            <v>10.4</v>
          </cell>
          <cell r="P13">
            <v>2.1</v>
          </cell>
          <cell r="Q13">
            <v>4.2999999999999989</v>
          </cell>
          <cell r="R13">
            <v>0.65806451612903327</v>
          </cell>
          <cell r="S13">
            <v>8.5900000000000016</v>
          </cell>
          <cell r="T13">
            <v>15.6</v>
          </cell>
          <cell r="U13">
            <v>1.5</v>
          </cell>
          <cell r="V13">
            <v>8.5</v>
          </cell>
          <cell r="W13">
            <v>9.0000000000001634E-2</v>
          </cell>
          <cell r="X13" t="e">
            <v>#DIV/0!</v>
          </cell>
          <cell r="Y13">
            <v>0</v>
          </cell>
          <cell r="Z13">
            <v>0</v>
          </cell>
          <cell r="AA13">
            <v>13.800000000000008</v>
          </cell>
          <cell r="AB13" t="e">
            <v>#DIV/0!</v>
          </cell>
          <cell r="AC13" t="e">
            <v>#DIV/0!</v>
          </cell>
          <cell r="AD13">
            <v>0</v>
          </cell>
          <cell r="AE13">
            <v>0</v>
          </cell>
          <cell r="AF13">
            <v>16.600000000000009</v>
          </cell>
          <cell r="AG13" t="e">
            <v>#DIV/0!</v>
          </cell>
          <cell r="AH13" t="e">
            <v>#DIV/0!</v>
          </cell>
          <cell r="AI13">
            <v>0</v>
          </cell>
          <cell r="AJ13">
            <v>0</v>
          </cell>
          <cell r="AK13">
            <v>18.3</v>
          </cell>
          <cell r="AL13" t="e">
            <v>#DIV/0!</v>
          </cell>
          <cell r="AM13" t="e">
            <v>#DIV/0!</v>
          </cell>
          <cell r="AN13">
            <v>0</v>
          </cell>
          <cell r="AO13">
            <v>0</v>
          </cell>
          <cell r="AP13">
            <v>18.100000000000009</v>
          </cell>
          <cell r="AQ13" t="e">
            <v>#DIV/0!</v>
          </cell>
          <cell r="AR13" t="e">
            <v>#DIV/0!</v>
          </cell>
          <cell r="AS13">
            <v>0</v>
          </cell>
          <cell r="AT13">
            <v>0</v>
          </cell>
          <cell r="AU13">
            <v>13.699999999999992</v>
          </cell>
          <cell r="AV13" t="e">
            <v>#DIV/0!</v>
          </cell>
          <cell r="AW13" t="e">
            <v>#DIV/0!</v>
          </cell>
          <cell r="AX13">
            <v>0</v>
          </cell>
          <cell r="AY13">
            <v>0</v>
          </cell>
          <cell r="AZ13">
            <v>8.6999999999999957</v>
          </cell>
          <cell r="BA13" t="e">
            <v>#DIV/0!</v>
          </cell>
          <cell r="BB13" t="e">
            <v>#DIV/0!</v>
          </cell>
          <cell r="BC13">
            <v>0</v>
          </cell>
          <cell r="BD13">
            <v>0</v>
          </cell>
          <cell r="BE13">
            <v>3.5</v>
          </cell>
          <cell r="BF13" t="e">
            <v>#DIV/0!</v>
          </cell>
          <cell r="BG13" t="e">
            <v>#DIV/0!</v>
          </cell>
          <cell r="BH13">
            <v>0</v>
          </cell>
          <cell r="BI13">
            <v>0</v>
          </cell>
          <cell r="BJ13">
            <v>0.69999999999999962</v>
          </cell>
          <cell r="BK13" t="e">
            <v>#DIV/0!</v>
          </cell>
          <cell r="BL13">
            <v>4.1533333333333333</v>
          </cell>
          <cell r="BM13">
            <v>15.6</v>
          </cell>
        </row>
        <row r="14">
          <cell r="D14">
            <v>2.0548387096774192</v>
          </cell>
          <cell r="E14">
            <v>9.8000000000000007</v>
          </cell>
          <cell r="F14">
            <v>-1.3</v>
          </cell>
          <cell r="G14">
            <v>-0.80000000000000038</v>
          </cell>
          <cell r="H14">
            <v>2.8548387096774195</v>
          </cell>
          <cell r="I14">
            <v>0.61785714285714277</v>
          </cell>
          <cell r="J14">
            <v>3.7</v>
          </cell>
          <cell r="K14">
            <v>-3.7</v>
          </cell>
          <cell r="L14">
            <v>0.40000000000000019</v>
          </cell>
          <cell r="M14">
            <v>0.21785714285714258</v>
          </cell>
          <cell r="N14">
            <v>4.9774193548387107</v>
          </cell>
          <cell r="O14">
            <v>10.6</v>
          </cell>
          <cell r="P14">
            <v>0.6</v>
          </cell>
          <cell r="Q14">
            <v>4.2999999999999989</v>
          </cell>
          <cell r="R14">
            <v>0.67741935483871174</v>
          </cell>
          <cell r="S14">
            <v>8.5266666666666655</v>
          </cell>
          <cell r="T14">
            <v>15.8</v>
          </cell>
          <cell r="U14">
            <v>1.4</v>
          </cell>
          <cell r="V14">
            <v>8.5</v>
          </cell>
          <cell r="W14">
            <v>2.6666666666665506E-2</v>
          </cell>
          <cell r="X14" t="e">
            <v>#DIV/0!</v>
          </cell>
          <cell r="Y14">
            <v>0</v>
          </cell>
          <cell r="Z14">
            <v>0</v>
          </cell>
          <cell r="AA14">
            <v>13.899999999999993</v>
          </cell>
          <cell r="AB14" t="e">
            <v>#DIV/0!</v>
          </cell>
          <cell r="AC14" t="e">
            <v>#DIV/0!</v>
          </cell>
          <cell r="AD14">
            <v>0</v>
          </cell>
          <cell r="AE14">
            <v>0</v>
          </cell>
          <cell r="AF14">
            <v>16.699999999999992</v>
          </cell>
          <cell r="AG14" t="e">
            <v>#DIV/0!</v>
          </cell>
          <cell r="AH14" t="e">
            <v>#DIV/0!</v>
          </cell>
          <cell r="AI14">
            <v>0</v>
          </cell>
          <cell r="AJ14">
            <v>0</v>
          </cell>
          <cell r="AK14">
            <v>18.5</v>
          </cell>
          <cell r="AL14" t="e">
            <v>#DIV/0!</v>
          </cell>
          <cell r="AM14" t="e">
            <v>#DIV/0!</v>
          </cell>
          <cell r="AN14">
            <v>0</v>
          </cell>
          <cell r="AO14">
            <v>0</v>
          </cell>
          <cell r="AP14">
            <v>18</v>
          </cell>
          <cell r="AQ14" t="e">
            <v>#DIV/0!</v>
          </cell>
          <cell r="AR14" t="e">
            <v>#DIV/0!</v>
          </cell>
          <cell r="AS14">
            <v>0</v>
          </cell>
          <cell r="AT14">
            <v>0</v>
          </cell>
          <cell r="AU14">
            <v>13.699999999999992</v>
          </cell>
          <cell r="AV14" t="e">
            <v>#DIV/0!</v>
          </cell>
          <cell r="AW14" t="e">
            <v>#DIV/0!</v>
          </cell>
          <cell r="AX14">
            <v>0</v>
          </cell>
          <cell r="AY14">
            <v>0</v>
          </cell>
          <cell r="AZ14">
            <v>8.5999999999999979</v>
          </cell>
          <cell r="BA14" t="e">
            <v>#DIV/0!</v>
          </cell>
          <cell r="BB14" t="e">
            <v>#DIV/0!</v>
          </cell>
          <cell r="BC14">
            <v>0</v>
          </cell>
          <cell r="BD14">
            <v>0</v>
          </cell>
          <cell r="BE14">
            <v>3.5</v>
          </cell>
          <cell r="BF14" t="e">
            <v>#DIV/0!</v>
          </cell>
          <cell r="BG14" t="e">
            <v>#DIV/0!</v>
          </cell>
          <cell r="BH14">
            <v>0</v>
          </cell>
          <cell r="BI14">
            <v>0</v>
          </cell>
          <cell r="BJ14">
            <v>0.89999999999999947</v>
          </cell>
          <cell r="BK14" t="e">
            <v>#DIV/0!</v>
          </cell>
          <cell r="BL14">
            <v>4.0924999999999994</v>
          </cell>
          <cell r="BM14">
            <v>15.8</v>
          </cell>
        </row>
        <row r="15">
          <cell r="D15">
            <v>0.57096774193548372</v>
          </cell>
          <cell r="E15">
            <v>10.7</v>
          </cell>
          <cell r="F15">
            <v>-4.9000000000000004</v>
          </cell>
          <cell r="G15">
            <v>-2.5</v>
          </cell>
          <cell r="H15">
            <v>3.0709677419354837</v>
          </cell>
          <cell r="I15">
            <v>-0.29999999999999982</v>
          </cell>
          <cell r="J15">
            <v>3.1</v>
          </cell>
          <cell r="K15">
            <v>-5.0999999999999996</v>
          </cell>
          <cell r="L15">
            <v>-1.2999999999999998</v>
          </cell>
          <cell r="M15">
            <v>1</v>
          </cell>
          <cell r="N15">
            <v>3.6580645161290324</v>
          </cell>
          <cell r="O15">
            <v>9.3000000000000007</v>
          </cell>
          <cell r="P15">
            <v>0</v>
          </cell>
          <cell r="Q15">
            <v>2.5</v>
          </cell>
          <cell r="R15">
            <v>1.1580645161290324</v>
          </cell>
          <cell r="S15">
            <v>7.5200000000000005</v>
          </cell>
          <cell r="T15">
            <v>15.2</v>
          </cell>
          <cell r="U15">
            <v>0.2</v>
          </cell>
          <cell r="V15">
            <v>6.9000000000000039</v>
          </cell>
          <cell r="W15">
            <v>0.61999999999999655</v>
          </cell>
          <cell r="X15" t="e">
            <v>#DIV/0!</v>
          </cell>
          <cell r="Y15">
            <v>0</v>
          </cell>
          <cell r="Z15">
            <v>0</v>
          </cell>
          <cell r="AA15">
            <v>12.399999999999995</v>
          </cell>
          <cell r="AB15" t="e">
            <v>#DIV/0!</v>
          </cell>
          <cell r="AC15" t="e">
            <v>#DIV/0!</v>
          </cell>
          <cell r="AD15">
            <v>0</v>
          </cell>
          <cell r="AE15">
            <v>0</v>
          </cell>
          <cell r="AF15">
            <v>15.199999999999992</v>
          </cell>
          <cell r="AG15" t="e">
            <v>#DIV/0!</v>
          </cell>
          <cell r="AH15" t="e">
            <v>#DIV/0!</v>
          </cell>
          <cell r="AI15">
            <v>0</v>
          </cell>
          <cell r="AJ15">
            <v>0</v>
          </cell>
          <cell r="AK15">
            <v>17</v>
          </cell>
          <cell r="AL15" t="e">
            <v>#DIV/0!</v>
          </cell>
          <cell r="AM15" t="e">
            <v>#DIV/0!</v>
          </cell>
          <cell r="AN15">
            <v>0</v>
          </cell>
          <cell r="AO15">
            <v>0</v>
          </cell>
          <cell r="AP15">
            <v>16.699999999999996</v>
          </cell>
          <cell r="AQ15" t="e">
            <v>#DIV/0!</v>
          </cell>
          <cell r="AR15" t="e">
            <v>#DIV/0!</v>
          </cell>
          <cell r="AS15">
            <v>0</v>
          </cell>
          <cell r="AT15">
            <v>0</v>
          </cell>
          <cell r="AU15">
            <v>12.399999999999997</v>
          </cell>
          <cell r="AV15" t="e">
            <v>#DIV/0!</v>
          </cell>
          <cell r="AW15" t="e">
            <v>#DIV/0!</v>
          </cell>
          <cell r="AX15">
            <v>0</v>
          </cell>
          <cell r="AY15">
            <v>0</v>
          </cell>
          <cell r="AZ15">
            <v>7.4000000000000039</v>
          </cell>
          <cell r="BA15" t="e">
            <v>#DIV/0!</v>
          </cell>
          <cell r="BB15" t="e">
            <v>#DIV/0!</v>
          </cell>
          <cell r="BC15">
            <v>0</v>
          </cell>
          <cell r="BD15">
            <v>0</v>
          </cell>
          <cell r="BE15">
            <v>1.899999999999999</v>
          </cell>
          <cell r="BF15" t="e">
            <v>#DIV/0!</v>
          </cell>
          <cell r="BG15" t="e">
            <v>#DIV/0!</v>
          </cell>
          <cell r="BH15">
            <v>0</v>
          </cell>
          <cell r="BI15">
            <v>0</v>
          </cell>
          <cell r="BJ15">
            <v>-1.2000000000000002</v>
          </cell>
          <cell r="BK15" t="e">
            <v>#DIV/0!</v>
          </cell>
          <cell r="BL15">
            <v>2.9024999999999994</v>
          </cell>
          <cell r="BM15">
            <v>15.2</v>
          </cell>
        </row>
        <row r="16">
          <cell r="D16">
            <v>0.5419354838709679</v>
          </cell>
          <cell r="E16">
            <v>7.9</v>
          </cell>
          <cell r="F16">
            <v>-7.1</v>
          </cell>
          <cell r="G16">
            <v>-1.6000000000000008</v>
          </cell>
          <cell r="H16">
            <v>2.1419354838709688</v>
          </cell>
          <cell r="I16">
            <v>0.15000000000000011</v>
          </cell>
          <cell r="J16">
            <v>4.8</v>
          </cell>
          <cell r="K16">
            <v>-5.0999999999999996</v>
          </cell>
          <cell r="L16">
            <v>-0.10000000000000005</v>
          </cell>
          <cell r="M16">
            <v>0.25000000000000017</v>
          </cell>
          <cell r="N16">
            <v>3.9709677419354836</v>
          </cell>
          <cell r="O16">
            <v>11.8</v>
          </cell>
          <cell r="P16">
            <v>0.2</v>
          </cell>
          <cell r="Q16">
            <v>3.9000000000000021</v>
          </cell>
          <cell r="R16">
            <v>7.0967741935481499E-2</v>
          </cell>
          <cell r="S16">
            <v>8.0300000000000011</v>
          </cell>
          <cell r="T16">
            <v>17.2</v>
          </cell>
          <cell r="U16">
            <v>0.6</v>
          </cell>
          <cell r="V16">
            <v>8.5</v>
          </cell>
          <cell r="W16">
            <v>-0.46999999999999886</v>
          </cell>
          <cell r="X16" t="e">
            <v>#DIV/0!</v>
          </cell>
          <cell r="Y16">
            <v>0</v>
          </cell>
          <cell r="Z16">
            <v>0</v>
          </cell>
          <cell r="AA16">
            <v>13.800000000000008</v>
          </cell>
          <cell r="AB16" t="e">
            <v>#DIV/0!</v>
          </cell>
          <cell r="AC16" t="e">
            <v>#DIV/0!</v>
          </cell>
          <cell r="AD16">
            <v>0</v>
          </cell>
          <cell r="AE16">
            <v>0</v>
          </cell>
          <cell r="AF16">
            <v>16.5</v>
          </cell>
          <cell r="AG16" t="e">
            <v>#DIV/0!</v>
          </cell>
          <cell r="AH16" t="e">
            <v>#DIV/0!</v>
          </cell>
          <cell r="AI16">
            <v>0</v>
          </cell>
          <cell r="AJ16">
            <v>0</v>
          </cell>
          <cell r="AK16">
            <v>18.2</v>
          </cell>
          <cell r="AL16" t="e">
            <v>#DIV/0!</v>
          </cell>
          <cell r="AM16" t="e">
            <v>#DIV/0!</v>
          </cell>
          <cell r="AN16">
            <v>0</v>
          </cell>
          <cell r="AO16">
            <v>0</v>
          </cell>
          <cell r="AP16">
            <v>17.899999999999991</v>
          </cell>
          <cell r="AQ16" t="e">
            <v>#DIV/0!</v>
          </cell>
          <cell r="AR16" t="e">
            <v>#DIV/0!</v>
          </cell>
          <cell r="AS16">
            <v>0</v>
          </cell>
          <cell r="AT16">
            <v>0</v>
          </cell>
          <cell r="AU16">
            <v>13.699999999999992</v>
          </cell>
          <cell r="AV16" t="e">
            <v>#DIV/0!</v>
          </cell>
          <cell r="AW16" t="e">
            <v>#DIV/0!</v>
          </cell>
          <cell r="AX16">
            <v>0</v>
          </cell>
          <cell r="AY16">
            <v>0</v>
          </cell>
          <cell r="AZ16">
            <v>8.8000000000000043</v>
          </cell>
          <cell r="BA16" t="e">
            <v>#DIV/0!</v>
          </cell>
          <cell r="BB16" t="e">
            <v>#DIV/0!</v>
          </cell>
          <cell r="BC16">
            <v>0</v>
          </cell>
          <cell r="BD16">
            <v>0</v>
          </cell>
          <cell r="BE16">
            <v>3.299999999999998</v>
          </cell>
          <cell r="BF16" t="e">
            <v>#DIV/0!</v>
          </cell>
          <cell r="BG16" t="e">
            <v>#DIV/0!</v>
          </cell>
          <cell r="BH16">
            <v>0</v>
          </cell>
          <cell r="BI16">
            <v>0</v>
          </cell>
          <cell r="BJ16">
            <v>-0.10000000000000005</v>
          </cell>
          <cell r="BK16" t="e">
            <v>#DIV/0!</v>
          </cell>
          <cell r="BL16">
            <v>3.208333333333333</v>
          </cell>
          <cell r="BM16">
            <v>17.2</v>
          </cell>
        </row>
        <row r="17">
          <cell r="D17">
            <v>1.2161290322580647</v>
          </cell>
          <cell r="E17">
            <v>11</v>
          </cell>
          <cell r="F17">
            <v>-3.6</v>
          </cell>
          <cell r="G17">
            <v>-1.9612903225806451</v>
          </cell>
          <cell r="H17">
            <v>3.17741935483871</v>
          </cell>
          <cell r="I17">
            <v>0.22142857142857128</v>
          </cell>
          <cell r="J17">
            <v>3.7</v>
          </cell>
          <cell r="K17">
            <v>-3.9</v>
          </cell>
          <cell r="L17">
            <v>-0.66206896551724137</v>
          </cell>
          <cell r="M17">
            <v>0.88349753694581268</v>
          </cell>
          <cell r="N17">
            <v>4.3258064516129036</v>
          </cell>
          <cell r="O17">
            <v>10.1</v>
          </cell>
          <cell r="P17">
            <v>1</v>
          </cell>
          <cell r="Q17">
            <v>3.3032258064516129</v>
          </cell>
          <cell r="R17">
            <v>1.0225806451612907</v>
          </cell>
          <cell r="S17">
            <v>8.2200000000000006</v>
          </cell>
          <cell r="T17">
            <v>15.5</v>
          </cell>
          <cell r="U17">
            <v>1</v>
          </cell>
          <cell r="V17">
            <v>7.5500000000000007</v>
          </cell>
          <cell r="W17">
            <v>0.66999999999999993</v>
          </cell>
          <cell r="X17" t="e">
            <v>#DIV/0!</v>
          </cell>
          <cell r="Y17">
            <v>0</v>
          </cell>
          <cell r="Z17">
            <v>0</v>
          </cell>
          <cell r="AA17">
            <v>12.95483870967742</v>
          </cell>
          <cell r="AB17" t="e">
            <v>#DIV/0!</v>
          </cell>
          <cell r="AC17" t="e">
            <v>#DIV/0!</v>
          </cell>
          <cell r="AD17">
            <v>0</v>
          </cell>
          <cell r="AE17">
            <v>0</v>
          </cell>
          <cell r="AF17">
            <v>15.81</v>
          </cell>
          <cell r="AG17" t="e">
            <v>#DIV/0!</v>
          </cell>
          <cell r="AH17" t="e">
            <v>#DIV/0!</v>
          </cell>
          <cell r="AI17">
            <v>0</v>
          </cell>
          <cell r="AJ17">
            <v>0</v>
          </cell>
          <cell r="AK17">
            <v>17.525806451612908</v>
          </cell>
          <cell r="AL17" t="e">
            <v>#DIV/0!</v>
          </cell>
          <cell r="AM17" t="e">
            <v>#DIV/0!</v>
          </cell>
          <cell r="AN17">
            <v>0</v>
          </cell>
          <cell r="AO17">
            <v>0</v>
          </cell>
          <cell r="AP17">
            <v>17.219354838709684</v>
          </cell>
          <cell r="AQ17" t="e">
            <v>#DIV/0!</v>
          </cell>
          <cell r="AR17" t="e">
            <v>#DIV/0!</v>
          </cell>
          <cell r="AS17">
            <v>0</v>
          </cell>
          <cell r="AT17">
            <v>0</v>
          </cell>
          <cell r="AU17">
            <v>13.010000000000002</v>
          </cell>
          <cell r="AV17" t="e">
            <v>#DIV/0!</v>
          </cell>
          <cell r="AW17" t="e">
            <v>#DIV/0!</v>
          </cell>
          <cell r="AX17">
            <v>0</v>
          </cell>
          <cell r="AY17">
            <v>0</v>
          </cell>
          <cell r="AZ17">
            <v>7.9935483870967738</v>
          </cell>
          <cell r="BA17" t="e">
            <v>#DIV/0!</v>
          </cell>
          <cell r="BB17" t="e">
            <v>#DIV/0!</v>
          </cell>
          <cell r="BC17">
            <v>0</v>
          </cell>
          <cell r="BD17">
            <v>0</v>
          </cell>
          <cell r="BE17">
            <v>2.6366666666666658</v>
          </cell>
          <cell r="BF17" t="e">
            <v>#DIV/0!</v>
          </cell>
          <cell r="BG17" t="e">
            <v>#DIV/0!</v>
          </cell>
          <cell r="BH17">
            <v>0</v>
          </cell>
          <cell r="BI17">
            <v>0</v>
          </cell>
          <cell r="BJ17">
            <v>-0.43548387096774194</v>
          </cell>
          <cell r="BK17" t="e">
            <v>#DIV/0!</v>
          </cell>
          <cell r="BL17">
            <v>3.538333333333334</v>
          </cell>
          <cell r="BM17">
            <v>15.5</v>
          </cell>
        </row>
        <row r="21">
          <cell r="D21">
            <v>2.4258064516129032</v>
          </cell>
          <cell r="E21">
            <v>12.8</v>
          </cell>
          <cell r="F21">
            <v>-2.1</v>
          </cell>
          <cell r="G21">
            <v>-0.60000000000000009</v>
          </cell>
          <cell r="H21">
            <v>3.0258064516129033</v>
          </cell>
          <cell r="I21">
            <v>1.1821428571428572</v>
          </cell>
          <cell r="J21">
            <v>4.8</v>
          </cell>
          <cell r="K21">
            <v>-3.2</v>
          </cell>
          <cell r="L21">
            <v>0.69999999999999962</v>
          </cell>
          <cell r="M21">
            <v>0.48214285714285754</v>
          </cell>
          <cell r="N21">
            <v>5.377419354838711</v>
          </cell>
          <cell r="O21">
            <v>10.9</v>
          </cell>
          <cell r="P21">
            <v>2.1</v>
          </cell>
          <cell r="Q21">
            <v>4.599999999999997</v>
          </cell>
          <cell r="R21">
            <v>0.77741935483871405</v>
          </cell>
          <cell r="S21">
            <v>9.0233333333333334</v>
          </cell>
          <cell r="T21">
            <v>16.100000000000001</v>
          </cell>
          <cell r="U21">
            <v>1.7</v>
          </cell>
          <cell r="V21">
            <v>8.6999999999999957</v>
          </cell>
          <cell r="W21">
            <v>0.32333333333333769</v>
          </cell>
          <cell r="X21">
            <v>0</v>
          </cell>
          <cell r="Y21">
            <v>0</v>
          </cell>
          <cell r="Z21">
            <v>0</v>
          </cell>
          <cell r="AA21">
            <v>14</v>
          </cell>
          <cell r="AB21">
            <v>-14</v>
          </cell>
          <cell r="AC21">
            <v>0</v>
          </cell>
          <cell r="AD21">
            <v>0</v>
          </cell>
          <cell r="AE21">
            <v>0</v>
          </cell>
          <cell r="AF21">
            <v>16.800000000000008</v>
          </cell>
          <cell r="AG21">
            <v>-16.800000000000008</v>
          </cell>
          <cell r="AH21">
            <v>0</v>
          </cell>
          <cell r="AI21">
            <v>0</v>
          </cell>
          <cell r="AJ21">
            <v>0</v>
          </cell>
          <cell r="AK21">
            <v>18.7</v>
          </cell>
          <cell r="AL21">
            <v>-18.7</v>
          </cell>
          <cell r="AM21">
            <v>0</v>
          </cell>
          <cell r="AN21">
            <v>0</v>
          </cell>
          <cell r="AO21">
            <v>0</v>
          </cell>
          <cell r="AP21">
            <v>18.5</v>
          </cell>
          <cell r="AQ21">
            <v>-18.5</v>
          </cell>
          <cell r="AR21">
            <v>0</v>
          </cell>
          <cell r="AS21">
            <v>0</v>
          </cell>
          <cell r="AT21">
            <v>0</v>
          </cell>
          <cell r="AU21">
            <v>14.100000000000005</v>
          </cell>
          <cell r="AV21">
            <v>-14.100000000000005</v>
          </cell>
          <cell r="AW21">
            <v>0</v>
          </cell>
          <cell r="AX21">
            <v>0</v>
          </cell>
          <cell r="AY21">
            <v>0</v>
          </cell>
          <cell r="AZ21">
            <v>9</v>
          </cell>
          <cell r="BA21">
            <v>-9</v>
          </cell>
          <cell r="BB21">
            <v>0</v>
          </cell>
          <cell r="BC21">
            <v>0</v>
          </cell>
          <cell r="BD21">
            <v>0</v>
          </cell>
          <cell r="BE21">
            <v>3.700000000000002</v>
          </cell>
          <cell r="BF21">
            <v>-3.700000000000002</v>
          </cell>
          <cell r="BG21">
            <v>0</v>
          </cell>
          <cell r="BH21">
            <v>0</v>
          </cell>
          <cell r="BI21">
            <v>0</v>
          </cell>
          <cell r="BJ21">
            <v>1.1000000000000005</v>
          </cell>
          <cell r="BK21">
            <v>-1.1000000000000005</v>
          </cell>
          <cell r="BL21">
            <v>1.4909836065573772</v>
          </cell>
          <cell r="BM21">
            <v>16.100000000000001</v>
          </cell>
        </row>
        <row r="22">
          <cell r="D22">
            <v>1.2913978494623652</v>
          </cell>
          <cell r="E22">
            <v>10.85</v>
          </cell>
          <cell r="F22">
            <v>-3.4333333333333331</v>
          </cell>
          <cell r="G22">
            <v>-1.6333333333333331</v>
          </cell>
          <cell r="H22">
            <v>2.9247311827956981</v>
          </cell>
          <cell r="I22">
            <v>0.25773809523809554</v>
          </cell>
          <cell r="J22">
            <v>3.7666666666666662</v>
          </cell>
          <cell r="K22">
            <v>-3.85</v>
          </cell>
          <cell r="L22">
            <v>-0.46666666666666673</v>
          </cell>
          <cell r="M22">
            <v>0.72440476190476222</v>
          </cell>
          <cell r="N22">
            <v>4.384408602150538</v>
          </cell>
          <cell r="O22">
            <v>10.200000000000001</v>
          </cell>
          <cell r="P22">
            <v>1.1833333333333331</v>
          </cell>
          <cell r="Q22">
            <v>3.383333333333336</v>
          </cell>
          <cell r="R22">
            <v>1.001075268817202</v>
          </cell>
          <cell r="S22">
            <v>8.2616666666666667</v>
          </cell>
          <cell r="T22">
            <v>15.533333333333333</v>
          </cell>
          <cell r="U22">
            <v>1.1499999999999999</v>
          </cell>
          <cell r="V22">
            <v>7.6166666666666689</v>
          </cell>
          <cell r="W22">
            <v>0.6449999999999978</v>
          </cell>
          <cell r="X22" t="e">
            <v>#DIV/0!</v>
          </cell>
          <cell r="Y22" t="e">
            <v>#DIV/0!</v>
          </cell>
          <cell r="Z22" t="e">
            <v>#DIV/0!</v>
          </cell>
          <cell r="AA22">
            <v>13.016666666666657</v>
          </cell>
          <cell r="AB22" t="e">
            <v>#DIV/0!</v>
          </cell>
          <cell r="AC22" t="e">
            <v>#DIV/0!</v>
          </cell>
          <cell r="AD22" t="e">
            <v>#DIV/0!</v>
          </cell>
          <cell r="AE22" t="e">
            <v>#DIV/0!</v>
          </cell>
          <cell r="AF22">
            <v>15.800000000000008</v>
          </cell>
          <cell r="AG22" t="e">
            <v>#DIV/0!</v>
          </cell>
          <cell r="AH22" t="e">
            <v>#DIV/0!</v>
          </cell>
          <cell r="AI22" t="e">
            <v>#DIV/0!</v>
          </cell>
          <cell r="AJ22" t="e">
            <v>#DIV/0!</v>
          </cell>
          <cell r="AK22">
            <v>17.583333333333329</v>
          </cell>
          <cell r="AL22" t="e">
            <v>#DIV/0!</v>
          </cell>
          <cell r="AM22" t="e">
            <v>#DIV/0!</v>
          </cell>
          <cell r="AN22" t="e">
            <v>#DIV/0!</v>
          </cell>
          <cell r="AO22" t="e">
            <v>#DIV/0!</v>
          </cell>
          <cell r="AP22">
            <v>17.31666666666667</v>
          </cell>
          <cell r="AQ22" t="e">
            <v>#DIV/0!</v>
          </cell>
          <cell r="AR22" t="e">
            <v>#DIV/0!</v>
          </cell>
          <cell r="AS22" t="e">
            <v>#DIV/0!</v>
          </cell>
          <cell r="AT22" t="e">
            <v>#DIV/0!</v>
          </cell>
          <cell r="AU22">
            <v>13.033333333333342</v>
          </cell>
          <cell r="AV22" t="e">
            <v>#DIV/0!</v>
          </cell>
          <cell r="AW22" t="e">
            <v>#DIV/0!</v>
          </cell>
          <cell r="AX22" t="e">
            <v>#DIV/0!</v>
          </cell>
          <cell r="AY22" t="e">
            <v>#DIV/0!</v>
          </cell>
          <cell r="AZ22">
            <v>8.1500000000000039</v>
          </cell>
          <cell r="BA22" t="e">
            <v>#DIV/0!</v>
          </cell>
          <cell r="BB22" t="e">
            <v>#DIV/0!</v>
          </cell>
          <cell r="BC22" t="e">
            <v>#DIV/0!</v>
          </cell>
          <cell r="BD22" t="e">
            <v>#DIV/0!</v>
          </cell>
          <cell r="BE22">
            <v>2.833333333333333</v>
          </cell>
          <cell r="BF22" t="e">
            <v>#DIV/0!</v>
          </cell>
          <cell r="BG22" t="e">
            <v>#DIV/0!</v>
          </cell>
          <cell r="BH22" t="e">
            <v>#DIV/0!</v>
          </cell>
          <cell r="BI22" t="e">
            <v>#DIV/0!</v>
          </cell>
          <cell r="BJ22">
            <v>-0.10000000000000005</v>
          </cell>
          <cell r="BK22" t="e">
            <v>#DIV/0!</v>
          </cell>
          <cell r="BL22" t="e">
            <v>#DIV/0!</v>
          </cell>
          <cell r="BM22" t="e">
            <v>#DIV/0!</v>
          </cell>
        </row>
        <row r="23">
          <cell r="D23">
            <v>0.80322580645161312</v>
          </cell>
          <cell r="E23">
            <v>11.2</v>
          </cell>
          <cell r="F23">
            <v>-3.6</v>
          </cell>
          <cell r="G23">
            <v>-2.1000000000000005</v>
          </cell>
          <cell r="H23">
            <v>2.9032258064516139</v>
          </cell>
          <cell r="I23">
            <v>-0.34285714285714325</v>
          </cell>
          <cell r="J23">
            <v>2.7</v>
          </cell>
          <cell r="K23">
            <v>-4.5</v>
          </cell>
          <cell r="L23">
            <v>-1</v>
          </cell>
          <cell r="M23">
            <v>0.65714285714285681</v>
          </cell>
          <cell r="N23">
            <v>3.7290322580645165</v>
          </cell>
          <cell r="O23">
            <v>8.9</v>
          </cell>
          <cell r="P23">
            <v>-0.3</v>
          </cell>
          <cell r="Q23">
            <v>2.9000000000000008</v>
          </cell>
          <cell r="R23">
            <v>0.82903225806451575</v>
          </cell>
          <cell r="S23">
            <v>7.5866666666666651</v>
          </cell>
          <cell r="T23">
            <v>14.8</v>
          </cell>
          <cell r="U23">
            <v>0.1</v>
          </cell>
          <cell r="V23">
            <v>7</v>
          </cell>
          <cell r="W23">
            <v>0.58666666666666512</v>
          </cell>
          <cell r="X23">
            <v>0</v>
          </cell>
          <cell r="Y23">
            <v>0</v>
          </cell>
          <cell r="Z23">
            <v>0</v>
          </cell>
          <cell r="AA23">
            <v>12.399999999999995</v>
          </cell>
          <cell r="AB23">
            <v>-12.399999999999995</v>
          </cell>
          <cell r="AC23">
            <v>0</v>
          </cell>
          <cell r="AD23">
            <v>0</v>
          </cell>
          <cell r="AE23">
            <v>0</v>
          </cell>
          <cell r="AF23">
            <v>15.300000000000008</v>
          </cell>
          <cell r="AG23">
            <v>-15.300000000000008</v>
          </cell>
          <cell r="AH23">
            <v>0</v>
          </cell>
          <cell r="AI23">
            <v>0</v>
          </cell>
          <cell r="AJ23">
            <v>0</v>
          </cell>
          <cell r="AK23">
            <v>17.100000000000009</v>
          </cell>
          <cell r="AL23">
            <v>-17.100000000000009</v>
          </cell>
          <cell r="AM23">
            <v>0</v>
          </cell>
          <cell r="AN23">
            <v>0</v>
          </cell>
          <cell r="AO23">
            <v>0</v>
          </cell>
          <cell r="AP23">
            <v>16.800000000000004</v>
          </cell>
          <cell r="AQ23">
            <v>-16.800000000000004</v>
          </cell>
          <cell r="AR23">
            <v>0</v>
          </cell>
          <cell r="AS23">
            <v>0</v>
          </cell>
          <cell r="AT23">
            <v>0</v>
          </cell>
          <cell r="AU23">
            <v>12.5</v>
          </cell>
          <cell r="AV23">
            <v>-12.5</v>
          </cell>
          <cell r="AW23">
            <v>0</v>
          </cell>
          <cell r="AX23">
            <v>0</v>
          </cell>
          <cell r="AY23">
            <v>0</v>
          </cell>
          <cell r="AZ23">
            <v>7.5</v>
          </cell>
          <cell r="BA23">
            <v>-7.5</v>
          </cell>
          <cell r="BB23">
            <v>0</v>
          </cell>
          <cell r="BC23">
            <v>0</v>
          </cell>
          <cell r="BD23">
            <v>0</v>
          </cell>
          <cell r="BE23">
            <v>2.2000000000000011</v>
          </cell>
          <cell r="BF23">
            <v>-2.2000000000000011</v>
          </cell>
          <cell r="BG23">
            <v>0</v>
          </cell>
          <cell r="BH23">
            <v>0</v>
          </cell>
          <cell r="BI23">
            <v>0</v>
          </cell>
          <cell r="BJ23">
            <v>-0.69999999999999962</v>
          </cell>
          <cell r="BK23">
            <v>0.69999999999999962</v>
          </cell>
          <cell r="BL23">
            <v>0.97950819672131162</v>
          </cell>
          <cell r="BM23">
            <v>14.8</v>
          </cell>
        </row>
        <row r="24">
          <cell r="D24">
            <v>1.2161290322580647</v>
          </cell>
          <cell r="E24">
            <v>11</v>
          </cell>
          <cell r="F24">
            <v>-3.6</v>
          </cell>
          <cell r="G24">
            <v>-1.9612903225806451</v>
          </cell>
          <cell r="H24">
            <v>3.17741935483871</v>
          </cell>
          <cell r="I24">
            <v>0.22142857142857128</v>
          </cell>
          <cell r="J24">
            <v>3.7</v>
          </cell>
          <cell r="K24">
            <v>-3.9</v>
          </cell>
          <cell r="L24">
            <v>-0.66206896551724137</v>
          </cell>
          <cell r="M24">
            <v>0.88349753694581268</v>
          </cell>
          <cell r="N24">
            <v>4.3258064516129036</v>
          </cell>
          <cell r="O24">
            <v>10.1</v>
          </cell>
          <cell r="P24">
            <v>1</v>
          </cell>
          <cell r="Q24">
            <v>3.3032258064516129</v>
          </cell>
          <cell r="R24">
            <v>1.0225806451612907</v>
          </cell>
          <cell r="S24">
            <v>8.2200000000000006</v>
          </cell>
          <cell r="T24">
            <v>15.5</v>
          </cell>
          <cell r="U24">
            <v>1</v>
          </cell>
          <cell r="V24">
            <v>7.5500000000000007</v>
          </cell>
          <cell r="W24">
            <v>0.66999999999999993</v>
          </cell>
          <cell r="X24" t="e">
            <v>#DIV/0!</v>
          </cell>
          <cell r="Y24">
            <v>0</v>
          </cell>
          <cell r="Z24">
            <v>0</v>
          </cell>
          <cell r="AA24">
            <v>12.95483870967742</v>
          </cell>
          <cell r="AB24" t="e">
            <v>#DIV/0!</v>
          </cell>
          <cell r="AC24" t="e">
            <v>#DIV/0!</v>
          </cell>
          <cell r="AD24">
            <v>0</v>
          </cell>
          <cell r="AE24">
            <v>0</v>
          </cell>
          <cell r="AF24">
            <v>15.81</v>
          </cell>
          <cell r="AG24" t="e">
            <v>#DIV/0!</v>
          </cell>
          <cell r="AH24" t="e">
            <v>#DIV/0!</v>
          </cell>
          <cell r="AI24">
            <v>0</v>
          </cell>
          <cell r="AJ24">
            <v>0</v>
          </cell>
          <cell r="AK24">
            <v>17.525806451612908</v>
          </cell>
          <cell r="AL24" t="e">
            <v>#DIV/0!</v>
          </cell>
          <cell r="AM24" t="e">
            <v>#DIV/0!</v>
          </cell>
          <cell r="AN24">
            <v>0</v>
          </cell>
          <cell r="AO24">
            <v>0</v>
          </cell>
          <cell r="AP24">
            <v>17.219354838709684</v>
          </cell>
          <cell r="AQ24" t="e">
            <v>#DIV/0!</v>
          </cell>
          <cell r="AR24" t="e">
            <v>#DIV/0!</v>
          </cell>
          <cell r="AS24">
            <v>0</v>
          </cell>
          <cell r="AT24">
            <v>0</v>
          </cell>
          <cell r="AU24">
            <v>13.010000000000002</v>
          </cell>
          <cell r="AV24" t="e">
            <v>#DIV/0!</v>
          </cell>
          <cell r="AW24" t="e">
            <v>#DIV/0!</v>
          </cell>
          <cell r="AX24">
            <v>0</v>
          </cell>
          <cell r="AY24">
            <v>0</v>
          </cell>
          <cell r="AZ24">
            <v>7.9935483870967738</v>
          </cell>
          <cell r="BA24" t="e">
            <v>#DIV/0!</v>
          </cell>
          <cell r="BB24" t="e">
            <v>#DIV/0!</v>
          </cell>
          <cell r="BC24">
            <v>0</v>
          </cell>
          <cell r="BD24">
            <v>0</v>
          </cell>
          <cell r="BE24">
            <v>2.6366666666666658</v>
          </cell>
          <cell r="BF24" t="e">
            <v>#DIV/0!</v>
          </cell>
          <cell r="BG24" t="e">
            <v>#DIV/0!</v>
          </cell>
          <cell r="BH24">
            <v>0</v>
          </cell>
          <cell r="BI24">
            <v>0</v>
          </cell>
          <cell r="BJ24">
            <v>-0.43548387096774194</v>
          </cell>
          <cell r="BK24" t="e">
            <v>#DIV/0!</v>
          </cell>
          <cell r="BL24">
            <v>3.538333333333334</v>
          </cell>
          <cell r="BM24">
            <v>15.5</v>
          </cell>
        </row>
        <row r="25">
          <cell r="D25">
            <v>1.2161290322580647</v>
          </cell>
          <cell r="E25">
            <v>11</v>
          </cell>
          <cell r="F25">
            <v>-3.6</v>
          </cell>
          <cell r="G25">
            <v>-1.9612903225806451</v>
          </cell>
          <cell r="H25">
            <v>3.17741935483871</v>
          </cell>
          <cell r="I25">
            <v>0.22142857142857128</v>
          </cell>
          <cell r="J25">
            <v>3.7</v>
          </cell>
          <cell r="K25">
            <v>-3.9</v>
          </cell>
          <cell r="L25">
            <v>-0.66206896551724137</v>
          </cell>
          <cell r="M25">
            <v>0.88349753694581268</v>
          </cell>
          <cell r="N25">
            <v>4.3258064516129036</v>
          </cell>
          <cell r="O25">
            <v>10.1</v>
          </cell>
          <cell r="P25">
            <v>1</v>
          </cell>
          <cell r="Q25">
            <v>3.3032258064516129</v>
          </cell>
          <cell r="R25">
            <v>1.0225806451612907</v>
          </cell>
          <cell r="S25">
            <v>8.2200000000000006</v>
          </cell>
          <cell r="T25">
            <v>15.5</v>
          </cell>
          <cell r="U25">
            <v>1</v>
          </cell>
          <cell r="V25">
            <v>7.5500000000000007</v>
          </cell>
          <cell r="W25">
            <v>0.66999999999999993</v>
          </cell>
          <cell r="X25" t="e">
            <v>#DIV/0!</v>
          </cell>
          <cell r="Y25">
            <v>0</v>
          </cell>
          <cell r="Z25">
            <v>0</v>
          </cell>
          <cell r="AA25">
            <v>12.95483870967742</v>
          </cell>
          <cell r="AB25" t="e">
            <v>#DIV/0!</v>
          </cell>
          <cell r="AC25" t="e">
            <v>#DIV/0!</v>
          </cell>
          <cell r="AD25">
            <v>0</v>
          </cell>
          <cell r="AE25">
            <v>0</v>
          </cell>
          <cell r="AF25">
            <v>15.81</v>
          </cell>
          <cell r="AG25" t="e">
            <v>#DIV/0!</v>
          </cell>
          <cell r="AH25" t="e">
            <v>#DIV/0!</v>
          </cell>
          <cell r="AI25">
            <v>0</v>
          </cell>
          <cell r="AJ25">
            <v>0</v>
          </cell>
          <cell r="AK25">
            <v>17.525806451612908</v>
          </cell>
          <cell r="AL25" t="e">
            <v>#DIV/0!</v>
          </cell>
          <cell r="AM25" t="e">
            <v>#DIV/0!</v>
          </cell>
          <cell r="AN25">
            <v>0</v>
          </cell>
          <cell r="AO25">
            <v>0</v>
          </cell>
          <cell r="AP25">
            <v>17.219354838709684</v>
          </cell>
          <cell r="AQ25" t="e">
            <v>#DIV/0!</v>
          </cell>
          <cell r="AR25" t="e">
            <v>#DIV/0!</v>
          </cell>
          <cell r="AS25">
            <v>0</v>
          </cell>
          <cell r="AT25">
            <v>0</v>
          </cell>
          <cell r="AU25">
            <v>13.010000000000002</v>
          </cell>
          <cell r="AV25" t="e">
            <v>#DIV/0!</v>
          </cell>
          <cell r="AW25" t="e">
            <v>#DIV/0!</v>
          </cell>
          <cell r="AX25">
            <v>0</v>
          </cell>
          <cell r="AY25">
            <v>0</v>
          </cell>
          <cell r="AZ25">
            <v>7.9935483870967738</v>
          </cell>
          <cell r="BA25" t="e">
            <v>#DIV/0!</v>
          </cell>
          <cell r="BB25" t="e">
            <v>#DIV/0!</v>
          </cell>
          <cell r="BC25">
            <v>0</v>
          </cell>
          <cell r="BD25">
            <v>0</v>
          </cell>
          <cell r="BE25">
            <v>2.6366666666666658</v>
          </cell>
          <cell r="BF25" t="e">
            <v>#DIV/0!</v>
          </cell>
          <cell r="BG25" t="e">
            <v>#DIV/0!</v>
          </cell>
          <cell r="BH25">
            <v>0</v>
          </cell>
          <cell r="BI25">
            <v>0</v>
          </cell>
          <cell r="BJ25">
            <v>-0.43548387096774194</v>
          </cell>
          <cell r="BK25" t="e">
            <v>#DIV/0!</v>
          </cell>
          <cell r="BL25">
            <v>3.538333333333334</v>
          </cell>
          <cell r="BM25">
            <v>15.5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</sheetNames>
    <sheetDataSet>
      <sheetData sheetId="0"/>
      <sheetData sheetId="1"/>
      <sheetData sheetId="2"/>
      <sheetData sheetId="3">
        <row r="3">
          <cell r="D3">
            <v>0.50322580645161286</v>
          </cell>
          <cell r="E3">
            <v>5.7</v>
          </cell>
          <cell r="F3">
            <v>-6.7</v>
          </cell>
          <cell r="G3">
            <v>-1.899999999999999</v>
          </cell>
          <cell r="H3">
            <v>2.4032258064516121</v>
          </cell>
          <cell r="I3">
            <v>1.5214285714285716</v>
          </cell>
          <cell r="J3">
            <v>4.5</v>
          </cell>
          <cell r="K3">
            <v>-2.8</v>
          </cell>
          <cell r="L3">
            <v>-0.80000000000000038</v>
          </cell>
          <cell r="M3">
            <v>2.3214285714285721</v>
          </cell>
          <cell r="N3">
            <v>5.7935483870967746</v>
          </cell>
          <cell r="O3">
            <v>11.3</v>
          </cell>
          <cell r="P3">
            <v>1.1000000000000001</v>
          </cell>
          <cell r="Q3">
            <v>3.0999999999999988</v>
          </cell>
          <cell r="R3">
            <v>2.6935483870967758</v>
          </cell>
          <cell r="S3">
            <v>9.3533333333333335</v>
          </cell>
          <cell r="T3">
            <v>12.9</v>
          </cell>
          <cell r="U3">
            <v>3.2</v>
          </cell>
          <cell r="V3">
            <v>7.0999999999999961</v>
          </cell>
          <cell r="W3">
            <v>2.2533333333333374</v>
          </cell>
          <cell r="X3">
            <v>11.548387096774192</v>
          </cell>
          <cell r="Y3">
            <v>20</v>
          </cell>
          <cell r="Z3">
            <v>4.0999999999999996</v>
          </cell>
          <cell r="AA3">
            <v>12.5</v>
          </cell>
          <cell r="AB3">
            <v>-0.95161290322580783</v>
          </cell>
          <cell r="AC3">
            <v>15.929999999999998</v>
          </cell>
          <cell r="AD3">
            <v>22.7</v>
          </cell>
          <cell r="AE3">
            <v>11.8</v>
          </cell>
          <cell r="AF3">
            <v>15.399999999999993</v>
          </cell>
          <cell r="AG3">
            <v>0.53000000000000469</v>
          </cell>
          <cell r="AH3">
            <v>18.580645161290324</v>
          </cell>
          <cell r="AI3">
            <v>24.4</v>
          </cell>
          <cell r="AJ3">
            <v>13.1</v>
          </cell>
          <cell r="AK3">
            <v>17.199999999999996</v>
          </cell>
          <cell r="AL3">
            <v>1.3806451612903281</v>
          </cell>
          <cell r="AM3">
            <v>15.396774193548389</v>
          </cell>
          <cell r="AN3">
            <v>22</v>
          </cell>
          <cell r="AO3">
            <v>10.8</v>
          </cell>
          <cell r="AP3">
            <v>16.899999999999991</v>
          </cell>
          <cell r="AQ3">
            <v>-1.5032258064516029</v>
          </cell>
          <cell r="AR3">
            <v>13.706666666666667</v>
          </cell>
          <cell r="AS3">
            <v>17.5</v>
          </cell>
          <cell r="AT3">
            <v>7.6</v>
          </cell>
          <cell r="AU3">
            <v>12.600000000000003</v>
          </cell>
          <cell r="AV3">
            <v>1.1066666666666638</v>
          </cell>
          <cell r="AW3">
            <v>10.148387096774195</v>
          </cell>
          <cell r="AX3">
            <v>14.8</v>
          </cell>
          <cell r="AY3">
            <v>3.7</v>
          </cell>
          <cell r="AZ3">
            <v>7.5</v>
          </cell>
          <cell r="BA3">
            <v>2.6483870967741954</v>
          </cell>
          <cell r="BB3">
            <v>5.6933333333333325</v>
          </cell>
          <cell r="BC3">
            <v>10.5</v>
          </cell>
          <cell r="BD3">
            <v>0</v>
          </cell>
          <cell r="BE3">
            <v>2.2999999999999985</v>
          </cell>
          <cell r="BF3">
            <v>3.393333333333334</v>
          </cell>
          <cell r="BG3">
            <v>1.9774193548387102</v>
          </cell>
          <cell r="BH3">
            <v>9.6</v>
          </cell>
          <cell r="BI3">
            <v>-7.4</v>
          </cell>
          <cell r="BJ3">
            <v>-0.5</v>
          </cell>
          <cell r="BK3">
            <v>2.4774193548387102</v>
          </cell>
          <cell r="BL3">
            <v>9.2205479452054835</v>
          </cell>
          <cell r="BM3">
            <v>24.4</v>
          </cell>
        </row>
        <row r="4">
          <cell r="D4">
            <v>1.2516129032258065</v>
          </cell>
          <cell r="E4">
            <v>8.6999999999999993</v>
          </cell>
          <cell r="F4">
            <v>-8.6</v>
          </cell>
          <cell r="G4">
            <v>-1.7000000000000008</v>
          </cell>
          <cell r="H4">
            <v>2.9516129032258074</v>
          </cell>
          <cell r="I4">
            <v>3.0642857142857141</v>
          </cell>
          <cell r="J4">
            <v>5.7</v>
          </cell>
          <cell r="K4">
            <v>-1.2</v>
          </cell>
          <cell r="L4">
            <v>-0.10000000000000005</v>
          </cell>
          <cell r="M4">
            <v>3.1642857142857141</v>
          </cell>
          <cell r="N4">
            <v>7.8967741935483851</v>
          </cell>
          <cell r="O4">
            <v>13.2</v>
          </cell>
          <cell r="P4">
            <v>4</v>
          </cell>
          <cell r="Q4">
            <v>4.2000000000000011</v>
          </cell>
          <cell r="R4">
            <v>3.696774193548384</v>
          </cell>
          <cell r="S4">
            <v>11.220000000000002</v>
          </cell>
          <cell r="T4">
            <v>16.600000000000001</v>
          </cell>
          <cell r="U4">
            <v>5.4</v>
          </cell>
          <cell r="V4">
            <v>8.9000000000000021</v>
          </cell>
          <cell r="W4">
            <v>2.3200000000000003</v>
          </cell>
          <cell r="X4">
            <v>14.170967741935485</v>
          </cell>
          <cell r="Y4">
            <v>22.7</v>
          </cell>
          <cell r="Z4">
            <v>7.6</v>
          </cell>
          <cell r="AA4">
            <v>14.199999999999992</v>
          </cell>
          <cell r="AB4">
            <v>-2.9032258064507488E-2</v>
          </cell>
          <cell r="AC4">
            <v>18.336666666666662</v>
          </cell>
          <cell r="AD4">
            <v>25.9</v>
          </cell>
          <cell r="AE4">
            <v>14</v>
          </cell>
          <cell r="AF4">
            <v>17</v>
          </cell>
          <cell r="AG4">
            <v>1.3366666666666625</v>
          </cell>
          <cell r="AH4">
            <v>21.14838709677419</v>
          </cell>
          <cell r="AI4">
            <v>27.1</v>
          </cell>
          <cell r="AJ4">
            <v>16.600000000000001</v>
          </cell>
          <cell r="AK4">
            <v>18.899999999999988</v>
          </cell>
          <cell r="AL4">
            <v>2.2483870967742021</v>
          </cell>
          <cell r="AM4">
            <v>17.577419354838707</v>
          </cell>
          <cell r="AN4">
            <v>24</v>
          </cell>
          <cell r="AO4">
            <v>12.8</v>
          </cell>
          <cell r="AP4">
            <v>18.7</v>
          </cell>
          <cell r="AQ4">
            <v>-1.1225806451612925</v>
          </cell>
          <cell r="AR4">
            <v>15.273333333333335</v>
          </cell>
          <cell r="AS4">
            <v>19.7</v>
          </cell>
          <cell r="AT4">
            <v>9.6999999999999993</v>
          </cell>
          <cell r="AU4">
            <v>14.199999999999992</v>
          </cell>
          <cell r="AV4">
            <v>1.073333333333343</v>
          </cell>
          <cell r="AW4">
            <v>11.012903225806449</v>
          </cell>
          <cell r="AX4">
            <v>15.5</v>
          </cell>
          <cell r="AY4">
            <v>3</v>
          </cell>
          <cell r="AZ4">
            <v>8.9</v>
          </cell>
          <cell r="BA4">
            <v>2.1129032258064484</v>
          </cell>
          <cell r="BB4">
            <v>7.3866666666666658</v>
          </cell>
          <cell r="BC4">
            <v>14.8</v>
          </cell>
          <cell r="BD4">
            <v>-0.5</v>
          </cell>
          <cell r="BE4">
            <v>3.2000000000000015</v>
          </cell>
          <cell r="BF4">
            <v>4.1866666666666639</v>
          </cell>
          <cell r="BG4">
            <v>2.4290322580645163</v>
          </cell>
          <cell r="BH4">
            <v>11.2</v>
          </cell>
          <cell r="BI4">
            <v>-7.6</v>
          </cell>
          <cell r="BJ4">
            <v>-0.20000000000000009</v>
          </cell>
          <cell r="BK4">
            <v>2.6290322580645165</v>
          </cell>
          <cell r="BL4">
            <v>10.938082191780827</v>
          </cell>
          <cell r="BM4">
            <v>27.1</v>
          </cell>
        </row>
        <row r="5">
          <cell r="D5">
            <v>-3.2258064516129219E-2</v>
          </cell>
          <cell r="E5">
            <v>6.8</v>
          </cell>
          <cell r="F5">
            <v>-6.6</v>
          </cell>
          <cell r="G5">
            <v>-2</v>
          </cell>
          <cell r="H5">
            <v>1.9677419354838708</v>
          </cell>
          <cell r="I5">
            <v>0.89285714285714302</v>
          </cell>
          <cell r="J5">
            <v>3.5</v>
          </cell>
          <cell r="K5">
            <v>-3.6</v>
          </cell>
          <cell r="L5">
            <v>-1.1000000000000005</v>
          </cell>
          <cell r="M5">
            <v>1.9928571428571435</v>
          </cell>
          <cell r="N5">
            <v>4.9258064516129041</v>
          </cell>
          <cell r="O5">
            <v>11.9</v>
          </cell>
          <cell r="P5">
            <v>-0.1</v>
          </cell>
          <cell r="Q5">
            <v>2.7000000000000015</v>
          </cell>
          <cell r="R5">
            <v>2.2258064516129026</v>
          </cell>
          <cell r="S5">
            <v>9.1999999999999993</v>
          </cell>
          <cell r="T5">
            <v>13.1</v>
          </cell>
          <cell r="U5">
            <v>2.2000000000000002</v>
          </cell>
          <cell r="V5">
            <v>6.5</v>
          </cell>
          <cell r="W5">
            <v>2.6999999999999993</v>
          </cell>
          <cell r="X5">
            <v>10.687096774193547</v>
          </cell>
          <cell r="Y5">
            <v>19.899999999999999</v>
          </cell>
          <cell r="Z5">
            <v>3.1</v>
          </cell>
          <cell r="AA5">
            <v>11.800000000000006</v>
          </cell>
          <cell r="AB5">
            <v>-1.1129032258064591</v>
          </cell>
          <cell r="AC5">
            <v>14.833333333333332</v>
          </cell>
          <cell r="AD5">
            <v>23.4</v>
          </cell>
          <cell r="AE5">
            <v>11.1</v>
          </cell>
          <cell r="AF5">
            <v>14.600000000000007</v>
          </cell>
          <cell r="AG5">
            <v>0.2333333333333254</v>
          </cell>
          <cell r="AH5">
            <v>17.70645161290323</v>
          </cell>
          <cell r="AI5">
            <v>23.2</v>
          </cell>
          <cell r="AJ5">
            <v>11.5</v>
          </cell>
          <cell r="AK5">
            <v>16.5</v>
          </cell>
          <cell r="AL5">
            <v>1.2064516129032299</v>
          </cell>
          <cell r="AM5">
            <v>13.941935483870971</v>
          </cell>
          <cell r="AN5">
            <v>20.399999999999999</v>
          </cell>
          <cell r="AO5">
            <v>8.3000000000000007</v>
          </cell>
          <cell r="AP5">
            <v>16.100000000000009</v>
          </cell>
          <cell r="AQ5">
            <v>-2.1580645161290377</v>
          </cell>
          <cell r="AR5">
            <v>12.983333333333331</v>
          </cell>
          <cell r="AS5">
            <v>17.5</v>
          </cell>
          <cell r="AT5">
            <v>6.6</v>
          </cell>
          <cell r="AU5">
            <v>11.800000000000006</v>
          </cell>
          <cell r="AV5">
            <v>1.1833333333333247</v>
          </cell>
          <cell r="AW5">
            <v>9.6419354838709701</v>
          </cell>
          <cell r="AX5">
            <v>13.9</v>
          </cell>
          <cell r="AY5">
            <v>3</v>
          </cell>
          <cell r="AZ5">
            <v>7</v>
          </cell>
          <cell r="BA5">
            <v>2.6419354838709701</v>
          </cell>
          <cell r="BB5">
            <v>4.616666666666668</v>
          </cell>
          <cell r="BC5">
            <v>9.1999999999999993</v>
          </cell>
          <cell r="BD5">
            <v>-0.7</v>
          </cell>
          <cell r="BE5">
            <v>1.7999999999999992</v>
          </cell>
          <cell r="BF5">
            <v>2.8166666666666691</v>
          </cell>
          <cell r="BG5">
            <v>0.88387096774193508</v>
          </cell>
          <cell r="BH5">
            <v>7.1</v>
          </cell>
          <cell r="BI5">
            <v>-8.1999999999999993</v>
          </cell>
          <cell r="BJ5">
            <v>-0.80000000000000038</v>
          </cell>
          <cell r="BK5">
            <v>1.6838709677419355</v>
          </cell>
          <cell r="BL5">
            <v>8.3956164383561607</v>
          </cell>
          <cell r="BM5">
            <v>23.4</v>
          </cell>
        </row>
        <row r="6">
          <cell r="D6">
            <v>0.5838709677419357</v>
          </cell>
          <cell r="E6">
            <v>7.2</v>
          </cell>
          <cell r="F6">
            <v>-10.6</v>
          </cell>
          <cell r="G6">
            <v>-2.2999999999999985</v>
          </cell>
          <cell r="H6">
            <v>2.8838709677419341</v>
          </cell>
          <cell r="I6">
            <v>2.3285714285714287</v>
          </cell>
          <cell r="J6">
            <v>5.6</v>
          </cell>
          <cell r="K6">
            <v>-0.5</v>
          </cell>
          <cell r="L6">
            <v>-1.1000000000000005</v>
          </cell>
          <cell r="M6">
            <v>3.4285714285714293</v>
          </cell>
          <cell r="N6">
            <v>6.2774193548387096</v>
          </cell>
          <cell r="O6">
            <v>11.9</v>
          </cell>
          <cell r="P6">
            <v>1.7</v>
          </cell>
          <cell r="Q6">
            <v>2.5999999999999992</v>
          </cell>
          <cell r="R6">
            <v>3.6774193548387104</v>
          </cell>
          <cell r="S6">
            <v>9.9033333333333324</v>
          </cell>
          <cell r="T6">
            <v>15.8</v>
          </cell>
          <cell r="U6">
            <v>4</v>
          </cell>
          <cell r="V6">
            <v>7</v>
          </cell>
          <cell r="W6">
            <v>2.9033333333333324</v>
          </cell>
          <cell r="X6">
            <v>12.348387096774196</v>
          </cell>
          <cell r="Y6">
            <v>21.2</v>
          </cell>
          <cell r="Z6">
            <v>4.2</v>
          </cell>
          <cell r="AA6">
            <v>12.600000000000005</v>
          </cell>
          <cell r="AB6">
            <v>-0.25161290322580854</v>
          </cell>
          <cell r="AC6">
            <v>16</v>
          </cell>
          <cell r="AD6">
            <v>24.6</v>
          </cell>
          <cell r="AE6">
            <v>12.3</v>
          </cell>
          <cell r="AF6">
            <v>15.199999999999992</v>
          </cell>
          <cell r="AG6">
            <v>0.80000000000000782</v>
          </cell>
          <cell r="AH6">
            <v>19.929032258064517</v>
          </cell>
          <cell r="AI6">
            <v>25.4</v>
          </cell>
          <cell r="AJ6">
            <v>13.1</v>
          </cell>
          <cell r="AK6">
            <v>16.899999999999991</v>
          </cell>
          <cell r="AL6">
            <v>3.0290322580645253</v>
          </cell>
          <cell r="AM6">
            <v>16.003225806451614</v>
          </cell>
          <cell r="AN6">
            <v>23.3</v>
          </cell>
          <cell r="AO6">
            <v>11.4</v>
          </cell>
          <cell r="AP6">
            <v>16.899999999999991</v>
          </cell>
          <cell r="AQ6">
            <v>-0.89677419354837795</v>
          </cell>
          <cell r="AR6">
            <v>14.43</v>
          </cell>
          <cell r="AS6">
            <v>18.3</v>
          </cell>
          <cell r="AT6">
            <v>7.7</v>
          </cell>
          <cell r="AU6">
            <v>12.600000000000003</v>
          </cell>
          <cell r="AV6">
            <v>1.8299999999999965</v>
          </cell>
          <cell r="AW6">
            <v>10.006451612903227</v>
          </cell>
          <cell r="AX6">
            <v>15.1</v>
          </cell>
          <cell r="AY6">
            <v>3.9</v>
          </cell>
          <cell r="AZ6">
            <v>7.8000000000000043</v>
          </cell>
          <cell r="BA6">
            <v>2.2064516129032228</v>
          </cell>
          <cell r="BB6">
            <v>6.506666666666665</v>
          </cell>
          <cell r="BC6">
            <v>12.5</v>
          </cell>
          <cell r="BD6">
            <v>-0.9</v>
          </cell>
          <cell r="BE6">
            <v>2.5</v>
          </cell>
          <cell r="BF6">
            <v>4.006666666666665</v>
          </cell>
          <cell r="BG6">
            <v>1.5129032258064519</v>
          </cell>
          <cell r="BH6">
            <v>8.4</v>
          </cell>
          <cell r="BI6">
            <v>-7.5</v>
          </cell>
          <cell r="BJ6">
            <v>-0.60000000000000009</v>
          </cell>
          <cell r="BK6">
            <v>2.112903225806452</v>
          </cell>
          <cell r="BL6">
            <v>9.690136986301372</v>
          </cell>
          <cell r="BM6">
            <v>25.4</v>
          </cell>
        </row>
        <row r="7">
          <cell r="D7">
            <v>0.42258064516129074</v>
          </cell>
          <cell r="E7">
            <v>5.3</v>
          </cell>
          <cell r="F7">
            <v>-12.5</v>
          </cell>
          <cell r="G7">
            <v>-1.7000000000000008</v>
          </cell>
          <cell r="H7">
            <v>2.1225806451612916</v>
          </cell>
          <cell r="I7">
            <v>2.3321428571428569</v>
          </cell>
          <cell r="J7">
            <v>5.2</v>
          </cell>
          <cell r="K7">
            <v>-0.5</v>
          </cell>
          <cell r="L7">
            <v>-0.69999999999999962</v>
          </cell>
          <cell r="M7">
            <v>3.0321428571428566</v>
          </cell>
          <cell r="N7">
            <v>5.9903225806451612</v>
          </cell>
          <cell r="O7">
            <v>13.6</v>
          </cell>
          <cell r="P7">
            <v>1.5</v>
          </cell>
          <cell r="Q7">
            <v>2.7999999999999985</v>
          </cell>
          <cell r="R7">
            <v>3.1903225806451627</v>
          </cell>
          <cell r="S7">
            <v>9.67</v>
          </cell>
          <cell r="T7">
            <v>14.9</v>
          </cell>
          <cell r="U7">
            <v>3.7</v>
          </cell>
          <cell r="V7">
            <v>6.9000000000000039</v>
          </cell>
          <cell r="W7">
            <v>2.769999999999996</v>
          </cell>
          <cell r="X7">
            <v>11.96774193548387</v>
          </cell>
          <cell r="Y7">
            <v>21.6</v>
          </cell>
          <cell r="Z7">
            <v>3.4</v>
          </cell>
          <cell r="AA7">
            <v>12.399999999999995</v>
          </cell>
          <cell r="AB7">
            <v>-0.43225806451612492</v>
          </cell>
          <cell r="AC7">
            <v>15.576666666666664</v>
          </cell>
          <cell r="AD7">
            <v>24.3</v>
          </cell>
          <cell r="AE7">
            <v>11.2</v>
          </cell>
          <cell r="AF7">
            <v>15.100000000000007</v>
          </cell>
          <cell r="AG7">
            <v>0.47666666666665769</v>
          </cell>
          <cell r="AH7">
            <v>19.270967741935483</v>
          </cell>
          <cell r="AI7">
            <v>24.6</v>
          </cell>
          <cell r="AJ7">
            <v>12.7</v>
          </cell>
          <cell r="AK7">
            <v>16.600000000000009</v>
          </cell>
          <cell r="AL7">
            <v>2.670967741935474</v>
          </cell>
          <cell r="AM7">
            <v>15.767741935483869</v>
          </cell>
          <cell r="AN7">
            <v>22.4</v>
          </cell>
          <cell r="AO7">
            <v>10.9</v>
          </cell>
          <cell r="AP7">
            <v>16.300000000000008</v>
          </cell>
          <cell r="AQ7">
            <v>-0.53225806451613877</v>
          </cell>
          <cell r="AR7">
            <v>14.120000000000001</v>
          </cell>
          <cell r="AS7">
            <v>18.100000000000001</v>
          </cell>
          <cell r="AT7">
            <v>7.3</v>
          </cell>
          <cell r="AU7">
            <v>12.300000000000006</v>
          </cell>
          <cell r="AV7">
            <v>1.819999999999995</v>
          </cell>
          <cell r="AW7">
            <v>10.396774193548385</v>
          </cell>
          <cell r="AX7">
            <v>15.4</v>
          </cell>
          <cell r="AY7">
            <v>4.7</v>
          </cell>
          <cell r="AZ7">
            <v>7.8000000000000043</v>
          </cell>
          <cell r="BA7">
            <v>2.5967741935483808</v>
          </cell>
          <cell r="BB7">
            <v>6.5400000000000036</v>
          </cell>
          <cell r="BC7">
            <v>12.1</v>
          </cell>
          <cell r="BD7">
            <v>0.8</v>
          </cell>
          <cell r="BE7">
            <v>2.7000000000000015</v>
          </cell>
          <cell r="BF7">
            <v>3.8400000000000021</v>
          </cell>
          <cell r="BG7">
            <v>1.7806451612903222</v>
          </cell>
          <cell r="BH7">
            <v>8.5</v>
          </cell>
          <cell r="BI7">
            <v>-7.7</v>
          </cell>
          <cell r="BJ7">
            <v>-0.20000000000000009</v>
          </cell>
          <cell r="BK7">
            <v>1.9806451612903224</v>
          </cell>
          <cell r="BL7">
            <v>9.5232876712328807</v>
          </cell>
          <cell r="BM7">
            <v>24.6</v>
          </cell>
        </row>
        <row r="8">
          <cell r="D8">
            <v>0.42258064516129035</v>
          </cell>
          <cell r="E8">
            <v>8.1999999999999993</v>
          </cell>
          <cell r="F8">
            <v>-12.9</v>
          </cell>
          <cell r="G8">
            <v>-1.899999999999999</v>
          </cell>
          <cell r="H8">
            <v>2.3225806451612891</v>
          </cell>
          <cell r="I8">
            <v>3.6071428571428572</v>
          </cell>
          <cell r="J8">
            <v>6.5</v>
          </cell>
          <cell r="K8">
            <v>-0.2</v>
          </cell>
          <cell r="L8">
            <v>-0.80000000000000038</v>
          </cell>
          <cell r="M8">
            <v>4.4071428571428575</v>
          </cell>
          <cell r="N8">
            <v>6.5322580645161299</v>
          </cell>
          <cell r="O8">
            <v>14.8</v>
          </cell>
          <cell r="P8">
            <v>2.7</v>
          </cell>
          <cell r="Q8">
            <v>2.9000000000000008</v>
          </cell>
          <cell r="R8">
            <v>3.6322580645161291</v>
          </cell>
          <cell r="S8">
            <v>10.013333333333332</v>
          </cell>
          <cell r="T8">
            <v>14.9</v>
          </cell>
          <cell r="U8">
            <v>3.7</v>
          </cell>
          <cell r="V8">
            <v>7.3000000000000034</v>
          </cell>
          <cell r="W8">
            <v>2.7133333333333285</v>
          </cell>
          <cell r="X8">
            <v>12.861290322580645</v>
          </cell>
          <cell r="Y8">
            <v>22.5</v>
          </cell>
          <cell r="Z8">
            <v>4.5999999999999996</v>
          </cell>
          <cell r="AA8">
            <v>12.699999999999994</v>
          </cell>
          <cell r="AB8">
            <v>0.16129032258065124</v>
          </cell>
          <cell r="AC8">
            <v>16.103333333333332</v>
          </cell>
          <cell r="AD8">
            <v>23.7</v>
          </cell>
          <cell r="AE8">
            <v>11.4</v>
          </cell>
          <cell r="AF8">
            <v>15.5</v>
          </cell>
          <cell r="AG8">
            <v>0.60333333333333172</v>
          </cell>
          <cell r="AH8">
            <v>19.783870967741933</v>
          </cell>
          <cell r="AI8">
            <v>24.9</v>
          </cell>
          <cell r="AJ8">
            <v>14</v>
          </cell>
          <cell r="AK8">
            <v>17.199999999999996</v>
          </cell>
          <cell r="AL8">
            <v>2.5838709677419374</v>
          </cell>
          <cell r="AM8">
            <v>16.43548387096774</v>
          </cell>
          <cell r="AN8">
            <v>22.5</v>
          </cell>
          <cell r="AO8">
            <v>11.1</v>
          </cell>
          <cell r="AP8">
            <v>16.899999999999991</v>
          </cell>
          <cell r="AQ8">
            <v>-0.46451612903225126</v>
          </cell>
          <cell r="AR8">
            <v>14.586666666666662</v>
          </cell>
          <cell r="AS8">
            <v>18.100000000000001</v>
          </cell>
          <cell r="AT8">
            <v>8.1999999999999993</v>
          </cell>
          <cell r="AU8">
            <v>12.699999999999994</v>
          </cell>
          <cell r="AV8">
            <v>1.8866666666666685</v>
          </cell>
          <cell r="AW8">
            <v>10.216129032258063</v>
          </cell>
          <cell r="AX8">
            <v>16.399999999999999</v>
          </cell>
          <cell r="AY8">
            <v>2.8</v>
          </cell>
          <cell r="AZ8">
            <v>8.1999999999999957</v>
          </cell>
          <cell r="BA8">
            <v>2.0161290322580676</v>
          </cell>
          <cell r="BB8">
            <v>6.793333333333333</v>
          </cell>
          <cell r="BC8">
            <v>15.2</v>
          </cell>
          <cell r="BD8">
            <v>-3.8</v>
          </cell>
          <cell r="BE8">
            <v>2.7000000000000015</v>
          </cell>
          <cell r="BF8">
            <v>4.0933333333333319</v>
          </cell>
          <cell r="BG8">
            <v>1.458064516129032</v>
          </cell>
          <cell r="BH8">
            <v>10.3</v>
          </cell>
          <cell r="BI8">
            <v>-10.9</v>
          </cell>
          <cell r="BJ8">
            <v>-0.5</v>
          </cell>
          <cell r="BK8">
            <v>1.958064516129032</v>
          </cell>
          <cell r="BL8">
            <v>9.9312328767123308</v>
          </cell>
          <cell r="BM8">
            <v>24.9</v>
          </cell>
        </row>
        <row r="9">
          <cell r="D9">
            <v>0.33548387096774152</v>
          </cell>
          <cell r="E9">
            <v>7.1</v>
          </cell>
          <cell r="F9">
            <v>-11.5</v>
          </cell>
          <cell r="G9">
            <v>-2.5</v>
          </cell>
          <cell r="H9">
            <v>2.8354838709677415</v>
          </cell>
          <cell r="I9">
            <v>2.6571428571428575</v>
          </cell>
          <cell r="J9">
            <v>5.2</v>
          </cell>
          <cell r="K9">
            <v>-0.1</v>
          </cell>
          <cell r="L9">
            <v>-1.2</v>
          </cell>
          <cell r="M9">
            <v>3.8571428571428577</v>
          </cell>
          <cell r="N9">
            <v>6.5419354838709669</v>
          </cell>
          <cell r="O9">
            <v>12.7</v>
          </cell>
          <cell r="P9">
            <v>2.7</v>
          </cell>
          <cell r="Q9">
            <v>2.5</v>
          </cell>
          <cell r="R9">
            <v>4.0419354838709669</v>
          </cell>
          <cell r="S9">
            <v>9.8400000000000016</v>
          </cell>
          <cell r="T9">
            <v>14.9</v>
          </cell>
          <cell r="U9">
            <v>3.9</v>
          </cell>
          <cell r="V9">
            <v>6.9000000000000039</v>
          </cell>
          <cell r="W9">
            <v>2.9399999999999977</v>
          </cell>
          <cell r="X9">
            <v>12.61290322580645</v>
          </cell>
          <cell r="Y9">
            <v>22</v>
          </cell>
          <cell r="Z9">
            <v>5.0999999999999996</v>
          </cell>
          <cell r="AA9">
            <v>12.199999999999994</v>
          </cell>
          <cell r="AB9">
            <v>0.41290322580645622</v>
          </cell>
          <cell r="AC9">
            <v>16.073333333333334</v>
          </cell>
          <cell r="AD9">
            <v>23.7</v>
          </cell>
          <cell r="AE9">
            <v>11.8</v>
          </cell>
          <cell r="AF9">
            <v>14.899999999999993</v>
          </cell>
          <cell r="AG9">
            <v>1.1733333333333409</v>
          </cell>
          <cell r="AH9">
            <v>19.612903225806452</v>
          </cell>
          <cell r="AI9">
            <v>25</v>
          </cell>
          <cell r="AJ9">
            <v>14.3</v>
          </cell>
          <cell r="AK9">
            <v>16.699999999999996</v>
          </cell>
          <cell r="AL9">
            <v>2.9129032258064562</v>
          </cell>
          <cell r="AM9">
            <v>16.022580645161288</v>
          </cell>
          <cell r="AN9">
            <v>22.3</v>
          </cell>
          <cell r="AO9">
            <v>11.4</v>
          </cell>
          <cell r="AP9">
            <v>16.600000000000009</v>
          </cell>
          <cell r="AQ9">
            <v>-0.57741935483872098</v>
          </cell>
          <cell r="AR9">
            <v>14.326666666666666</v>
          </cell>
          <cell r="AS9">
            <v>17.7</v>
          </cell>
          <cell r="AT9">
            <v>8.1</v>
          </cell>
          <cell r="AU9">
            <v>12.5</v>
          </cell>
          <cell r="AV9">
            <v>1.8266666666666662</v>
          </cell>
          <cell r="AW9">
            <v>9.7774193548387096</v>
          </cell>
          <cell r="AX9">
            <v>14.9</v>
          </cell>
          <cell r="AY9">
            <v>2.1</v>
          </cell>
          <cell r="AZ9">
            <v>7.6999999999999957</v>
          </cell>
          <cell r="BA9">
            <v>2.0774193548387139</v>
          </cell>
          <cell r="BB9">
            <v>6.47</v>
          </cell>
          <cell r="BC9">
            <v>13.4</v>
          </cell>
          <cell r="BD9">
            <v>-2.7</v>
          </cell>
          <cell r="BE9">
            <v>2.100000000000001</v>
          </cell>
          <cell r="BF9">
            <v>4.3699999999999992</v>
          </cell>
          <cell r="BG9">
            <v>1.3161290322580643</v>
          </cell>
          <cell r="BH9">
            <v>9.6</v>
          </cell>
          <cell r="BI9">
            <v>-8.1</v>
          </cell>
          <cell r="BJ9">
            <v>-1.1000000000000005</v>
          </cell>
          <cell r="BK9">
            <v>2.4161290322580649</v>
          </cell>
          <cell r="BL9">
            <v>9.6671232876712274</v>
          </cell>
          <cell r="BM9">
            <v>25</v>
          </cell>
        </row>
        <row r="10">
          <cell r="D10">
            <v>0.73870967741935478</v>
          </cell>
          <cell r="E10">
            <v>7.6</v>
          </cell>
          <cell r="F10">
            <v>-10.4</v>
          </cell>
          <cell r="G10">
            <v>-1.6000000000000008</v>
          </cell>
          <cell r="H10">
            <v>2.3387096774193554</v>
          </cell>
          <cell r="I10">
            <v>2.4392857142857141</v>
          </cell>
          <cell r="J10">
            <v>5.9</v>
          </cell>
          <cell r="K10">
            <v>-0.9</v>
          </cell>
          <cell r="L10">
            <v>-0.3</v>
          </cell>
          <cell r="M10">
            <v>2.7392857142857139</v>
          </cell>
          <cell r="N10">
            <v>6.1741935483870964</v>
          </cell>
          <cell r="O10">
            <v>12.4</v>
          </cell>
          <cell r="P10">
            <v>1.6</v>
          </cell>
          <cell r="Q10">
            <v>3.5999999999999979</v>
          </cell>
          <cell r="R10">
            <v>2.5741935483870986</v>
          </cell>
          <cell r="S10">
            <v>9.7033333333333349</v>
          </cell>
          <cell r="T10">
            <v>15.5</v>
          </cell>
          <cell r="U10">
            <v>3.5</v>
          </cell>
          <cell r="V10">
            <v>7.9000000000000039</v>
          </cell>
          <cell r="W10">
            <v>1.803333333333331</v>
          </cell>
          <cell r="X10">
            <v>12.267741935483869</v>
          </cell>
          <cell r="Y10">
            <v>20.9</v>
          </cell>
          <cell r="Z10">
            <v>4.9000000000000004</v>
          </cell>
          <cell r="AA10">
            <v>13.300000000000008</v>
          </cell>
          <cell r="AB10">
            <v>-1.0322580645161388</v>
          </cell>
          <cell r="AC10">
            <v>15.87</v>
          </cell>
          <cell r="AD10">
            <v>24.5</v>
          </cell>
          <cell r="AE10">
            <v>11.9</v>
          </cell>
          <cell r="AF10">
            <v>16.199999999999992</v>
          </cell>
          <cell r="AG10">
            <v>-0.32999999999999297</v>
          </cell>
          <cell r="AH10">
            <v>19.509677419354841</v>
          </cell>
          <cell r="AI10">
            <v>25.1</v>
          </cell>
          <cell r="AJ10">
            <v>13.6</v>
          </cell>
          <cell r="AK10">
            <v>17.7</v>
          </cell>
          <cell r="AL10">
            <v>1.8096774193548413</v>
          </cell>
          <cell r="AM10">
            <v>16.038709677419355</v>
          </cell>
          <cell r="AN10">
            <v>22.9</v>
          </cell>
          <cell r="AO10">
            <v>11.6</v>
          </cell>
          <cell r="AP10">
            <v>17.5</v>
          </cell>
          <cell r="AQ10">
            <v>-1.4612903225806448</v>
          </cell>
          <cell r="AR10">
            <v>14.256666666666666</v>
          </cell>
          <cell r="AS10">
            <v>18</v>
          </cell>
          <cell r="AT10">
            <v>8</v>
          </cell>
          <cell r="AU10">
            <v>13.300000000000008</v>
          </cell>
          <cell r="AV10">
            <v>0.95666666666665812</v>
          </cell>
          <cell r="AW10">
            <v>9.9129032258064527</v>
          </cell>
          <cell r="AX10">
            <v>14.2</v>
          </cell>
          <cell r="AY10">
            <v>2.7</v>
          </cell>
          <cell r="AZ10">
            <v>8.4000000000000021</v>
          </cell>
          <cell r="BA10">
            <v>1.5129032258064505</v>
          </cell>
          <cell r="BB10">
            <v>6.5633333333333326</v>
          </cell>
          <cell r="BC10">
            <v>13.1</v>
          </cell>
          <cell r="BD10">
            <v>-0.8</v>
          </cell>
          <cell r="BE10">
            <v>3</v>
          </cell>
          <cell r="BF10">
            <v>3.5633333333333326</v>
          </cell>
          <cell r="BG10">
            <v>1.6806451612903226</v>
          </cell>
          <cell r="BH10">
            <v>9.6999999999999993</v>
          </cell>
          <cell r="BI10">
            <v>-7.6</v>
          </cell>
          <cell r="BJ10">
            <v>0.10000000000000005</v>
          </cell>
          <cell r="BK10">
            <v>1.5806451612903225</v>
          </cell>
          <cell r="BL10">
            <v>9.6331506849315023</v>
          </cell>
          <cell r="BM10">
            <v>25.1</v>
          </cell>
        </row>
        <row r="11">
          <cell r="D11">
            <v>0.92258064516129012</v>
          </cell>
          <cell r="E11">
            <v>8.8000000000000007</v>
          </cell>
          <cell r="F11">
            <v>-5.6</v>
          </cell>
          <cell r="G11">
            <v>-1.6000000000000008</v>
          </cell>
          <cell r="H11">
            <v>2.5225806451612911</v>
          </cell>
          <cell r="I11">
            <v>1.9928571428571427</v>
          </cell>
          <cell r="J11">
            <v>4.9000000000000004</v>
          </cell>
          <cell r="K11">
            <v>-2.2999999999999998</v>
          </cell>
          <cell r="L11">
            <v>-0.6</v>
          </cell>
          <cell r="M11">
            <v>2.5928571428571425</v>
          </cell>
          <cell r="N11">
            <v>5.9806451612903233</v>
          </cell>
          <cell r="O11">
            <v>13</v>
          </cell>
          <cell r="P11">
            <v>1.3</v>
          </cell>
          <cell r="Q11">
            <v>3.4000000000000017</v>
          </cell>
          <cell r="R11">
            <v>2.5806451612903216</v>
          </cell>
          <cell r="S11">
            <v>10.24</v>
          </cell>
          <cell r="T11">
            <v>13.9</v>
          </cell>
          <cell r="U11">
            <v>3.7</v>
          </cell>
          <cell r="V11">
            <v>7.1999999999999966</v>
          </cell>
          <cell r="W11">
            <v>3.0400000000000036</v>
          </cell>
          <cell r="X11">
            <v>12.293548387096777</v>
          </cell>
          <cell r="Y11">
            <v>21.8</v>
          </cell>
          <cell r="Z11">
            <v>5.2</v>
          </cell>
          <cell r="AA11">
            <v>12.699999999999994</v>
          </cell>
          <cell r="AB11">
            <v>-0.40645161290321674</v>
          </cell>
          <cell r="AC11">
            <v>16.623333333333335</v>
          </cell>
          <cell r="AD11">
            <v>23.9</v>
          </cell>
          <cell r="AE11">
            <v>11.9</v>
          </cell>
          <cell r="AF11">
            <v>15.600000000000007</v>
          </cell>
          <cell r="AG11">
            <v>1.0233333333333281</v>
          </cell>
          <cell r="AH11">
            <v>19.241935483870964</v>
          </cell>
          <cell r="AI11">
            <v>24.3</v>
          </cell>
          <cell r="AJ11">
            <v>12.9</v>
          </cell>
          <cell r="AK11">
            <v>17.5</v>
          </cell>
          <cell r="AL11">
            <v>1.7419354838709644</v>
          </cell>
          <cell r="AM11">
            <v>15.638709677419357</v>
          </cell>
          <cell r="AN11">
            <v>22.2</v>
          </cell>
          <cell r="AO11">
            <v>10.7</v>
          </cell>
          <cell r="AP11">
            <v>17</v>
          </cell>
          <cell r="AQ11">
            <v>-1.3612903225806434</v>
          </cell>
          <cell r="AR11">
            <v>14.239999999999998</v>
          </cell>
          <cell r="AS11">
            <v>18.5</v>
          </cell>
          <cell r="AT11">
            <v>7.8</v>
          </cell>
          <cell r="AU11">
            <v>12.800000000000006</v>
          </cell>
          <cell r="AV11">
            <v>1.4399999999999924</v>
          </cell>
          <cell r="AW11">
            <v>10.606451612903227</v>
          </cell>
          <cell r="AX11">
            <v>14.9</v>
          </cell>
          <cell r="AY11">
            <v>3.9</v>
          </cell>
          <cell r="AZ11">
            <v>7.6999999999999957</v>
          </cell>
          <cell r="BA11">
            <v>2.906451612903231</v>
          </cell>
          <cell r="BB11">
            <v>5.8500000000000032</v>
          </cell>
          <cell r="BC11">
            <v>10.199999999999999</v>
          </cell>
          <cell r="BD11">
            <v>0.4</v>
          </cell>
          <cell r="BE11">
            <v>2.5999999999999996</v>
          </cell>
          <cell r="BF11">
            <v>3.2500000000000036</v>
          </cell>
          <cell r="BG11">
            <v>2.2903225806451619</v>
          </cell>
          <cell r="BH11">
            <v>9.4</v>
          </cell>
          <cell r="BI11">
            <v>-7.2</v>
          </cell>
          <cell r="BJ11">
            <v>-0.10000000000000005</v>
          </cell>
          <cell r="BK11">
            <v>2.390322580645162</v>
          </cell>
          <cell r="BL11">
            <v>9.7002739726027407</v>
          </cell>
          <cell r="BM11">
            <v>24.3</v>
          </cell>
        </row>
        <row r="12">
          <cell r="D12">
            <v>1.9709677419354841</v>
          </cell>
          <cell r="E12">
            <v>7.9</v>
          </cell>
          <cell r="F12">
            <v>-8.1</v>
          </cell>
          <cell r="G12">
            <v>-0.60000000000000009</v>
          </cell>
          <cell r="H12">
            <v>2.5709677419354842</v>
          </cell>
          <cell r="I12">
            <v>4.1071428571428568</v>
          </cell>
          <cell r="J12">
            <v>6.6</v>
          </cell>
          <cell r="K12">
            <v>-0.1</v>
          </cell>
          <cell r="L12">
            <v>0.69999999999999962</v>
          </cell>
          <cell r="M12">
            <v>3.407142857142857</v>
          </cell>
          <cell r="N12">
            <v>8.4451612903225808</v>
          </cell>
          <cell r="O12">
            <v>16.100000000000001</v>
          </cell>
          <cell r="P12">
            <v>4</v>
          </cell>
          <cell r="Q12">
            <v>4.599999999999997</v>
          </cell>
          <cell r="R12">
            <v>3.8451612903225838</v>
          </cell>
          <cell r="S12">
            <v>12.000000000000002</v>
          </cell>
          <cell r="T12">
            <v>15.7</v>
          </cell>
          <cell r="U12">
            <v>5.8</v>
          </cell>
          <cell r="V12">
            <v>8.6999999999999957</v>
          </cell>
          <cell r="W12">
            <v>3.300000000000006</v>
          </cell>
          <cell r="X12">
            <v>13.787096774193547</v>
          </cell>
          <cell r="Y12">
            <v>22.9</v>
          </cell>
          <cell r="Z12">
            <v>6.6</v>
          </cell>
          <cell r="AA12">
            <v>14</v>
          </cell>
          <cell r="AB12">
            <v>-0.21290322580645338</v>
          </cell>
          <cell r="AC12">
            <v>18.220000000000002</v>
          </cell>
          <cell r="AD12">
            <v>27</v>
          </cell>
          <cell r="AE12">
            <v>12.8</v>
          </cell>
          <cell r="AF12">
            <v>16.800000000000008</v>
          </cell>
          <cell r="AG12">
            <v>1.4199999999999946</v>
          </cell>
          <cell r="AH12">
            <v>21.483870967741936</v>
          </cell>
          <cell r="AI12">
            <v>27.7</v>
          </cell>
          <cell r="AJ12">
            <v>14.4</v>
          </cell>
          <cell r="AK12">
            <v>18.7</v>
          </cell>
          <cell r="AL12">
            <v>2.7838709677419367</v>
          </cell>
          <cell r="AM12">
            <v>17.93870967741935</v>
          </cell>
          <cell r="AN12">
            <v>24.8</v>
          </cell>
          <cell r="AO12">
            <v>13.3</v>
          </cell>
          <cell r="AP12">
            <v>18.5</v>
          </cell>
          <cell r="AQ12">
            <v>-0.56129032258064981</v>
          </cell>
          <cell r="AR12">
            <v>15.943333333333335</v>
          </cell>
          <cell r="AS12">
            <v>20.5</v>
          </cell>
          <cell r="AT12">
            <v>9.8000000000000007</v>
          </cell>
          <cell r="AU12">
            <v>14.100000000000005</v>
          </cell>
          <cell r="AV12">
            <v>1.8433333333333302</v>
          </cell>
          <cell r="AW12">
            <v>11.754838709677419</v>
          </cell>
          <cell r="AX12">
            <v>15.7</v>
          </cell>
          <cell r="AY12">
            <v>4.4000000000000004</v>
          </cell>
          <cell r="AZ12">
            <v>9</v>
          </cell>
          <cell r="BA12">
            <v>2.7548387096774185</v>
          </cell>
          <cell r="BB12">
            <v>7.1933333333333325</v>
          </cell>
          <cell r="BC12">
            <v>11.7</v>
          </cell>
          <cell r="BD12">
            <v>1.8</v>
          </cell>
          <cell r="BE12">
            <v>3.700000000000002</v>
          </cell>
          <cell r="BF12">
            <v>3.4933333333333305</v>
          </cell>
          <cell r="BG12">
            <v>3.4419354838709677</v>
          </cell>
          <cell r="BH12">
            <v>9.4</v>
          </cell>
          <cell r="BI12">
            <v>-5.2</v>
          </cell>
          <cell r="BJ12">
            <v>1.1000000000000005</v>
          </cell>
          <cell r="BK12">
            <v>2.3419354838709672</v>
          </cell>
          <cell r="BL12">
            <v>11.39506849315069</v>
          </cell>
          <cell r="BM12">
            <v>27.7</v>
          </cell>
        </row>
        <row r="13">
          <cell r="D13">
            <v>1.2193548387096775</v>
          </cell>
          <cell r="E13">
            <v>6.8</v>
          </cell>
          <cell r="F13">
            <v>-8.8000000000000007</v>
          </cell>
          <cell r="G13">
            <v>-1</v>
          </cell>
          <cell r="H13">
            <v>2.2193548387096778</v>
          </cell>
          <cell r="I13">
            <v>2.7285714285714282</v>
          </cell>
          <cell r="J13">
            <v>5.8</v>
          </cell>
          <cell r="K13">
            <v>-1</v>
          </cell>
          <cell r="L13">
            <v>0.20000000000000009</v>
          </cell>
          <cell r="M13">
            <v>2.528571428571428</v>
          </cell>
          <cell r="N13">
            <v>6.7419354838709689</v>
          </cell>
          <cell r="O13">
            <v>13.9</v>
          </cell>
          <cell r="P13">
            <v>2.8</v>
          </cell>
          <cell r="Q13">
            <v>4.2999999999999989</v>
          </cell>
          <cell r="R13">
            <v>2.4419354838709699</v>
          </cell>
          <cell r="S13">
            <v>10.590000000000002</v>
          </cell>
          <cell r="T13">
            <v>15.1</v>
          </cell>
          <cell r="U13">
            <v>5</v>
          </cell>
          <cell r="V13">
            <v>8.5</v>
          </cell>
          <cell r="W13">
            <v>2.0900000000000016</v>
          </cell>
          <cell r="X13">
            <v>12.690322580645162</v>
          </cell>
          <cell r="Y13">
            <v>21.4</v>
          </cell>
          <cell r="Z13">
            <v>5.7</v>
          </cell>
          <cell r="AA13">
            <v>13.800000000000008</v>
          </cell>
          <cell r="AB13">
            <v>-1.1096774193548455</v>
          </cell>
          <cell r="AC13">
            <v>16.673333333333332</v>
          </cell>
          <cell r="AD13">
            <v>24.3</v>
          </cell>
          <cell r="AE13">
            <v>12.3</v>
          </cell>
          <cell r="AF13">
            <v>16.600000000000009</v>
          </cell>
          <cell r="AG13">
            <v>7.333333333332348E-2</v>
          </cell>
          <cell r="AH13">
            <v>20.106451612903225</v>
          </cell>
          <cell r="AI13">
            <v>26.1</v>
          </cell>
          <cell r="AJ13">
            <v>13.8</v>
          </cell>
          <cell r="AK13">
            <v>18.3</v>
          </cell>
          <cell r="AL13">
            <v>1.8064516129032242</v>
          </cell>
          <cell r="AM13">
            <v>16.658064516129034</v>
          </cell>
          <cell r="AN13">
            <v>23.3</v>
          </cell>
          <cell r="AO13">
            <v>11.9</v>
          </cell>
          <cell r="AP13">
            <v>18.100000000000009</v>
          </cell>
          <cell r="AQ13">
            <v>-1.4419354838709744</v>
          </cell>
          <cell r="AR13">
            <v>14.816666666666665</v>
          </cell>
          <cell r="AS13">
            <v>18.7</v>
          </cell>
          <cell r="AT13">
            <v>8.4</v>
          </cell>
          <cell r="AU13">
            <v>13.699999999999992</v>
          </cell>
          <cell r="AV13">
            <v>1.1166666666666725</v>
          </cell>
          <cell r="AW13">
            <v>10.641935483870965</v>
          </cell>
          <cell r="AX13">
            <v>15.1</v>
          </cell>
          <cell r="AY13">
            <v>3.1</v>
          </cell>
          <cell r="AZ13">
            <v>8.6999999999999957</v>
          </cell>
          <cell r="BA13">
            <v>1.941935483870969</v>
          </cell>
          <cell r="BB13">
            <v>6.6233333333333322</v>
          </cell>
          <cell r="BC13">
            <v>11.3</v>
          </cell>
          <cell r="BD13">
            <v>1.2</v>
          </cell>
          <cell r="BE13">
            <v>3.5</v>
          </cell>
          <cell r="BF13">
            <v>3.1233333333333322</v>
          </cell>
          <cell r="BG13">
            <v>2.7096774193548385</v>
          </cell>
          <cell r="BH13">
            <v>9.5</v>
          </cell>
          <cell r="BI13">
            <v>-6.3</v>
          </cell>
          <cell r="BJ13">
            <v>0.69999999999999962</v>
          </cell>
          <cell r="BK13">
            <v>2.0096774193548388</v>
          </cell>
          <cell r="BL13">
            <v>10.222739726027401</v>
          </cell>
          <cell r="BM13">
            <v>26.1</v>
          </cell>
        </row>
        <row r="14">
          <cell r="D14">
            <v>0.36774193548387074</v>
          </cell>
          <cell r="E14">
            <v>5.0999999999999996</v>
          </cell>
          <cell r="F14">
            <v>-10</v>
          </cell>
          <cell r="G14">
            <v>-0.80000000000000038</v>
          </cell>
          <cell r="H14">
            <v>1.1677419354838712</v>
          </cell>
          <cell r="I14">
            <v>2.1750000000000003</v>
          </cell>
          <cell r="J14">
            <v>5.5</v>
          </cell>
          <cell r="K14">
            <v>-1.5</v>
          </cell>
          <cell r="L14">
            <v>0.40000000000000019</v>
          </cell>
          <cell r="M14">
            <v>1.7750000000000001</v>
          </cell>
          <cell r="N14">
            <v>6.7322580645161283</v>
          </cell>
          <cell r="O14">
            <v>14.7</v>
          </cell>
          <cell r="P14">
            <v>1.3</v>
          </cell>
          <cell r="Q14">
            <v>4.2999999999999989</v>
          </cell>
          <cell r="R14">
            <v>2.4322580645161294</v>
          </cell>
          <cell r="S14">
            <v>10.720000000000004</v>
          </cell>
          <cell r="T14">
            <v>14.6</v>
          </cell>
          <cell r="U14">
            <v>4.4000000000000004</v>
          </cell>
          <cell r="V14">
            <v>8.5</v>
          </cell>
          <cell r="W14">
            <v>2.2200000000000042</v>
          </cell>
          <cell r="X14">
            <v>12.616129032258067</v>
          </cell>
          <cell r="Y14">
            <v>21.9</v>
          </cell>
          <cell r="Z14">
            <v>5.2</v>
          </cell>
          <cell r="AA14">
            <v>13.899999999999993</v>
          </cell>
          <cell r="AB14">
            <v>-1.283870967741926</v>
          </cell>
          <cell r="AC14">
            <v>16.503333333333337</v>
          </cell>
          <cell r="AD14">
            <v>24</v>
          </cell>
          <cell r="AE14">
            <v>12.2</v>
          </cell>
          <cell r="AF14">
            <v>16.699999999999992</v>
          </cell>
          <cell r="AG14">
            <v>-0.19666666666665478</v>
          </cell>
          <cell r="AH14">
            <v>19.877419354838704</v>
          </cell>
          <cell r="AI14">
            <v>25.2</v>
          </cell>
          <cell r="AJ14">
            <v>13.3</v>
          </cell>
          <cell r="AK14">
            <v>18.5</v>
          </cell>
          <cell r="AL14">
            <v>1.3774193548387039</v>
          </cell>
          <cell r="AM14">
            <v>16.332258064516129</v>
          </cell>
          <cell r="AN14">
            <v>23.2</v>
          </cell>
          <cell r="AO14">
            <v>11.5</v>
          </cell>
          <cell r="AP14">
            <v>18</v>
          </cell>
          <cell r="AQ14">
            <v>-1.6677419354838712</v>
          </cell>
          <cell r="AR14">
            <v>14.783333333333333</v>
          </cell>
          <cell r="AS14">
            <v>18.8</v>
          </cell>
          <cell r="AT14">
            <v>8.3000000000000007</v>
          </cell>
          <cell r="AU14">
            <v>13.699999999999992</v>
          </cell>
          <cell r="AV14">
            <v>1.083333333333341</v>
          </cell>
          <cell r="AW14">
            <v>10.732258064516129</v>
          </cell>
          <cell r="AX14">
            <v>14.8</v>
          </cell>
          <cell r="AY14">
            <v>3.4</v>
          </cell>
          <cell r="AZ14">
            <v>8.5999999999999979</v>
          </cell>
          <cell r="BA14">
            <v>2.1322580645161313</v>
          </cell>
          <cell r="BB14">
            <v>6.4699999999999989</v>
          </cell>
          <cell r="BC14">
            <v>11.2</v>
          </cell>
          <cell r="BD14">
            <v>1.4</v>
          </cell>
          <cell r="BE14">
            <v>3.5</v>
          </cell>
          <cell r="BF14">
            <v>2.9699999999999989</v>
          </cell>
          <cell r="BG14">
            <v>2.596774193548387</v>
          </cell>
          <cell r="BH14">
            <v>9.8000000000000007</v>
          </cell>
          <cell r="BI14">
            <v>-6.7</v>
          </cell>
          <cell r="BJ14">
            <v>0.89999999999999947</v>
          </cell>
          <cell r="BK14">
            <v>1.6967741935483875</v>
          </cell>
          <cell r="BL14">
            <v>10.033150684931506</v>
          </cell>
          <cell r="BM14">
            <v>25.2</v>
          </cell>
        </row>
        <row r="15">
          <cell r="D15">
            <v>2.2580645161290443E-2</v>
          </cell>
          <cell r="E15">
            <v>6.5</v>
          </cell>
          <cell r="F15">
            <v>-9</v>
          </cell>
          <cell r="G15">
            <v>-2.5</v>
          </cell>
          <cell r="H15">
            <v>2.5225806451612907</v>
          </cell>
          <cell r="I15">
            <v>1.3785714285714283</v>
          </cell>
          <cell r="J15">
            <v>4.9000000000000004</v>
          </cell>
          <cell r="K15">
            <v>-3.4</v>
          </cell>
          <cell r="L15">
            <v>-1.2999999999999998</v>
          </cell>
          <cell r="M15">
            <v>2.6785714285714279</v>
          </cell>
          <cell r="N15">
            <v>5.9903225806451621</v>
          </cell>
          <cell r="O15">
            <v>10.5</v>
          </cell>
          <cell r="P15">
            <v>1.9</v>
          </cell>
          <cell r="Q15">
            <v>2.5</v>
          </cell>
          <cell r="R15">
            <v>3.4903225806451621</v>
          </cell>
          <cell r="S15">
            <v>9.4133333333333322</v>
          </cell>
          <cell r="T15">
            <v>14.7</v>
          </cell>
          <cell r="U15">
            <v>2.8</v>
          </cell>
          <cell r="V15">
            <v>6.9000000000000039</v>
          </cell>
          <cell r="W15">
            <v>2.5133333333333283</v>
          </cell>
          <cell r="X15">
            <v>11.793548387096775</v>
          </cell>
          <cell r="Y15">
            <v>20.100000000000001</v>
          </cell>
          <cell r="Z15">
            <v>4.5</v>
          </cell>
          <cell r="AA15">
            <v>12.399999999999995</v>
          </cell>
          <cell r="AB15">
            <v>-0.60645161290321958</v>
          </cell>
          <cell r="AC15">
            <v>15.986666666666666</v>
          </cell>
          <cell r="AD15">
            <v>24.1</v>
          </cell>
          <cell r="AE15">
            <v>11.9</v>
          </cell>
          <cell r="AF15">
            <v>15.199999999999992</v>
          </cell>
          <cell r="AG15">
            <v>0.78666666666667417</v>
          </cell>
          <cell r="AH15">
            <v>19.083870967741934</v>
          </cell>
          <cell r="AI15">
            <v>25.4</v>
          </cell>
          <cell r="AJ15">
            <v>13.5</v>
          </cell>
          <cell r="AK15">
            <v>17</v>
          </cell>
          <cell r="AL15">
            <v>2.0838709677419338</v>
          </cell>
          <cell r="AM15">
            <v>15.506451612903225</v>
          </cell>
          <cell r="AN15">
            <v>22.2</v>
          </cell>
          <cell r="AO15">
            <v>10.4</v>
          </cell>
          <cell r="AP15">
            <v>16.699999999999996</v>
          </cell>
          <cell r="AQ15">
            <v>-1.1935483870967705</v>
          </cell>
          <cell r="AR15">
            <v>13.653333333333334</v>
          </cell>
          <cell r="AS15">
            <v>17.8</v>
          </cell>
          <cell r="AT15">
            <v>6.9</v>
          </cell>
          <cell r="AU15">
            <v>12.399999999999997</v>
          </cell>
          <cell r="AV15">
            <v>1.2533333333333374</v>
          </cell>
          <cell r="AW15">
            <v>9.6225806451612907</v>
          </cell>
          <cell r="AX15">
            <v>13.9</v>
          </cell>
          <cell r="AY15">
            <v>2.7</v>
          </cell>
          <cell r="AZ15">
            <v>7.4000000000000039</v>
          </cell>
          <cell r="BA15">
            <v>2.2225806451612868</v>
          </cell>
          <cell r="BB15">
            <v>5.700000000000002</v>
          </cell>
          <cell r="BC15">
            <v>12.1</v>
          </cell>
          <cell r="BD15">
            <v>-0.7</v>
          </cell>
          <cell r="BE15">
            <v>1.899999999999999</v>
          </cell>
          <cell r="BF15">
            <v>3.8000000000000029</v>
          </cell>
          <cell r="BG15">
            <v>1.193548387096774</v>
          </cell>
          <cell r="BH15">
            <v>8.9</v>
          </cell>
          <cell r="BI15">
            <v>-7.3</v>
          </cell>
          <cell r="BJ15">
            <v>-1.2000000000000002</v>
          </cell>
          <cell r="BK15">
            <v>2.3935483870967742</v>
          </cell>
          <cell r="BL15">
            <v>9.1528767123287764</v>
          </cell>
          <cell r="BM15">
            <v>25.4</v>
          </cell>
        </row>
        <row r="16">
          <cell r="D16">
            <v>1.1612903225806455</v>
          </cell>
          <cell r="E16">
            <v>10.1</v>
          </cell>
          <cell r="F16">
            <v>-12</v>
          </cell>
          <cell r="G16">
            <v>-1.6000000000000008</v>
          </cell>
          <cell r="H16">
            <v>2.7612903225806464</v>
          </cell>
          <cell r="I16">
            <v>3.4</v>
          </cell>
          <cell r="J16">
            <v>6.4</v>
          </cell>
          <cell r="K16">
            <v>0.2</v>
          </cell>
          <cell r="L16">
            <v>-0.10000000000000005</v>
          </cell>
          <cell r="M16">
            <v>3.5</v>
          </cell>
          <cell r="N16">
            <v>6.645161290322581</v>
          </cell>
          <cell r="O16">
            <v>14.2</v>
          </cell>
          <cell r="P16">
            <v>2.4</v>
          </cell>
          <cell r="Q16">
            <v>3.9000000000000021</v>
          </cell>
          <cell r="R16">
            <v>2.7451612903225788</v>
          </cell>
          <cell r="S16">
            <v>9.7333333333333325</v>
          </cell>
          <cell r="T16">
            <v>15</v>
          </cell>
          <cell r="U16">
            <v>3.2</v>
          </cell>
          <cell r="V16">
            <v>8.5</v>
          </cell>
          <cell r="W16">
            <v>1.2333333333333325</v>
          </cell>
          <cell r="X16">
            <v>12.722580645161292</v>
          </cell>
          <cell r="Y16">
            <v>22.3</v>
          </cell>
          <cell r="Z16">
            <v>5.4</v>
          </cell>
          <cell r="AA16">
            <v>13.800000000000008</v>
          </cell>
          <cell r="AB16">
            <v>-1.0774193548387156</v>
          </cell>
          <cell r="AC16">
            <v>16.353333333333335</v>
          </cell>
          <cell r="AD16">
            <v>23.9</v>
          </cell>
          <cell r="AE16">
            <v>11.3</v>
          </cell>
          <cell r="AF16">
            <v>16.5</v>
          </cell>
          <cell r="AG16">
            <v>-0.14666666666666472</v>
          </cell>
          <cell r="AH16">
            <v>19.393548387096772</v>
          </cell>
          <cell r="AI16">
            <v>24.2</v>
          </cell>
          <cell r="AJ16">
            <v>14.2</v>
          </cell>
          <cell r="AK16">
            <v>18.2</v>
          </cell>
          <cell r="AL16">
            <v>1.1935483870967722</v>
          </cell>
          <cell r="AM16">
            <v>16.254838709677422</v>
          </cell>
          <cell r="AN16">
            <v>22.3</v>
          </cell>
          <cell r="AO16">
            <v>11</v>
          </cell>
          <cell r="AP16">
            <v>17.899999999999991</v>
          </cell>
          <cell r="AQ16">
            <v>-1.6451612903225694</v>
          </cell>
          <cell r="AR16">
            <v>14.370000000000003</v>
          </cell>
          <cell r="AS16">
            <v>18</v>
          </cell>
          <cell r="AT16">
            <v>8.1</v>
          </cell>
          <cell r="AU16">
            <v>13.699999999999992</v>
          </cell>
          <cell r="AV16">
            <v>0.67000000000001059</v>
          </cell>
          <cell r="AW16">
            <v>10.100000000000003</v>
          </cell>
          <cell r="AX16">
            <v>16</v>
          </cell>
          <cell r="AY16">
            <v>2.6</v>
          </cell>
          <cell r="AZ16">
            <v>8.8000000000000043</v>
          </cell>
          <cell r="BA16">
            <v>1.2999999999999989</v>
          </cell>
          <cell r="BB16">
            <v>7.1633333333333331</v>
          </cell>
          <cell r="BC16">
            <v>14.4</v>
          </cell>
          <cell r="BD16">
            <v>-0.7</v>
          </cell>
          <cell r="BE16">
            <v>3.299999999999998</v>
          </cell>
          <cell r="BF16">
            <v>3.8633333333333351</v>
          </cell>
          <cell r="BG16">
            <v>1.5161290322580645</v>
          </cell>
          <cell r="BH16">
            <v>9.8000000000000007</v>
          </cell>
          <cell r="BI16">
            <v>-11.4</v>
          </cell>
          <cell r="BJ16">
            <v>-0.10000000000000005</v>
          </cell>
          <cell r="BK16">
            <v>1.6161290322580646</v>
          </cell>
          <cell r="BL16">
            <v>9.9326027397260308</v>
          </cell>
          <cell r="BM16">
            <v>24.2</v>
          </cell>
        </row>
        <row r="17">
          <cell r="D17">
            <v>0.73225806451612896</v>
          </cell>
          <cell r="E17">
            <v>6.3</v>
          </cell>
          <cell r="F17">
            <v>-8</v>
          </cell>
          <cell r="G17">
            <v>-1.9612903225806451</v>
          </cell>
          <cell r="H17">
            <v>2.693548387096774</v>
          </cell>
          <cell r="I17">
            <v>2.2928571428571431</v>
          </cell>
          <cell r="J17">
            <v>5</v>
          </cell>
          <cell r="K17">
            <v>-1.9</v>
          </cell>
          <cell r="L17">
            <v>-0.66206896551724137</v>
          </cell>
          <cell r="M17">
            <v>2.9549261083743845</v>
          </cell>
          <cell r="N17">
            <v>6.4774193548387089</v>
          </cell>
          <cell r="O17">
            <v>12.2</v>
          </cell>
          <cell r="P17">
            <v>2.4</v>
          </cell>
          <cell r="Q17">
            <v>3.3032258064516129</v>
          </cell>
          <cell r="R17">
            <v>3.174193548387096</v>
          </cell>
          <cell r="S17">
            <v>10.023333333333333</v>
          </cell>
          <cell r="T17">
            <v>14.3</v>
          </cell>
          <cell r="U17">
            <v>3.8</v>
          </cell>
          <cell r="V17">
            <v>7.5500000000000007</v>
          </cell>
          <cell r="W17">
            <v>2.4733333333333327</v>
          </cell>
          <cell r="X17">
            <v>12.32258064516129</v>
          </cell>
          <cell r="Y17">
            <v>20.8</v>
          </cell>
          <cell r="Z17">
            <v>5.3</v>
          </cell>
          <cell r="AA17">
            <v>12.95483870967742</v>
          </cell>
          <cell r="AB17">
            <v>-0.63225806451612954</v>
          </cell>
          <cell r="AC17">
            <v>16.576666666666668</v>
          </cell>
          <cell r="AD17">
            <v>24.1</v>
          </cell>
          <cell r="AE17">
            <v>12.7</v>
          </cell>
          <cell r="AF17">
            <v>15.81</v>
          </cell>
          <cell r="AG17">
            <v>0.7666666666666675</v>
          </cell>
          <cell r="AH17">
            <v>19.583870967741941</v>
          </cell>
          <cell r="AI17">
            <v>25.2</v>
          </cell>
          <cell r="AJ17">
            <v>14.3</v>
          </cell>
          <cell r="AK17">
            <v>17.525806451612908</v>
          </cell>
          <cell r="AL17">
            <v>2.0580645161290327</v>
          </cell>
          <cell r="AM17">
            <v>16.141935483870967</v>
          </cell>
          <cell r="AN17">
            <v>22.4</v>
          </cell>
          <cell r="AO17">
            <v>11.4</v>
          </cell>
          <cell r="AP17">
            <v>17.219354838709684</v>
          </cell>
          <cell r="AQ17">
            <v>-1.0774193548387174</v>
          </cell>
          <cell r="AR17">
            <v>14.26</v>
          </cell>
          <cell r="AS17">
            <v>18.2</v>
          </cell>
          <cell r="AT17">
            <v>8</v>
          </cell>
          <cell r="AU17">
            <v>13.010000000000002</v>
          </cell>
          <cell r="AV17">
            <v>1.2499999999999982</v>
          </cell>
          <cell r="AW17">
            <v>10.261290322580646</v>
          </cell>
          <cell r="AX17">
            <v>14.5</v>
          </cell>
          <cell r="AY17">
            <v>3.2</v>
          </cell>
          <cell r="AZ17">
            <v>7.9935483870967738</v>
          </cell>
          <cell r="BA17">
            <v>2.2677419354838717</v>
          </cell>
          <cell r="BB17">
            <v>6.3366666666666669</v>
          </cell>
          <cell r="BC17">
            <v>11.5</v>
          </cell>
          <cell r="BD17">
            <v>0.2</v>
          </cell>
          <cell r="BE17">
            <v>2.6366666666666658</v>
          </cell>
          <cell r="BF17">
            <v>3.7000000000000011</v>
          </cell>
          <cell r="BG17">
            <v>1.9193548387096775</v>
          </cell>
          <cell r="BH17">
            <v>9.6999999999999993</v>
          </cell>
          <cell r="BI17">
            <v>-7</v>
          </cell>
          <cell r="BJ17">
            <v>-0.43548387096774194</v>
          </cell>
          <cell r="BK17">
            <v>2.3548387096774195</v>
          </cell>
          <cell r="BL17">
            <v>9.7827397260274047</v>
          </cell>
          <cell r="BM17">
            <v>25.2</v>
          </cell>
        </row>
        <row r="21">
          <cell r="D21">
            <v>1.6967741935483871</v>
          </cell>
          <cell r="E21">
            <v>6.5</v>
          </cell>
          <cell r="F21">
            <v>-8.6</v>
          </cell>
          <cell r="G21">
            <v>-0.60000000000000009</v>
          </cell>
          <cell r="H21">
            <v>2.2967741935483872</v>
          </cell>
          <cell r="I21">
            <v>3.289285714285715</v>
          </cell>
          <cell r="J21">
            <v>6.8</v>
          </cell>
          <cell r="K21">
            <v>-0.3</v>
          </cell>
          <cell r="L21">
            <v>0.69999999999999962</v>
          </cell>
          <cell r="M21">
            <v>2.5892857142857153</v>
          </cell>
          <cell r="N21">
            <v>6.8290322580645144</v>
          </cell>
          <cell r="O21">
            <v>13.9</v>
          </cell>
          <cell r="P21">
            <v>2.5</v>
          </cell>
          <cell r="Q21">
            <v>4.599999999999997</v>
          </cell>
          <cell r="R21">
            <v>2.2290322580645174</v>
          </cell>
          <cell r="S21">
            <v>10.506666666666664</v>
          </cell>
          <cell r="T21">
            <v>15.9</v>
          </cell>
          <cell r="U21">
            <v>4.8</v>
          </cell>
          <cell r="V21">
            <v>8.6999999999999957</v>
          </cell>
          <cell r="W21">
            <v>1.8066666666666684</v>
          </cell>
          <cell r="X21">
            <v>12.906451612903227</v>
          </cell>
          <cell r="Y21">
            <v>22</v>
          </cell>
          <cell r="Z21">
            <v>6.2</v>
          </cell>
          <cell r="AA21">
            <v>14</v>
          </cell>
          <cell r="AB21">
            <v>-1.0935483870967726</v>
          </cell>
          <cell r="AC21">
            <v>16.926666666666669</v>
          </cell>
          <cell r="AD21">
            <v>24.8</v>
          </cell>
          <cell r="AE21">
            <v>12</v>
          </cell>
          <cell r="AF21">
            <v>16.800000000000008</v>
          </cell>
          <cell r="AG21">
            <v>0.1266666666666616</v>
          </cell>
          <cell r="AH21">
            <v>20.635483870967743</v>
          </cell>
          <cell r="AI21">
            <v>26.4</v>
          </cell>
          <cell r="AJ21">
            <v>14.8</v>
          </cell>
          <cell r="AK21">
            <v>18.7</v>
          </cell>
          <cell r="AL21">
            <v>1.9354838709677438</v>
          </cell>
          <cell r="AM21">
            <v>16.822580645161292</v>
          </cell>
          <cell r="AN21">
            <v>23.8</v>
          </cell>
          <cell r="AO21">
            <v>12</v>
          </cell>
          <cell r="AP21">
            <v>18.5</v>
          </cell>
          <cell r="AQ21">
            <v>-1.6774193548387082</v>
          </cell>
          <cell r="AR21">
            <v>14.953333333333331</v>
          </cell>
          <cell r="AS21">
            <v>19.2</v>
          </cell>
          <cell r="AT21">
            <v>8.4</v>
          </cell>
          <cell r="AU21">
            <v>14.100000000000005</v>
          </cell>
          <cell r="AV21">
            <v>0.85333333333332639</v>
          </cell>
          <cell r="AW21">
            <v>11.174193548387104</v>
          </cell>
          <cell r="AX21">
            <v>15.4</v>
          </cell>
          <cell r="AY21">
            <v>4.0999999999999996</v>
          </cell>
          <cell r="AZ21">
            <v>9</v>
          </cell>
          <cell r="BA21">
            <v>2.1741935483871035</v>
          </cell>
          <cell r="BB21">
            <v>6.9599999999999964</v>
          </cell>
          <cell r="BC21">
            <v>12.6</v>
          </cell>
          <cell r="BD21">
            <v>1.9</v>
          </cell>
          <cell r="BE21">
            <v>3.700000000000002</v>
          </cell>
          <cell r="BF21">
            <v>3.2599999999999945</v>
          </cell>
          <cell r="BG21">
            <v>3.1000000000000005</v>
          </cell>
          <cell r="BH21">
            <v>10.4</v>
          </cell>
          <cell r="BI21">
            <v>-6.8</v>
          </cell>
          <cell r="BJ21">
            <v>1.1000000000000005</v>
          </cell>
          <cell r="BK21">
            <v>2</v>
          </cell>
          <cell r="BL21">
            <v>10.493442622950804</v>
          </cell>
          <cell r="BM21">
            <v>26.4</v>
          </cell>
        </row>
        <row r="22">
          <cell r="D22">
            <v>0.81935483870967718</v>
          </cell>
          <cell r="E22">
            <v>6.2666666666666666</v>
          </cell>
          <cell r="F22">
            <v>-7.9666666666666677</v>
          </cell>
          <cell r="G22">
            <v>-1.6333333333333331</v>
          </cell>
          <cell r="H22">
            <v>2.4526881720430103</v>
          </cell>
          <cell r="I22">
            <v>2.3767857142857141</v>
          </cell>
          <cell r="J22">
            <v>5.0166666666666666</v>
          </cell>
          <cell r="K22">
            <v>-1.7333333333333334</v>
          </cell>
          <cell r="L22">
            <v>-0.46666666666666673</v>
          </cell>
          <cell r="M22">
            <v>2.8434523809523808</v>
          </cell>
          <cell r="N22">
            <v>6.4822580645161283</v>
          </cell>
          <cell r="O22">
            <v>12.533333333333333</v>
          </cell>
          <cell r="P22">
            <v>2.4333333333333336</v>
          </cell>
          <cell r="Q22">
            <v>3.383333333333336</v>
          </cell>
          <cell r="R22">
            <v>3.0989247311827923</v>
          </cell>
          <cell r="S22">
            <v>10.099999999999998</v>
          </cell>
          <cell r="T22">
            <v>14.216666666666667</v>
          </cell>
          <cell r="U22">
            <v>3.9500000000000006</v>
          </cell>
          <cell r="V22">
            <v>7.6166666666666689</v>
          </cell>
          <cell r="W22">
            <v>2.483333333333329</v>
          </cell>
          <cell r="X22">
            <v>12.384946236559143</v>
          </cell>
          <cell r="Y22">
            <v>20.916666666666668</v>
          </cell>
          <cell r="Z22">
            <v>5.3833333333333329</v>
          </cell>
          <cell r="AA22">
            <v>13.016666666666657</v>
          </cell>
          <cell r="AB22">
            <v>-0.63172043010751366</v>
          </cell>
          <cell r="AC22">
            <v>16.583333333333329</v>
          </cell>
          <cell r="AD22">
            <v>24.183333333333334</v>
          </cell>
          <cell r="AE22">
            <v>12.733333333333334</v>
          </cell>
          <cell r="AF22">
            <v>15.800000000000008</v>
          </cell>
          <cell r="AG22">
            <v>0.78333333333332078</v>
          </cell>
          <cell r="AH22">
            <v>19.60376344086022</v>
          </cell>
          <cell r="AI22">
            <v>25.116666666666664</v>
          </cell>
          <cell r="AJ22">
            <v>14.300000000000002</v>
          </cell>
          <cell r="AK22">
            <v>17.583333333333329</v>
          </cell>
          <cell r="AL22">
            <v>2.0204301075268916</v>
          </cell>
          <cell r="AM22">
            <v>16.167741935483871</v>
          </cell>
          <cell r="AN22">
            <v>22.333333333333332</v>
          </cell>
          <cell r="AO22">
            <v>11.483333333333334</v>
          </cell>
          <cell r="AP22">
            <v>17.31666666666667</v>
          </cell>
          <cell r="AQ22">
            <v>-1.1489247311827988</v>
          </cell>
          <cell r="AR22">
            <v>14.323333333333336</v>
          </cell>
          <cell r="AS22">
            <v>18.183333333333334</v>
          </cell>
          <cell r="AT22">
            <v>8.0833333333333321</v>
          </cell>
          <cell r="AU22">
            <v>13.033333333333342</v>
          </cell>
          <cell r="AV22">
            <v>1.2899999999999938</v>
          </cell>
          <cell r="AW22">
            <v>10.308064516129033</v>
          </cell>
          <cell r="AX22">
            <v>14.583333333333334</v>
          </cell>
          <cell r="AY22">
            <v>3.0666666666666664</v>
          </cell>
          <cell r="AZ22">
            <v>8.1500000000000039</v>
          </cell>
          <cell r="BA22">
            <v>2.1580645161290288</v>
          </cell>
          <cell r="BB22">
            <v>6.4055555555555568</v>
          </cell>
          <cell r="BC22">
            <v>11.283333333333331</v>
          </cell>
          <cell r="BD22">
            <v>0.3666666666666667</v>
          </cell>
          <cell r="BE22">
            <v>2.833333333333333</v>
          </cell>
          <cell r="BF22">
            <v>3.5722222222222237</v>
          </cell>
          <cell r="BG22">
            <v>1.988172043010753</v>
          </cell>
          <cell r="BH22">
            <v>9.6833333333333318</v>
          </cell>
          <cell r="BI22">
            <v>-6.9666666666666659</v>
          </cell>
          <cell r="BJ22">
            <v>-0.10000000000000005</v>
          </cell>
          <cell r="BK22">
            <v>2.0881720430107529</v>
          </cell>
          <cell r="BL22">
            <v>9.8068306010929032</v>
          </cell>
          <cell r="BM22">
            <v>25.116666666666664</v>
          </cell>
        </row>
        <row r="23">
          <cell r="D23">
            <v>0.21290322580645171</v>
          </cell>
          <cell r="E23">
            <v>5.8</v>
          </cell>
          <cell r="F23">
            <v>-8.4</v>
          </cell>
          <cell r="G23">
            <v>-2.1000000000000005</v>
          </cell>
          <cell r="H23">
            <v>2.3129032258064521</v>
          </cell>
          <cell r="I23">
            <v>1.6357142857142857</v>
          </cell>
          <cell r="J23">
            <v>4.7</v>
          </cell>
          <cell r="K23">
            <v>-3.1</v>
          </cell>
          <cell r="L23">
            <v>-1</v>
          </cell>
          <cell r="M23">
            <v>2.6357142857142857</v>
          </cell>
          <cell r="N23">
            <v>5.806451612903226</v>
          </cell>
          <cell r="O23">
            <v>10.7</v>
          </cell>
          <cell r="P23">
            <v>1.7</v>
          </cell>
          <cell r="Q23">
            <v>2.9000000000000008</v>
          </cell>
          <cell r="R23">
            <v>2.9064516129032252</v>
          </cell>
          <cell r="S23">
            <v>9.3233333333333306</v>
          </cell>
          <cell r="T23">
            <v>14.1</v>
          </cell>
          <cell r="U23">
            <v>3.3</v>
          </cell>
          <cell r="V23">
            <v>7</v>
          </cell>
          <cell r="W23">
            <v>2.3233333333333306</v>
          </cell>
          <cell r="X23">
            <v>11.567741935483868</v>
          </cell>
          <cell r="Y23">
            <v>20</v>
          </cell>
          <cell r="Z23">
            <v>4.5</v>
          </cell>
          <cell r="AA23">
            <v>12.399999999999995</v>
          </cell>
          <cell r="AB23">
            <v>-0.83225806451612705</v>
          </cell>
          <cell r="AC23">
            <v>15.986666666666672</v>
          </cell>
          <cell r="AD23">
            <v>23.3</v>
          </cell>
          <cell r="AE23">
            <v>12</v>
          </cell>
          <cell r="AF23">
            <v>15.300000000000008</v>
          </cell>
          <cell r="AG23">
            <v>0.68666666666666387</v>
          </cell>
          <cell r="AH23">
            <v>18.896774193548389</v>
          </cell>
          <cell r="AI23">
            <v>25</v>
          </cell>
          <cell r="AJ23">
            <v>13.3</v>
          </cell>
          <cell r="AK23">
            <v>17.100000000000009</v>
          </cell>
          <cell r="AL23">
            <v>1.7967741935483801</v>
          </cell>
          <cell r="AM23">
            <v>15.474193548387099</v>
          </cell>
          <cell r="AN23">
            <v>22</v>
          </cell>
          <cell r="AO23">
            <v>10.8</v>
          </cell>
          <cell r="AP23">
            <v>16.800000000000004</v>
          </cell>
          <cell r="AQ23">
            <v>-1.3258064516129053</v>
          </cell>
          <cell r="AR23">
            <v>13.646666666666667</v>
          </cell>
          <cell r="AS23">
            <v>18</v>
          </cell>
          <cell r="AT23">
            <v>6.9</v>
          </cell>
          <cell r="AU23">
            <v>12.5</v>
          </cell>
          <cell r="AV23">
            <v>1.1466666666666665</v>
          </cell>
          <cell r="AW23">
            <v>9.8774193548387128</v>
          </cell>
          <cell r="AX23">
            <v>13.9</v>
          </cell>
          <cell r="AY23">
            <v>3</v>
          </cell>
          <cell r="AZ23">
            <v>7.5</v>
          </cell>
          <cell r="BA23">
            <v>2.3774193548387128</v>
          </cell>
          <cell r="BB23">
            <v>5.7</v>
          </cell>
          <cell r="BC23">
            <v>11.3</v>
          </cell>
          <cell r="BD23">
            <v>-0.4</v>
          </cell>
          <cell r="BE23">
            <v>2.2000000000000011</v>
          </cell>
          <cell r="BF23">
            <v>3.4999999999999991</v>
          </cell>
          <cell r="BG23">
            <v>1.5161290322580643</v>
          </cell>
          <cell r="BH23">
            <v>9.1</v>
          </cell>
          <cell r="BI23">
            <v>-7.4</v>
          </cell>
          <cell r="BJ23">
            <v>-0.69999999999999962</v>
          </cell>
          <cell r="BK23">
            <v>2.2161290322580638</v>
          </cell>
          <cell r="BL23">
            <v>9.1513661202185776</v>
          </cell>
          <cell r="BM23">
            <v>25</v>
          </cell>
        </row>
        <row r="24">
          <cell r="D24">
            <v>0.73225806451612896</v>
          </cell>
          <cell r="E24">
            <v>6.3</v>
          </cell>
          <cell r="F24">
            <v>-8</v>
          </cell>
          <cell r="G24">
            <v>-1.9612903225806451</v>
          </cell>
          <cell r="H24">
            <v>2.693548387096774</v>
          </cell>
          <cell r="I24">
            <v>2.2928571428571431</v>
          </cell>
          <cell r="J24">
            <v>5</v>
          </cell>
          <cell r="K24">
            <v>-1.9</v>
          </cell>
          <cell r="L24">
            <v>-0.66206896551724137</v>
          </cell>
          <cell r="M24">
            <v>2.9549261083743845</v>
          </cell>
          <cell r="N24">
            <v>6.4774193548387089</v>
          </cell>
          <cell r="O24">
            <v>12.2</v>
          </cell>
          <cell r="P24">
            <v>2.4</v>
          </cell>
          <cell r="Q24">
            <v>3.3032258064516129</v>
          </cell>
          <cell r="R24">
            <v>3.174193548387096</v>
          </cell>
          <cell r="S24">
            <v>10.023333333333333</v>
          </cell>
          <cell r="T24">
            <v>14.3</v>
          </cell>
          <cell r="U24">
            <v>3.8</v>
          </cell>
          <cell r="V24">
            <v>7.5500000000000007</v>
          </cell>
          <cell r="W24">
            <v>2.4733333333333327</v>
          </cell>
          <cell r="X24">
            <v>12.32258064516129</v>
          </cell>
          <cell r="Y24">
            <v>20.8</v>
          </cell>
          <cell r="Z24">
            <v>5.3</v>
          </cell>
          <cell r="AA24">
            <v>12.95483870967742</v>
          </cell>
          <cell r="AB24">
            <v>-0.63225806451612954</v>
          </cell>
          <cell r="AC24">
            <v>16.576666666666668</v>
          </cell>
          <cell r="AD24">
            <v>24.1</v>
          </cell>
          <cell r="AE24">
            <v>12.7</v>
          </cell>
          <cell r="AF24">
            <v>15.81</v>
          </cell>
          <cell r="AG24">
            <v>0.7666666666666675</v>
          </cell>
          <cell r="AH24">
            <v>19.583870967741941</v>
          </cell>
          <cell r="AI24">
            <v>25.2</v>
          </cell>
          <cell r="AJ24">
            <v>14.3</v>
          </cell>
          <cell r="AK24">
            <v>17.525806451612908</v>
          </cell>
          <cell r="AL24">
            <v>2.0580645161290327</v>
          </cell>
          <cell r="AM24">
            <v>16.141935483870967</v>
          </cell>
          <cell r="AN24">
            <v>22.4</v>
          </cell>
          <cell r="AO24">
            <v>11.4</v>
          </cell>
          <cell r="AP24">
            <v>17.219354838709684</v>
          </cell>
          <cell r="AQ24">
            <v>-1.0774193548387174</v>
          </cell>
          <cell r="AR24">
            <v>14.26</v>
          </cell>
          <cell r="AS24">
            <v>18.2</v>
          </cell>
          <cell r="AT24">
            <v>8</v>
          </cell>
          <cell r="AU24">
            <v>13.010000000000002</v>
          </cell>
          <cell r="AV24">
            <v>1.2499999999999982</v>
          </cell>
          <cell r="AW24">
            <v>10.261290322580646</v>
          </cell>
          <cell r="AX24">
            <v>14.5</v>
          </cell>
          <cell r="AY24">
            <v>3.2</v>
          </cell>
          <cell r="AZ24">
            <v>7.9935483870967738</v>
          </cell>
          <cell r="BA24">
            <v>2.2677419354838717</v>
          </cell>
          <cell r="BB24">
            <v>6.3366666666666669</v>
          </cell>
          <cell r="BC24">
            <v>11.5</v>
          </cell>
          <cell r="BD24">
            <v>0.2</v>
          </cell>
          <cell r="BE24">
            <v>2.6366666666666658</v>
          </cell>
          <cell r="BF24">
            <v>3.7000000000000011</v>
          </cell>
          <cell r="BG24">
            <v>1.9193548387096775</v>
          </cell>
          <cell r="BH24">
            <v>9.6999999999999993</v>
          </cell>
          <cell r="BI24">
            <v>-7</v>
          </cell>
          <cell r="BJ24">
            <v>-0.43548387096774194</v>
          </cell>
          <cell r="BK24">
            <v>2.3548387096774195</v>
          </cell>
          <cell r="BL24">
            <v>9.7827397260274047</v>
          </cell>
          <cell r="BM24">
            <v>25.2</v>
          </cell>
        </row>
        <row r="25">
          <cell r="D25">
            <v>0.73225806451612896</v>
          </cell>
          <cell r="E25">
            <v>6.3</v>
          </cell>
          <cell r="F25">
            <v>-8</v>
          </cell>
          <cell r="G25">
            <v>-1.9612903225806451</v>
          </cell>
          <cell r="H25">
            <v>2.693548387096774</v>
          </cell>
          <cell r="I25">
            <v>2.2928571428571431</v>
          </cell>
          <cell r="J25">
            <v>5</v>
          </cell>
          <cell r="K25">
            <v>-1.9</v>
          </cell>
          <cell r="L25">
            <v>-0.66206896551724137</v>
          </cell>
          <cell r="M25">
            <v>2.9549261083743845</v>
          </cell>
          <cell r="N25">
            <v>6.4774193548387089</v>
          </cell>
          <cell r="O25">
            <v>12.2</v>
          </cell>
          <cell r="P25">
            <v>2.4</v>
          </cell>
          <cell r="Q25">
            <v>3.3032258064516129</v>
          </cell>
          <cell r="R25">
            <v>3.174193548387096</v>
          </cell>
          <cell r="S25">
            <v>10.023333333333333</v>
          </cell>
          <cell r="T25">
            <v>14.3</v>
          </cell>
          <cell r="U25">
            <v>3.8</v>
          </cell>
          <cell r="V25">
            <v>7.5500000000000007</v>
          </cell>
          <cell r="W25">
            <v>2.4733333333333327</v>
          </cell>
          <cell r="X25">
            <v>12.32258064516129</v>
          </cell>
          <cell r="Y25">
            <v>20.8</v>
          </cell>
          <cell r="Z25">
            <v>5.3</v>
          </cell>
          <cell r="AA25">
            <v>12.95483870967742</v>
          </cell>
          <cell r="AB25">
            <v>-0.63225806451612954</v>
          </cell>
          <cell r="AC25">
            <v>16.576666666666668</v>
          </cell>
          <cell r="AD25">
            <v>24.1</v>
          </cell>
          <cell r="AE25">
            <v>12.7</v>
          </cell>
          <cell r="AF25">
            <v>15.81</v>
          </cell>
          <cell r="AG25">
            <v>0.7666666666666675</v>
          </cell>
          <cell r="AH25">
            <v>19.583870967741941</v>
          </cell>
          <cell r="AI25">
            <v>25.2</v>
          </cell>
          <cell r="AJ25">
            <v>14.3</v>
          </cell>
          <cell r="AK25">
            <v>17.525806451612908</v>
          </cell>
          <cell r="AL25">
            <v>2.0580645161290327</v>
          </cell>
          <cell r="AM25">
            <v>16.141935483870967</v>
          </cell>
          <cell r="AN25">
            <v>22.4</v>
          </cell>
          <cell r="AO25">
            <v>11.4</v>
          </cell>
          <cell r="AP25">
            <v>17.219354838709684</v>
          </cell>
          <cell r="AQ25">
            <v>-1.0774193548387174</v>
          </cell>
          <cell r="AR25">
            <v>14.26</v>
          </cell>
          <cell r="AS25">
            <v>18.2</v>
          </cell>
          <cell r="AT25">
            <v>8</v>
          </cell>
          <cell r="AU25">
            <v>13.010000000000002</v>
          </cell>
          <cell r="AV25">
            <v>1.2499999999999982</v>
          </cell>
          <cell r="AW25">
            <v>10.261290322580646</v>
          </cell>
          <cell r="AX25">
            <v>14.5</v>
          </cell>
          <cell r="AY25">
            <v>3.2</v>
          </cell>
          <cell r="AZ25">
            <v>7.9935483870967738</v>
          </cell>
          <cell r="BA25">
            <v>2.2677419354838717</v>
          </cell>
          <cell r="BB25">
            <v>6.3366666666666669</v>
          </cell>
          <cell r="BC25">
            <v>11.5</v>
          </cell>
          <cell r="BD25">
            <v>0.2</v>
          </cell>
          <cell r="BE25">
            <v>2.6366666666666658</v>
          </cell>
          <cell r="BF25">
            <v>3.7000000000000011</v>
          </cell>
          <cell r="BG25">
            <v>1.9193548387096775</v>
          </cell>
          <cell r="BH25">
            <v>9.6999999999999993</v>
          </cell>
          <cell r="BI25">
            <v>-7</v>
          </cell>
          <cell r="BJ25">
            <v>-0.43548387096774194</v>
          </cell>
          <cell r="BK25">
            <v>2.3548387096774195</v>
          </cell>
          <cell r="BL25">
            <v>9.7827397260274047</v>
          </cell>
          <cell r="BM25">
            <v>25.2</v>
          </cell>
        </row>
      </sheetData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A18">
            <v>42005</v>
          </cell>
          <cell r="B18" t="str">
            <v>čtvrtek</v>
          </cell>
          <cell r="D18">
            <v>34064890.044007488</v>
          </cell>
          <cell r="E18">
            <v>362075164.81290323</v>
          </cell>
        </row>
        <row r="19">
          <cell r="A19">
            <v>42006</v>
          </cell>
          <cell r="B19" t="str">
            <v>pátek</v>
          </cell>
          <cell r="D19">
            <v>34422167.061021373</v>
          </cell>
          <cell r="E19">
            <v>365870347.81290323</v>
          </cell>
        </row>
        <row r="20">
          <cell r="A20">
            <v>42007</v>
          </cell>
          <cell r="B20" t="str">
            <v>sobota</v>
          </cell>
          <cell r="D20">
            <v>32964357.257632084</v>
          </cell>
          <cell r="E20">
            <v>350376154.81290323</v>
          </cell>
        </row>
        <row r="21">
          <cell r="A21">
            <v>42008</v>
          </cell>
          <cell r="B21" t="str">
            <v>neděle</v>
          </cell>
          <cell r="D21">
            <v>34923265.193104558</v>
          </cell>
          <cell r="E21">
            <v>371192197.81290323</v>
          </cell>
        </row>
        <row r="22">
          <cell r="A22">
            <v>42009</v>
          </cell>
          <cell r="B22" t="str">
            <v>pondělí</v>
          </cell>
          <cell r="D22">
            <v>38718269.125376746</v>
          </cell>
          <cell r="E22">
            <v>411524136.81290323</v>
          </cell>
        </row>
        <row r="23">
          <cell r="A23">
            <v>42010</v>
          </cell>
          <cell r="B23" t="str">
            <v>úterý</v>
          </cell>
          <cell r="D23">
            <v>39255939.835613102</v>
          </cell>
          <cell r="E23">
            <v>417237498.81290323</v>
          </cell>
        </row>
        <row r="24">
          <cell r="A24">
            <v>42011</v>
          </cell>
          <cell r="B24" t="str">
            <v>středa</v>
          </cell>
          <cell r="D24">
            <v>41345389.040398717</v>
          </cell>
          <cell r="E24">
            <v>439444070.81290323</v>
          </cell>
        </row>
        <row r="25">
          <cell r="A25">
            <v>42012</v>
          </cell>
          <cell r="B25" t="str">
            <v>čtvrtek</v>
          </cell>
          <cell r="D25">
            <v>39126477.683777221</v>
          </cell>
          <cell r="E25">
            <v>415871128.81290323</v>
          </cell>
        </row>
        <row r="26">
          <cell r="A26">
            <v>42013</v>
          </cell>
          <cell r="B26" t="str">
            <v>pátek</v>
          </cell>
          <cell r="D26">
            <v>33924466.260058619</v>
          </cell>
          <cell r="E26">
            <v>360593390.81290323</v>
          </cell>
        </row>
        <row r="27">
          <cell r="A27">
            <v>42014</v>
          </cell>
          <cell r="B27" t="str">
            <v>sobota</v>
          </cell>
          <cell r="D27">
            <v>26684387.110760137</v>
          </cell>
          <cell r="E27">
            <v>283657520.81290323</v>
          </cell>
        </row>
        <row r="28">
          <cell r="A28">
            <v>42015</v>
          </cell>
          <cell r="B28" t="str">
            <v>neděle</v>
          </cell>
          <cell r="D28">
            <v>31703477.973309223</v>
          </cell>
          <cell r="E28">
            <v>336981492.81290323</v>
          </cell>
        </row>
        <row r="29">
          <cell r="A29">
            <v>42016</v>
          </cell>
          <cell r="B29" t="str">
            <v>pondělí</v>
          </cell>
          <cell r="D29">
            <v>34493693.48925928</v>
          </cell>
          <cell r="E29">
            <v>366634825.81290323</v>
          </cell>
        </row>
        <row r="30">
          <cell r="A30">
            <v>42017</v>
          </cell>
          <cell r="B30" t="str">
            <v>úterý</v>
          </cell>
          <cell r="D30">
            <v>31606491.98092204</v>
          </cell>
          <cell r="E30">
            <v>335965864.81290323</v>
          </cell>
        </row>
        <row r="31">
          <cell r="A31">
            <v>42018</v>
          </cell>
          <cell r="B31" t="str">
            <v>středa</v>
          </cell>
          <cell r="D31">
            <v>32537636.049388509</v>
          </cell>
          <cell r="E31">
            <v>345858157.81290323</v>
          </cell>
        </row>
        <row r="32">
          <cell r="A32">
            <v>42019</v>
          </cell>
          <cell r="B32" t="str">
            <v>čtvrtek</v>
          </cell>
          <cell r="D32">
            <v>33557131.227489099</v>
          </cell>
          <cell r="E32">
            <v>356682098.81290323</v>
          </cell>
        </row>
        <row r="33">
          <cell r="A33">
            <v>42020</v>
          </cell>
          <cell r="B33" t="str">
            <v>pátek</v>
          </cell>
          <cell r="D33">
            <v>31887471.148067612</v>
          </cell>
          <cell r="E33">
            <v>338939640.81290323</v>
          </cell>
        </row>
        <row r="34">
          <cell r="A34">
            <v>42021</v>
          </cell>
          <cell r="B34" t="str">
            <v>sobota</v>
          </cell>
          <cell r="D34">
            <v>29413626.425814614</v>
          </cell>
          <cell r="E34">
            <v>312648952.81290323</v>
          </cell>
        </row>
        <row r="35">
          <cell r="A35">
            <v>42022</v>
          </cell>
          <cell r="B35" t="str">
            <v>neděle</v>
          </cell>
          <cell r="D35">
            <v>30849765.25931618</v>
          </cell>
          <cell r="E35">
            <v>327910743.81290323</v>
          </cell>
        </row>
        <row r="36">
          <cell r="A36">
            <v>42023</v>
          </cell>
          <cell r="B36" t="str">
            <v>pondělí</v>
          </cell>
          <cell r="D36">
            <v>36901004.713951208</v>
          </cell>
          <cell r="E36">
            <v>392175634.81290323</v>
          </cell>
        </row>
        <row r="37">
          <cell r="A37">
            <v>42024</v>
          </cell>
          <cell r="B37" t="str">
            <v>úterý</v>
          </cell>
          <cell r="D37">
            <v>37099908.640861288</v>
          </cell>
          <cell r="E37">
            <v>394296010.81290323</v>
          </cell>
        </row>
        <row r="38">
          <cell r="A38">
            <v>42025</v>
          </cell>
          <cell r="B38" t="str">
            <v>středa</v>
          </cell>
          <cell r="D38">
            <v>37194872.700903773</v>
          </cell>
          <cell r="E38">
            <v>395312119.81290323</v>
          </cell>
        </row>
        <row r="39">
          <cell r="A39">
            <v>42026</v>
          </cell>
          <cell r="B39" t="str">
            <v>čtvrtek</v>
          </cell>
          <cell r="D39">
            <v>35784854.231467642</v>
          </cell>
          <cell r="E39">
            <v>380332346.81290323</v>
          </cell>
        </row>
        <row r="40">
          <cell r="A40">
            <v>42027</v>
          </cell>
          <cell r="B40" t="str">
            <v>pátek</v>
          </cell>
          <cell r="D40">
            <v>36443515.38685102</v>
          </cell>
          <cell r="E40">
            <v>387318909.81290323</v>
          </cell>
        </row>
        <row r="41">
          <cell r="A41">
            <v>42028</v>
          </cell>
          <cell r="B41" t="str">
            <v>sobota</v>
          </cell>
          <cell r="D41">
            <v>33255457.453561716</v>
          </cell>
          <cell r="E41">
            <v>353468377.81290323</v>
          </cell>
        </row>
        <row r="42">
          <cell r="A42">
            <v>42029</v>
          </cell>
          <cell r="B42" t="str">
            <v>neděle</v>
          </cell>
          <cell r="D42">
            <v>34315673.270230167</v>
          </cell>
          <cell r="E42">
            <v>364733475.81290323</v>
          </cell>
        </row>
        <row r="43">
          <cell r="A43">
            <v>42030</v>
          </cell>
          <cell r="B43" t="str">
            <v>pondělí</v>
          </cell>
          <cell r="D43">
            <v>37706031.532256491</v>
          </cell>
          <cell r="E43">
            <v>400768540.81290323</v>
          </cell>
        </row>
        <row r="44">
          <cell r="A44">
            <v>42031</v>
          </cell>
          <cell r="B44" t="str">
            <v>úterý</v>
          </cell>
          <cell r="D44">
            <v>37401552.21042154</v>
          </cell>
          <cell r="E44">
            <v>397531623.81290323</v>
          </cell>
        </row>
        <row r="45">
          <cell r="A45">
            <v>42032</v>
          </cell>
          <cell r="B45" t="str">
            <v>středa</v>
          </cell>
          <cell r="D45">
            <v>36851973.996198222</v>
          </cell>
          <cell r="E45">
            <v>391695175.81290323</v>
          </cell>
        </row>
        <row r="46">
          <cell r="A46">
            <v>42033</v>
          </cell>
          <cell r="B46" t="str">
            <v>čtvrtek</v>
          </cell>
          <cell r="D46">
            <v>36422352.732700475</v>
          </cell>
          <cell r="E46">
            <v>387132479.81290323</v>
          </cell>
        </row>
        <row r="47">
          <cell r="A47">
            <v>42034</v>
          </cell>
          <cell r="B47" t="str">
            <v>pátek</v>
          </cell>
          <cell r="D47">
            <v>36207908.544785179</v>
          </cell>
          <cell r="E47">
            <v>384847473.81290323</v>
          </cell>
        </row>
        <row r="48">
          <cell r="A48">
            <v>42035</v>
          </cell>
          <cell r="B48" t="str">
            <v>sobota</v>
          </cell>
          <cell r="D48">
            <v>34216637.13092351</v>
          </cell>
          <cell r="E48">
            <v>363682374.81290323</v>
          </cell>
        </row>
        <row r="49">
          <cell r="A49">
            <v>42036</v>
          </cell>
          <cell r="B49" t="str">
            <v>neděle</v>
          </cell>
          <cell r="D49">
            <v>34443999.782272935</v>
          </cell>
          <cell r="E49">
            <v>366249918.78571427</v>
          </cell>
        </row>
        <row r="50">
          <cell r="A50">
            <v>42037</v>
          </cell>
          <cell r="B50" t="str">
            <v>pondělí</v>
          </cell>
          <cell r="D50">
            <v>37810030.60216672</v>
          </cell>
          <cell r="E50">
            <v>402027088.78571427</v>
          </cell>
        </row>
        <row r="51">
          <cell r="A51">
            <v>42038</v>
          </cell>
          <cell r="B51" t="str">
            <v>úterý</v>
          </cell>
          <cell r="D51">
            <v>40079616.216670252</v>
          </cell>
          <cell r="E51">
            <v>426143520.78571427</v>
          </cell>
        </row>
        <row r="52">
          <cell r="A52">
            <v>42039</v>
          </cell>
          <cell r="B52" t="str">
            <v>středa</v>
          </cell>
          <cell r="D52">
            <v>41461490.277269565</v>
          </cell>
          <cell r="E52">
            <v>440833336.78571427</v>
          </cell>
        </row>
        <row r="53">
          <cell r="A53">
            <v>42040</v>
          </cell>
          <cell r="B53" t="str">
            <v>čtvrtek</v>
          </cell>
          <cell r="D53">
            <v>42626557.004484408</v>
          </cell>
          <cell r="E53">
            <v>453193773.78571427</v>
          </cell>
        </row>
        <row r="54">
          <cell r="A54">
            <v>42041</v>
          </cell>
          <cell r="B54" t="str">
            <v>pátek</v>
          </cell>
          <cell r="D54">
            <v>40997694.837526165</v>
          </cell>
          <cell r="E54">
            <v>435919091.78571427</v>
          </cell>
        </row>
        <row r="55">
          <cell r="A55">
            <v>42042</v>
          </cell>
          <cell r="B55" t="str">
            <v>sobota</v>
          </cell>
          <cell r="D55">
            <v>36310293.564588681</v>
          </cell>
          <cell r="E55">
            <v>386088497.78571427</v>
          </cell>
        </row>
        <row r="56">
          <cell r="A56">
            <v>42043</v>
          </cell>
          <cell r="B56" t="str">
            <v>neděle</v>
          </cell>
          <cell r="D56">
            <v>37694738.891570494</v>
          </cell>
          <cell r="E56">
            <v>400804029.78571427</v>
          </cell>
        </row>
        <row r="57">
          <cell r="A57">
            <v>42044</v>
          </cell>
          <cell r="B57" t="str">
            <v>pondělí</v>
          </cell>
          <cell r="D57">
            <v>39125366.62778803</v>
          </cell>
          <cell r="E57">
            <v>416018791.78571427</v>
          </cell>
        </row>
        <row r="58">
          <cell r="A58">
            <v>42045</v>
          </cell>
          <cell r="B58" t="str">
            <v>úterý</v>
          </cell>
          <cell r="D58">
            <v>35860134.716284335</v>
          </cell>
          <cell r="E58">
            <v>381311577.78571427</v>
          </cell>
        </row>
        <row r="59">
          <cell r="A59">
            <v>42046</v>
          </cell>
          <cell r="B59" t="str">
            <v>středa</v>
          </cell>
          <cell r="D59">
            <v>35500375.108909473</v>
          </cell>
          <cell r="E59">
            <v>377488609.78571427</v>
          </cell>
        </row>
        <row r="60">
          <cell r="A60">
            <v>42047</v>
          </cell>
          <cell r="B60" t="str">
            <v>čtvrtek</v>
          </cell>
          <cell r="D60">
            <v>35942831.266863279</v>
          </cell>
          <cell r="E60">
            <v>382188678.78571427</v>
          </cell>
        </row>
        <row r="61">
          <cell r="A61">
            <v>42048</v>
          </cell>
          <cell r="B61" t="str">
            <v>pátek</v>
          </cell>
          <cell r="D61">
            <v>35457735.692935169</v>
          </cell>
          <cell r="E61">
            <v>377032159.78571427</v>
          </cell>
        </row>
        <row r="62">
          <cell r="A62">
            <v>42049</v>
          </cell>
          <cell r="B62" t="str">
            <v>sobota</v>
          </cell>
          <cell r="D62">
            <v>32324610.744168557</v>
          </cell>
          <cell r="E62">
            <v>343719385.78571427</v>
          </cell>
        </row>
        <row r="63">
          <cell r="A63">
            <v>42050</v>
          </cell>
          <cell r="B63" t="str">
            <v>neděle</v>
          </cell>
          <cell r="D63">
            <v>31653059.206051871</v>
          </cell>
          <cell r="E63">
            <v>336583090.78571427</v>
          </cell>
        </row>
        <row r="64">
          <cell r="A64">
            <v>42051</v>
          </cell>
          <cell r="B64" t="str">
            <v>pondělí</v>
          </cell>
          <cell r="D64">
            <v>35010214.404985815</v>
          </cell>
          <cell r="E64">
            <v>372270949.78571427</v>
          </cell>
        </row>
        <row r="65">
          <cell r="A65">
            <v>42052</v>
          </cell>
          <cell r="B65" t="str">
            <v>úterý</v>
          </cell>
          <cell r="D65">
            <v>36273824.338291489</v>
          </cell>
          <cell r="E65">
            <v>385702255.78571427</v>
          </cell>
        </row>
        <row r="66">
          <cell r="A66">
            <v>42053</v>
          </cell>
          <cell r="B66" t="str">
            <v>středa</v>
          </cell>
          <cell r="D66">
            <v>36879590.118145965</v>
          </cell>
          <cell r="E66">
            <v>392141060.78571427</v>
          </cell>
        </row>
        <row r="67">
          <cell r="A67">
            <v>42054</v>
          </cell>
          <cell r="B67" t="str">
            <v>čtvrtek</v>
          </cell>
          <cell r="D67">
            <v>36528261.146452673</v>
          </cell>
          <cell r="E67">
            <v>388407895.78571427</v>
          </cell>
        </row>
        <row r="68">
          <cell r="A68">
            <v>42055</v>
          </cell>
          <cell r="B68" t="str">
            <v>pátek</v>
          </cell>
          <cell r="D68">
            <v>33703544.034626216</v>
          </cell>
          <cell r="E68">
            <v>358387693.78571427</v>
          </cell>
        </row>
        <row r="69">
          <cell r="A69">
            <v>42056</v>
          </cell>
          <cell r="B69" t="str">
            <v>sobota</v>
          </cell>
          <cell r="D69">
            <v>29747995.538224667</v>
          </cell>
          <cell r="E69">
            <v>316335871.78571427</v>
          </cell>
        </row>
        <row r="70">
          <cell r="A70">
            <v>42057</v>
          </cell>
          <cell r="B70" t="str">
            <v>neděle</v>
          </cell>
          <cell r="D70">
            <v>30593376.885161437</v>
          </cell>
          <cell r="E70">
            <v>325318088.78571427</v>
          </cell>
        </row>
        <row r="71">
          <cell r="A71">
            <v>42058</v>
          </cell>
          <cell r="B71" t="str">
            <v>pondělí</v>
          </cell>
          <cell r="D71">
            <v>33462862.272904243</v>
          </cell>
          <cell r="E71">
            <v>355829276.78571427</v>
          </cell>
        </row>
        <row r="72">
          <cell r="A72">
            <v>42059</v>
          </cell>
          <cell r="B72" t="str">
            <v>úterý</v>
          </cell>
          <cell r="D72">
            <v>32092613.243413884</v>
          </cell>
          <cell r="E72">
            <v>341261041.78571427</v>
          </cell>
        </row>
        <row r="73">
          <cell r="A73">
            <v>42060</v>
          </cell>
          <cell r="B73" t="str">
            <v>středa</v>
          </cell>
          <cell r="D73">
            <v>33199114.901346873</v>
          </cell>
          <cell r="E73">
            <v>353021835.78571427</v>
          </cell>
        </row>
        <row r="74">
          <cell r="A74">
            <v>42061</v>
          </cell>
          <cell r="B74" t="str">
            <v>čtvrtek</v>
          </cell>
          <cell r="D74">
            <v>33339268.505793571</v>
          </cell>
          <cell r="E74">
            <v>354512321.78571427</v>
          </cell>
        </row>
        <row r="75">
          <cell r="A75">
            <v>42062</v>
          </cell>
          <cell r="B75" t="str">
            <v>pátek</v>
          </cell>
          <cell r="D75">
            <v>32085560.383060247</v>
          </cell>
          <cell r="E75">
            <v>341188141.78571427</v>
          </cell>
        </row>
        <row r="76">
          <cell r="A76">
            <v>42063</v>
          </cell>
          <cell r="B76" t="str">
            <v>sobota</v>
          </cell>
          <cell r="D76">
            <v>29662131.335351482</v>
          </cell>
          <cell r="E76">
            <v>315423350.78571427</v>
          </cell>
        </row>
        <row r="77">
          <cell r="A77"/>
          <cell r="D77">
            <v>0</v>
          </cell>
          <cell r="E77">
            <v>0</v>
          </cell>
        </row>
        <row r="78">
          <cell r="A78">
            <v>42064</v>
          </cell>
          <cell r="B78" t="str">
            <v>neděle</v>
          </cell>
          <cell r="D78">
            <v>30248075.103459317</v>
          </cell>
          <cell r="E78">
            <v>321579131.86451614</v>
          </cell>
        </row>
        <row r="79">
          <cell r="A79">
            <v>42065</v>
          </cell>
          <cell r="B79" t="str">
            <v>pondělí</v>
          </cell>
          <cell r="D79">
            <v>32156299.075508114</v>
          </cell>
          <cell r="E79">
            <v>341856883.86451614</v>
          </cell>
        </row>
        <row r="80">
          <cell r="A80">
            <v>42066</v>
          </cell>
          <cell r="B80" t="str">
            <v>úterý</v>
          </cell>
          <cell r="D80">
            <v>32090406.012723975</v>
          </cell>
          <cell r="E80">
            <v>341157136.86451614</v>
          </cell>
        </row>
        <row r="81">
          <cell r="A81">
            <v>42067</v>
          </cell>
          <cell r="B81" t="str">
            <v>středa</v>
          </cell>
          <cell r="D81">
            <v>32451208.446596771</v>
          </cell>
          <cell r="E81">
            <v>344993432.86451614</v>
          </cell>
        </row>
        <row r="82">
          <cell r="A82">
            <v>42068</v>
          </cell>
          <cell r="B82" t="str">
            <v>čtvrtek</v>
          </cell>
          <cell r="D82">
            <v>33669323.046807908</v>
          </cell>
          <cell r="E82">
            <v>357931551.86451614</v>
          </cell>
        </row>
        <row r="83">
          <cell r="A83">
            <v>42069</v>
          </cell>
          <cell r="B83" t="str">
            <v>pátek</v>
          </cell>
          <cell r="D83">
            <v>31400656.794319052</v>
          </cell>
          <cell r="E83">
            <v>333820923.86451614</v>
          </cell>
        </row>
        <row r="84">
          <cell r="A84">
            <v>42070</v>
          </cell>
          <cell r="B84" t="str">
            <v>sobota</v>
          </cell>
          <cell r="D84">
            <v>26889062.833535805</v>
          </cell>
          <cell r="E84">
            <v>285873657.86451614</v>
          </cell>
        </row>
        <row r="85">
          <cell r="A85">
            <v>42071</v>
          </cell>
          <cell r="B85" t="str">
            <v>neděle</v>
          </cell>
          <cell r="D85">
            <v>26222814.517200824</v>
          </cell>
          <cell r="E85">
            <v>278791929.86451614</v>
          </cell>
        </row>
        <row r="86">
          <cell r="A86">
            <v>42072</v>
          </cell>
          <cell r="B86" t="str">
            <v>pondělí</v>
          </cell>
          <cell r="D86">
            <v>29386647.034852069</v>
          </cell>
          <cell r="E86">
            <v>312418833.86451614</v>
          </cell>
        </row>
        <row r="87">
          <cell r="A87">
            <v>42073</v>
          </cell>
          <cell r="B87" t="str">
            <v>úterý</v>
          </cell>
          <cell r="D87">
            <v>27738521.034828361</v>
          </cell>
          <cell r="E87">
            <v>294902333.86451614</v>
          </cell>
        </row>
        <row r="88">
          <cell r="A88">
            <v>42074</v>
          </cell>
          <cell r="B88" t="str">
            <v>středa</v>
          </cell>
          <cell r="D88">
            <v>30854267.580128588</v>
          </cell>
          <cell r="E88">
            <v>328017347.86451614</v>
          </cell>
        </row>
        <row r="89">
          <cell r="A89">
            <v>42075</v>
          </cell>
          <cell r="B89" t="str">
            <v>čtvrtek</v>
          </cell>
          <cell r="D89">
            <v>31574844.789370492</v>
          </cell>
          <cell r="E89">
            <v>335673345.86451614</v>
          </cell>
        </row>
        <row r="90">
          <cell r="A90">
            <v>42076</v>
          </cell>
          <cell r="B90" t="str">
            <v>pátek</v>
          </cell>
          <cell r="D90">
            <v>31625360.09908665</v>
          </cell>
          <cell r="E90">
            <v>336214246.86451614</v>
          </cell>
        </row>
        <row r="91">
          <cell r="A91">
            <v>42077</v>
          </cell>
          <cell r="B91" t="str">
            <v>sobota</v>
          </cell>
          <cell r="D91">
            <v>28960302.295543782</v>
          </cell>
          <cell r="E91">
            <v>307886621.86451614</v>
          </cell>
        </row>
        <row r="92">
          <cell r="A92">
            <v>42078</v>
          </cell>
          <cell r="B92" t="str">
            <v>neděle</v>
          </cell>
          <cell r="D92">
            <v>28317397.267298888</v>
          </cell>
          <cell r="E92">
            <v>301051400.86451614</v>
          </cell>
        </row>
        <row r="93">
          <cell r="A93">
            <v>42079</v>
          </cell>
          <cell r="B93" t="str">
            <v>pondělí</v>
          </cell>
          <cell r="D93">
            <v>28148654.777696609</v>
          </cell>
          <cell r="E93">
            <v>299255294.86451614</v>
          </cell>
        </row>
        <row r="94">
          <cell r="A94">
            <v>42080</v>
          </cell>
          <cell r="B94" t="str">
            <v>úterý</v>
          </cell>
          <cell r="D94">
            <v>26093459.538175829</v>
          </cell>
          <cell r="E94">
            <v>277411086.86451614</v>
          </cell>
        </row>
        <row r="95">
          <cell r="A95">
            <v>42081</v>
          </cell>
          <cell r="B95" t="str">
            <v>středa</v>
          </cell>
          <cell r="D95">
            <v>26280282.803073261</v>
          </cell>
          <cell r="E95">
            <v>279393616.86451614</v>
          </cell>
        </row>
        <row r="96">
          <cell r="A96">
            <v>42082</v>
          </cell>
          <cell r="B96" t="str">
            <v>čtvrtek</v>
          </cell>
          <cell r="D96">
            <v>27010399.85952311</v>
          </cell>
          <cell r="E96">
            <v>287157580.86451614</v>
          </cell>
        </row>
        <row r="97">
          <cell r="A97">
            <v>42083</v>
          </cell>
          <cell r="B97" t="str">
            <v>pátek</v>
          </cell>
          <cell r="D97">
            <v>26666290.526830889</v>
          </cell>
          <cell r="E97">
            <v>283510285.86451614</v>
          </cell>
        </row>
        <row r="98">
          <cell r="A98">
            <v>42084</v>
          </cell>
          <cell r="B98" t="str">
            <v>sobota</v>
          </cell>
          <cell r="D98">
            <v>22949801.59647119</v>
          </cell>
          <cell r="E98">
            <v>244012128.86451614</v>
          </cell>
        </row>
        <row r="99">
          <cell r="A99">
            <v>42085</v>
          </cell>
          <cell r="B99" t="str">
            <v>neděle</v>
          </cell>
          <cell r="D99">
            <v>27487312.139148291</v>
          </cell>
          <cell r="E99">
            <v>292233440.86451614</v>
          </cell>
        </row>
        <row r="100">
          <cell r="A100">
            <v>42086</v>
          </cell>
          <cell r="B100" t="str">
            <v>pondělí</v>
          </cell>
          <cell r="D100">
            <v>28462368.120622408</v>
          </cell>
          <cell r="E100">
            <v>302599790.86451614</v>
          </cell>
        </row>
        <row r="101">
          <cell r="A101">
            <v>42087</v>
          </cell>
          <cell r="B101" t="str">
            <v>úterý</v>
          </cell>
          <cell r="D101">
            <v>25948151.206212364</v>
          </cell>
          <cell r="E101">
            <v>275877027.86451614</v>
          </cell>
        </row>
        <row r="102">
          <cell r="A102">
            <v>42088</v>
          </cell>
          <cell r="B102" t="str">
            <v>středa</v>
          </cell>
          <cell r="D102">
            <v>22929421.912694003</v>
          </cell>
          <cell r="E102">
            <v>243793821.86451614</v>
          </cell>
        </row>
        <row r="103">
          <cell r="A103">
            <v>42089</v>
          </cell>
          <cell r="B103" t="str">
            <v>čtvrtek</v>
          </cell>
          <cell r="D103">
            <v>22748236.47292323</v>
          </cell>
          <cell r="E103">
            <v>241867266.86451614</v>
          </cell>
        </row>
        <row r="104">
          <cell r="A104">
            <v>42090</v>
          </cell>
          <cell r="B104" t="str">
            <v>pátek</v>
          </cell>
          <cell r="D104">
            <v>24769419.577712856</v>
          </cell>
          <cell r="E104">
            <v>263348889.86451614</v>
          </cell>
        </row>
        <row r="105">
          <cell r="A105">
            <v>42091</v>
          </cell>
          <cell r="B105" t="str">
            <v>sobota</v>
          </cell>
          <cell r="D105">
            <v>22430047.463550922</v>
          </cell>
          <cell r="E105">
            <v>238485202.86451614</v>
          </cell>
        </row>
        <row r="106">
          <cell r="A106">
            <v>42092</v>
          </cell>
          <cell r="B106" t="str">
            <v>neděle</v>
          </cell>
          <cell r="D106">
            <v>23594608.677240305</v>
          </cell>
          <cell r="E106">
            <v>250865697.86451614</v>
          </cell>
        </row>
        <row r="107">
          <cell r="A107">
            <v>42093</v>
          </cell>
          <cell r="B107" t="str">
            <v>pondělí</v>
          </cell>
          <cell r="D107">
            <v>27275796.99878557</v>
          </cell>
          <cell r="E107">
            <v>289985950.86451614</v>
          </cell>
        </row>
        <row r="108">
          <cell r="A108">
            <v>42094</v>
          </cell>
          <cell r="B108" t="str">
            <v>úterý</v>
          </cell>
          <cell r="D108">
            <v>29153082.809129909</v>
          </cell>
          <cell r="E108">
            <v>309936779.86451614</v>
          </cell>
        </row>
        <row r="109">
          <cell r="A109">
            <v>42095</v>
          </cell>
          <cell r="B109" t="str">
            <v>středa</v>
          </cell>
          <cell r="D109">
            <v>30677245.43145762</v>
          </cell>
          <cell r="E109">
            <v>326318512.24000001</v>
          </cell>
        </row>
        <row r="110">
          <cell r="A110">
            <v>42096</v>
          </cell>
          <cell r="B110" t="str">
            <v>čtvrtek</v>
          </cell>
          <cell r="D110">
            <v>32462720.565170936</v>
          </cell>
          <cell r="E110">
            <v>345306822.24000001</v>
          </cell>
        </row>
        <row r="111">
          <cell r="A111">
            <v>42097</v>
          </cell>
          <cell r="B111" t="str">
            <v>pátek</v>
          </cell>
          <cell r="D111">
            <v>30588397.627558079</v>
          </cell>
          <cell r="E111">
            <v>325374304.24000001</v>
          </cell>
        </row>
        <row r="112">
          <cell r="A112">
            <v>42098</v>
          </cell>
          <cell r="B112" t="str">
            <v>sobota</v>
          </cell>
          <cell r="D112">
            <v>26488452.883092407</v>
          </cell>
          <cell r="E112">
            <v>281777163.24000001</v>
          </cell>
        </row>
        <row r="113">
          <cell r="A113">
            <v>42099</v>
          </cell>
          <cell r="B113" t="str">
            <v>neděle</v>
          </cell>
          <cell r="D113">
            <v>26800253.939111631</v>
          </cell>
          <cell r="E113">
            <v>285090067.24000001</v>
          </cell>
        </row>
        <row r="114">
          <cell r="A114">
            <v>42100</v>
          </cell>
          <cell r="B114" t="str">
            <v>pondělí</v>
          </cell>
          <cell r="D114">
            <v>28979467.533714496</v>
          </cell>
          <cell r="E114">
            <v>308263372.24000001</v>
          </cell>
        </row>
        <row r="115">
          <cell r="A115">
            <v>42101</v>
          </cell>
          <cell r="B115" t="str">
            <v>úterý</v>
          </cell>
          <cell r="D115">
            <v>29118400.870849974</v>
          </cell>
          <cell r="E115">
            <v>309746069.24000001</v>
          </cell>
        </row>
        <row r="116">
          <cell r="A116">
            <v>42102</v>
          </cell>
          <cell r="B116" t="str">
            <v>středa</v>
          </cell>
          <cell r="D116">
            <v>29123342.332419891</v>
          </cell>
          <cell r="E116">
            <v>309802438.24000001</v>
          </cell>
        </row>
        <row r="117">
          <cell r="A117">
            <v>42103</v>
          </cell>
          <cell r="B117" t="str">
            <v>čtvrtek</v>
          </cell>
          <cell r="D117">
            <v>24524154.010039348</v>
          </cell>
          <cell r="E117">
            <v>260896660.24000001</v>
          </cell>
        </row>
        <row r="118">
          <cell r="A118">
            <v>42104</v>
          </cell>
          <cell r="B118" t="str">
            <v>pátek</v>
          </cell>
          <cell r="D118">
            <v>20355808.033921316</v>
          </cell>
          <cell r="E118">
            <v>216571570.24000001</v>
          </cell>
        </row>
        <row r="119">
          <cell r="A119">
            <v>42105</v>
          </cell>
          <cell r="B119" t="str">
            <v>sobota</v>
          </cell>
          <cell r="D119">
            <v>15817888.690539146</v>
          </cell>
          <cell r="E119">
            <v>168310142.24000001</v>
          </cell>
        </row>
        <row r="120">
          <cell r="A120">
            <v>42106</v>
          </cell>
          <cell r="B120" t="str">
            <v>neděle</v>
          </cell>
          <cell r="D120">
            <v>16178831.481831636</v>
          </cell>
          <cell r="E120">
            <v>172139557.24000001</v>
          </cell>
        </row>
        <row r="121">
          <cell r="A121">
            <v>42107</v>
          </cell>
          <cell r="B121" t="str">
            <v>pondělí</v>
          </cell>
          <cell r="D121">
            <v>21028907.737844631</v>
          </cell>
          <cell r="E121">
            <v>223728877.24000001</v>
          </cell>
        </row>
        <row r="122">
          <cell r="A122">
            <v>42108</v>
          </cell>
          <cell r="B122" t="str">
            <v>úterý</v>
          </cell>
          <cell r="D122">
            <v>20307713.809890177</v>
          </cell>
          <cell r="E122">
            <v>216057139.24000001</v>
          </cell>
        </row>
        <row r="123">
          <cell r="A123">
            <v>42109</v>
          </cell>
          <cell r="B123" t="str">
            <v>středa</v>
          </cell>
          <cell r="D123">
            <v>16590878.846654931</v>
          </cell>
          <cell r="E123">
            <v>176533732.24000001</v>
          </cell>
        </row>
        <row r="124">
          <cell r="A124">
            <v>42110</v>
          </cell>
          <cell r="B124" t="str">
            <v>čtvrtek</v>
          </cell>
          <cell r="D124">
            <v>15768294.771938911</v>
          </cell>
          <cell r="E124">
            <v>167787093.24000001</v>
          </cell>
        </row>
        <row r="125">
          <cell r="A125">
            <v>42111</v>
          </cell>
          <cell r="B125" t="str">
            <v>pátek</v>
          </cell>
          <cell r="D125">
            <v>18568833.461656313</v>
          </cell>
          <cell r="E125">
            <v>197571759.24000001</v>
          </cell>
        </row>
        <row r="126">
          <cell r="A126">
            <v>42112</v>
          </cell>
          <cell r="B126" t="str">
            <v>sobota</v>
          </cell>
          <cell r="D126">
            <v>19614571.040879648</v>
          </cell>
          <cell r="E126">
            <v>208691011.24000001</v>
          </cell>
        </row>
        <row r="127">
          <cell r="A127">
            <v>42113</v>
          </cell>
          <cell r="B127" t="str">
            <v>neděle</v>
          </cell>
          <cell r="D127">
            <v>18656931.840735111</v>
          </cell>
          <cell r="E127">
            <v>198509147.24000001</v>
          </cell>
        </row>
        <row r="128">
          <cell r="A128">
            <v>42114</v>
          </cell>
          <cell r="B128" t="str">
            <v>pondělí</v>
          </cell>
          <cell r="D128">
            <v>19563471.390013989</v>
          </cell>
          <cell r="E128">
            <v>208148627.24000001</v>
          </cell>
        </row>
        <row r="129">
          <cell r="A129">
            <v>42115</v>
          </cell>
          <cell r="B129" t="str">
            <v>úterý</v>
          </cell>
          <cell r="D129">
            <v>18079239.56225083</v>
          </cell>
          <cell r="E129">
            <v>192363673.24000001</v>
          </cell>
        </row>
        <row r="130">
          <cell r="A130">
            <v>42116</v>
          </cell>
          <cell r="B130" t="str">
            <v>středa</v>
          </cell>
          <cell r="D130">
            <v>18076820.425424013</v>
          </cell>
          <cell r="E130">
            <v>192336172.24000001</v>
          </cell>
        </row>
        <row r="131">
          <cell r="A131">
            <v>42117</v>
          </cell>
          <cell r="B131" t="str">
            <v>čtvrtek</v>
          </cell>
          <cell r="D131">
            <v>17194628.472384941</v>
          </cell>
          <cell r="E131">
            <v>182954285.24000001</v>
          </cell>
        </row>
        <row r="132">
          <cell r="A132">
            <v>42118</v>
          </cell>
          <cell r="B132" t="str">
            <v>pátek</v>
          </cell>
          <cell r="D132">
            <v>15382705.185504733</v>
          </cell>
          <cell r="E132">
            <v>163694189.24000001</v>
          </cell>
        </row>
        <row r="133">
          <cell r="A133">
            <v>42119</v>
          </cell>
          <cell r="B133" t="str">
            <v>sobota</v>
          </cell>
          <cell r="D133">
            <v>12336617.288364371</v>
          </cell>
          <cell r="E133">
            <v>131301577.23999999</v>
          </cell>
        </row>
        <row r="134">
          <cell r="A134">
            <v>42120</v>
          </cell>
          <cell r="B134" t="str">
            <v>neděle</v>
          </cell>
          <cell r="D134">
            <v>12659586.495655699</v>
          </cell>
          <cell r="E134">
            <v>134732350.24000001</v>
          </cell>
        </row>
        <row r="135">
          <cell r="A135">
            <v>42121</v>
          </cell>
          <cell r="B135" t="str">
            <v>pondělí</v>
          </cell>
          <cell r="D135">
            <v>13818581.100658111</v>
          </cell>
          <cell r="E135">
            <v>147053224.24000001</v>
          </cell>
        </row>
        <row r="136">
          <cell r="A136">
            <v>42122</v>
          </cell>
          <cell r="B136" t="str">
            <v>úterý</v>
          </cell>
          <cell r="D136">
            <v>18711239.256020553</v>
          </cell>
          <cell r="E136">
            <v>199082117.24000001</v>
          </cell>
        </row>
        <row r="137">
          <cell r="A137">
            <v>42123</v>
          </cell>
          <cell r="B137" t="str">
            <v>středa</v>
          </cell>
          <cell r="D137">
            <v>18289834.007546064</v>
          </cell>
          <cell r="E137">
            <v>194603921.24000001</v>
          </cell>
        </row>
        <row r="138">
          <cell r="A138">
            <v>42124</v>
          </cell>
          <cell r="B138" t="str">
            <v>čtvrtek</v>
          </cell>
          <cell r="D138">
            <v>17044748.050783794</v>
          </cell>
          <cell r="E138">
            <v>181363124.24000001</v>
          </cell>
        </row>
        <row r="139">
          <cell r="A139">
            <v>42125</v>
          </cell>
          <cell r="B139" t="str">
            <v>pátek</v>
          </cell>
          <cell r="D139">
            <v>0</v>
          </cell>
          <cell r="E139">
            <v>0</v>
          </cell>
        </row>
        <row r="140">
          <cell r="A140">
            <v>42126</v>
          </cell>
          <cell r="B140" t="str">
            <v>sobota</v>
          </cell>
          <cell r="D140">
            <v>0</v>
          </cell>
          <cell r="E140">
            <v>0</v>
          </cell>
        </row>
        <row r="141">
          <cell r="A141">
            <v>42127</v>
          </cell>
          <cell r="B141" t="str">
            <v>neděle</v>
          </cell>
          <cell r="D141">
            <v>0</v>
          </cell>
          <cell r="E141">
            <v>0</v>
          </cell>
        </row>
        <row r="142">
          <cell r="A142">
            <v>42128</v>
          </cell>
          <cell r="B142" t="str">
            <v>pondělí</v>
          </cell>
          <cell r="D142">
            <v>0</v>
          </cell>
          <cell r="E142">
            <v>0</v>
          </cell>
        </row>
        <row r="143">
          <cell r="A143">
            <v>42129</v>
          </cell>
          <cell r="B143" t="str">
            <v>úterý</v>
          </cell>
          <cell r="D143">
            <v>0</v>
          </cell>
          <cell r="E143">
            <v>0</v>
          </cell>
        </row>
        <row r="144">
          <cell r="A144">
            <v>42130</v>
          </cell>
          <cell r="B144" t="str">
            <v>středa</v>
          </cell>
          <cell r="D144">
            <v>0</v>
          </cell>
          <cell r="E144">
            <v>0</v>
          </cell>
        </row>
        <row r="145">
          <cell r="A145">
            <v>42131</v>
          </cell>
          <cell r="B145" t="str">
            <v>čtvrtek</v>
          </cell>
          <cell r="D145">
            <v>0</v>
          </cell>
          <cell r="E145">
            <v>0</v>
          </cell>
        </row>
        <row r="146">
          <cell r="A146">
            <v>42132</v>
          </cell>
          <cell r="B146" t="str">
            <v>pátek</v>
          </cell>
          <cell r="D146">
            <v>0</v>
          </cell>
          <cell r="E146">
            <v>0</v>
          </cell>
        </row>
        <row r="147">
          <cell r="A147">
            <v>42133</v>
          </cell>
          <cell r="B147" t="str">
            <v>sobota</v>
          </cell>
          <cell r="D147">
            <v>0</v>
          </cell>
          <cell r="E147">
            <v>0</v>
          </cell>
        </row>
        <row r="148">
          <cell r="A148">
            <v>42134</v>
          </cell>
          <cell r="B148" t="str">
            <v>neděle</v>
          </cell>
          <cell r="D148">
            <v>0</v>
          </cell>
          <cell r="E148">
            <v>0</v>
          </cell>
        </row>
        <row r="149">
          <cell r="A149">
            <v>42135</v>
          </cell>
          <cell r="B149" t="str">
            <v>pondělí</v>
          </cell>
          <cell r="D149">
            <v>0</v>
          </cell>
          <cell r="E149">
            <v>0</v>
          </cell>
        </row>
        <row r="150">
          <cell r="A150">
            <v>42136</v>
          </cell>
          <cell r="B150" t="str">
            <v>úterý</v>
          </cell>
          <cell r="D150">
            <v>0</v>
          </cell>
          <cell r="E150">
            <v>0</v>
          </cell>
        </row>
        <row r="151">
          <cell r="A151">
            <v>42137</v>
          </cell>
          <cell r="B151" t="str">
            <v>středa</v>
          </cell>
          <cell r="D151">
            <v>0</v>
          </cell>
          <cell r="E151">
            <v>0</v>
          </cell>
        </row>
        <row r="152">
          <cell r="A152">
            <v>42138</v>
          </cell>
          <cell r="B152" t="str">
            <v>čtvrtek</v>
          </cell>
          <cell r="D152">
            <v>0</v>
          </cell>
          <cell r="E152">
            <v>0</v>
          </cell>
        </row>
        <row r="153">
          <cell r="A153">
            <v>42139</v>
          </cell>
          <cell r="B153" t="str">
            <v>pátek</v>
          </cell>
          <cell r="D153">
            <v>0</v>
          </cell>
          <cell r="E153">
            <v>0</v>
          </cell>
        </row>
        <row r="154">
          <cell r="A154">
            <v>42140</v>
          </cell>
          <cell r="B154" t="str">
            <v>sobota</v>
          </cell>
          <cell r="D154">
            <v>0</v>
          </cell>
          <cell r="E154">
            <v>0</v>
          </cell>
        </row>
        <row r="155">
          <cell r="A155">
            <v>42141</v>
          </cell>
          <cell r="B155" t="str">
            <v>neděle</v>
          </cell>
          <cell r="D155">
            <v>0</v>
          </cell>
          <cell r="E155">
            <v>0</v>
          </cell>
        </row>
        <row r="156">
          <cell r="A156">
            <v>42142</v>
          </cell>
          <cell r="B156" t="str">
            <v>pondělí</v>
          </cell>
          <cell r="D156">
            <v>0</v>
          </cell>
          <cell r="E156">
            <v>0</v>
          </cell>
        </row>
        <row r="157">
          <cell r="A157">
            <v>42143</v>
          </cell>
          <cell r="B157" t="str">
            <v>úterý</v>
          </cell>
          <cell r="D157">
            <v>0</v>
          </cell>
          <cell r="E157">
            <v>0</v>
          </cell>
        </row>
        <row r="158">
          <cell r="A158">
            <v>42144</v>
          </cell>
          <cell r="B158" t="str">
            <v>středa</v>
          </cell>
          <cell r="D158">
            <v>0</v>
          </cell>
          <cell r="E158">
            <v>0</v>
          </cell>
        </row>
        <row r="159">
          <cell r="A159">
            <v>42145</v>
          </cell>
          <cell r="B159" t="str">
            <v>čtvrtek</v>
          </cell>
          <cell r="D159">
            <v>0</v>
          </cell>
          <cell r="E159">
            <v>0</v>
          </cell>
        </row>
        <row r="160">
          <cell r="A160">
            <v>42146</v>
          </cell>
          <cell r="B160" t="str">
            <v>pátek</v>
          </cell>
          <cell r="D160">
            <v>0</v>
          </cell>
          <cell r="E160">
            <v>0</v>
          </cell>
        </row>
        <row r="161">
          <cell r="A161">
            <v>42147</v>
          </cell>
          <cell r="B161" t="str">
            <v>sobota</v>
          </cell>
          <cell r="D161">
            <v>0</v>
          </cell>
          <cell r="E161">
            <v>0</v>
          </cell>
        </row>
        <row r="162">
          <cell r="A162">
            <v>42148</v>
          </cell>
          <cell r="B162" t="str">
            <v>neděle</v>
          </cell>
          <cell r="D162">
            <v>0</v>
          </cell>
          <cell r="E162">
            <v>0</v>
          </cell>
        </row>
        <row r="163">
          <cell r="A163">
            <v>42149</v>
          </cell>
          <cell r="B163" t="str">
            <v>pondělí</v>
          </cell>
          <cell r="D163">
            <v>0</v>
          </cell>
          <cell r="E163">
            <v>0</v>
          </cell>
        </row>
        <row r="164">
          <cell r="A164">
            <v>42150</v>
          </cell>
          <cell r="B164" t="str">
            <v>úterý</v>
          </cell>
          <cell r="D164">
            <v>0</v>
          </cell>
          <cell r="E164">
            <v>0</v>
          </cell>
        </row>
        <row r="165">
          <cell r="A165">
            <v>42151</v>
          </cell>
          <cell r="B165" t="str">
            <v>středa</v>
          </cell>
          <cell r="D165">
            <v>0</v>
          </cell>
          <cell r="E165">
            <v>0</v>
          </cell>
        </row>
        <row r="166">
          <cell r="A166">
            <v>42152</v>
          </cell>
          <cell r="B166" t="str">
            <v>čtvrtek</v>
          </cell>
          <cell r="D166">
            <v>0</v>
          </cell>
          <cell r="E166">
            <v>0</v>
          </cell>
        </row>
        <row r="167">
          <cell r="A167">
            <v>42153</v>
          </cell>
          <cell r="B167" t="str">
            <v>pátek</v>
          </cell>
          <cell r="D167">
            <v>0</v>
          </cell>
          <cell r="E167">
            <v>0</v>
          </cell>
        </row>
        <row r="168">
          <cell r="A168">
            <v>42154</v>
          </cell>
          <cell r="B168" t="str">
            <v>sobota</v>
          </cell>
          <cell r="D168">
            <v>0</v>
          </cell>
          <cell r="E168">
            <v>0</v>
          </cell>
        </row>
        <row r="169">
          <cell r="A169">
            <v>42155</v>
          </cell>
          <cell r="B169" t="str">
            <v>neděle</v>
          </cell>
          <cell r="D169">
            <v>0</v>
          </cell>
          <cell r="E169">
            <v>0</v>
          </cell>
        </row>
        <row r="170">
          <cell r="A170">
            <v>42156</v>
          </cell>
          <cell r="B170" t="str">
            <v>pondělí</v>
          </cell>
          <cell r="D170">
            <v>0</v>
          </cell>
          <cell r="E170">
            <v>0</v>
          </cell>
        </row>
        <row r="171">
          <cell r="A171">
            <v>42157</v>
          </cell>
          <cell r="B171" t="str">
            <v>úterý</v>
          </cell>
          <cell r="D171">
            <v>0</v>
          </cell>
          <cell r="E171">
            <v>0</v>
          </cell>
        </row>
        <row r="172">
          <cell r="A172">
            <v>42158</v>
          </cell>
          <cell r="B172" t="str">
            <v>středa</v>
          </cell>
          <cell r="D172">
            <v>0</v>
          </cell>
          <cell r="E172">
            <v>0</v>
          </cell>
        </row>
        <row r="173">
          <cell r="A173">
            <v>42159</v>
          </cell>
          <cell r="B173" t="str">
            <v>čtvrtek</v>
          </cell>
          <cell r="D173">
            <v>0</v>
          </cell>
          <cell r="E173">
            <v>0</v>
          </cell>
        </row>
        <row r="174">
          <cell r="A174">
            <v>42160</v>
          </cell>
          <cell r="B174" t="str">
            <v>pátek</v>
          </cell>
          <cell r="D174">
            <v>0</v>
          </cell>
          <cell r="E174">
            <v>0</v>
          </cell>
        </row>
        <row r="175">
          <cell r="A175">
            <v>42161</v>
          </cell>
          <cell r="B175" t="str">
            <v>sobota</v>
          </cell>
          <cell r="D175">
            <v>0</v>
          </cell>
          <cell r="E175">
            <v>0</v>
          </cell>
        </row>
        <row r="176">
          <cell r="A176">
            <v>42162</v>
          </cell>
          <cell r="B176" t="str">
            <v>neděle</v>
          </cell>
          <cell r="D176">
            <v>0</v>
          </cell>
          <cell r="E176">
            <v>0</v>
          </cell>
        </row>
        <row r="177">
          <cell r="A177">
            <v>42163</v>
          </cell>
          <cell r="B177" t="str">
            <v>pondělí</v>
          </cell>
          <cell r="D177">
            <v>0</v>
          </cell>
          <cell r="E177">
            <v>0</v>
          </cell>
        </row>
        <row r="178">
          <cell r="A178">
            <v>42164</v>
          </cell>
          <cell r="B178" t="str">
            <v>úterý</v>
          </cell>
          <cell r="D178">
            <v>0</v>
          </cell>
          <cell r="E178">
            <v>0</v>
          </cell>
        </row>
        <row r="179">
          <cell r="A179">
            <v>42165</v>
          </cell>
          <cell r="B179" t="str">
            <v>středa</v>
          </cell>
          <cell r="D179">
            <v>0</v>
          </cell>
          <cell r="E179">
            <v>0</v>
          </cell>
        </row>
        <row r="180">
          <cell r="A180">
            <v>42166</v>
          </cell>
          <cell r="B180" t="str">
            <v>čtvrtek</v>
          </cell>
          <cell r="D180">
            <v>0</v>
          </cell>
          <cell r="E180">
            <v>0</v>
          </cell>
        </row>
        <row r="181">
          <cell r="A181">
            <v>42167</v>
          </cell>
          <cell r="B181" t="str">
            <v>pátek</v>
          </cell>
          <cell r="D181">
            <v>0</v>
          </cell>
          <cell r="E181">
            <v>0</v>
          </cell>
        </row>
        <row r="182">
          <cell r="A182">
            <v>42168</v>
          </cell>
          <cell r="B182" t="str">
            <v>sobota</v>
          </cell>
          <cell r="D182">
            <v>0</v>
          </cell>
          <cell r="E182">
            <v>0</v>
          </cell>
        </row>
        <row r="183">
          <cell r="A183">
            <v>42169</v>
          </cell>
          <cell r="B183" t="str">
            <v>neděle</v>
          </cell>
          <cell r="D183">
            <v>0</v>
          </cell>
          <cell r="E183">
            <v>0</v>
          </cell>
        </row>
        <row r="184">
          <cell r="A184">
            <v>42170</v>
          </cell>
          <cell r="B184" t="str">
            <v>pondělí</v>
          </cell>
          <cell r="D184">
            <v>0</v>
          </cell>
          <cell r="E184">
            <v>0</v>
          </cell>
        </row>
        <row r="185">
          <cell r="A185">
            <v>42171</v>
          </cell>
          <cell r="B185" t="str">
            <v>úterý</v>
          </cell>
          <cell r="D185">
            <v>0</v>
          </cell>
          <cell r="E185">
            <v>0</v>
          </cell>
        </row>
        <row r="186">
          <cell r="A186">
            <v>42172</v>
          </cell>
          <cell r="B186" t="str">
            <v>středa</v>
          </cell>
          <cell r="D186">
            <v>0</v>
          </cell>
          <cell r="E186">
            <v>0</v>
          </cell>
        </row>
        <row r="187">
          <cell r="A187">
            <v>42173</v>
          </cell>
          <cell r="B187" t="str">
            <v>čtvrtek</v>
          </cell>
          <cell r="D187">
            <v>0</v>
          </cell>
          <cell r="E187">
            <v>0</v>
          </cell>
        </row>
        <row r="188">
          <cell r="A188">
            <v>42174</v>
          </cell>
          <cell r="B188" t="str">
            <v>pátek</v>
          </cell>
          <cell r="D188">
            <v>0</v>
          </cell>
          <cell r="E188">
            <v>0</v>
          </cell>
        </row>
        <row r="189">
          <cell r="A189">
            <v>42175</v>
          </cell>
          <cell r="B189" t="str">
            <v>sobota</v>
          </cell>
          <cell r="D189">
            <v>0</v>
          </cell>
          <cell r="E189">
            <v>0</v>
          </cell>
        </row>
        <row r="190">
          <cell r="A190">
            <v>42176</v>
          </cell>
          <cell r="B190" t="str">
            <v>neděle</v>
          </cell>
          <cell r="D190">
            <v>0</v>
          </cell>
          <cell r="E190">
            <v>0</v>
          </cell>
        </row>
        <row r="191">
          <cell r="A191">
            <v>42177</v>
          </cell>
          <cell r="B191" t="str">
            <v>pondělí</v>
          </cell>
          <cell r="D191">
            <v>0</v>
          </cell>
          <cell r="E191">
            <v>0</v>
          </cell>
        </row>
        <row r="192">
          <cell r="A192">
            <v>42178</v>
          </cell>
          <cell r="B192" t="str">
            <v>úterý</v>
          </cell>
          <cell r="D192">
            <v>0</v>
          </cell>
          <cell r="E192">
            <v>0</v>
          </cell>
        </row>
        <row r="193">
          <cell r="A193">
            <v>42179</v>
          </cell>
          <cell r="B193" t="str">
            <v>středa</v>
          </cell>
          <cell r="D193">
            <v>0</v>
          </cell>
          <cell r="E193">
            <v>0</v>
          </cell>
        </row>
        <row r="194">
          <cell r="A194">
            <v>42180</v>
          </cell>
          <cell r="B194" t="str">
            <v>čtvrtek</v>
          </cell>
          <cell r="D194">
            <v>0</v>
          </cell>
          <cell r="E194">
            <v>0</v>
          </cell>
        </row>
        <row r="195">
          <cell r="A195">
            <v>42181</v>
          </cell>
          <cell r="B195" t="str">
            <v>pátek</v>
          </cell>
          <cell r="D195">
            <v>0</v>
          </cell>
          <cell r="E195">
            <v>0</v>
          </cell>
        </row>
        <row r="196">
          <cell r="A196">
            <v>42182</v>
          </cell>
          <cell r="B196" t="str">
            <v>sobota</v>
          </cell>
          <cell r="D196">
            <v>0</v>
          </cell>
          <cell r="E196">
            <v>0</v>
          </cell>
        </row>
        <row r="197">
          <cell r="A197">
            <v>42183</v>
          </cell>
          <cell r="B197" t="str">
            <v>neděle</v>
          </cell>
          <cell r="D197">
            <v>0</v>
          </cell>
          <cell r="E197">
            <v>0</v>
          </cell>
        </row>
        <row r="198">
          <cell r="A198">
            <v>42184</v>
          </cell>
          <cell r="B198" t="str">
            <v>pondělí</v>
          </cell>
          <cell r="D198">
            <v>0</v>
          </cell>
          <cell r="E198">
            <v>0</v>
          </cell>
        </row>
        <row r="199">
          <cell r="A199">
            <v>42185</v>
          </cell>
          <cell r="B199" t="str">
            <v>úterý</v>
          </cell>
          <cell r="D199">
            <v>0</v>
          </cell>
          <cell r="E199">
            <v>0</v>
          </cell>
        </row>
        <row r="200">
          <cell r="A200">
            <v>42186</v>
          </cell>
          <cell r="B200" t="str">
            <v>středa</v>
          </cell>
          <cell r="D200">
            <v>0</v>
          </cell>
          <cell r="E200">
            <v>0</v>
          </cell>
        </row>
        <row r="201">
          <cell r="A201">
            <v>42187</v>
          </cell>
          <cell r="B201" t="str">
            <v>čtvrtek</v>
          </cell>
          <cell r="D201">
            <v>0</v>
          </cell>
          <cell r="E201">
            <v>0</v>
          </cell>
        </row>
        <row r="202">
          <cell r="A202">
            <v>42188</v>
          </cell>
          <cell r="B202" t="str">
            <v>pátek</v>
          </cell>
          <cell r="D202">
            <v>0</v>
          </cell>
          <cell r="E202">
            <v>0</v>
          </cell>
        </row>
        <row r="203">
          <cell r="A203">
            <v>42189</v>
          </cell>
          <cell r="B203" t="str">
            <v>sobota</v>
          </cell>
          <cell r="D203">
            <v>0</v>
          </cell>
          <cell r="E203">
            <v>0</v>
          </cell>
        </row>
        <row r="204">
          <cell r="A204">
            <v>42190</v>
          </cell>
          <cell r="B204" t="str">
            <v>neděle</v>
          </cell>
          <cell r="D204">
            <v>0</v>
          </cell>
          <cell r="E204">
            <v>0</v>
          </cell>
        </row>
        <row r="205">
          <cell r="A205">
            <v>42191</v>
          </cell>
          <cell r="B205" t="str">
            <v>pondělí</v>
          </cell>
          <cell r="D205">
            <v>0</v>
          </cell>
          <cell r="E205">
            <v>0</v>
          </cell>
        </row>
        <row r="206">
          <cell r="A206">
            <v>42192</v>
          </cell>
          <cell r="B206" t="str">
            <v>úterý</v>
          </cell>
          <cell r="D206">
            <v>0</v>
          </cell>
          <cell r="E206">
            <v>0</v>
          </cell>
        </row>
        <row r="207">
          <cell r="A207">
            <v>42193</v>
          </cell>
          <cell r="B207" t="str">
            <v>středa</v>
          </cell>
          <cell r="D207">
            <v>0</v>
          </cell>
          <cell r="E207">
            <v>0</v>
          </cell>
        </row>
        <row r="208">
          <cell r="A208">
            <v>42194</v>
          </cell>
          <cell r="B208" t="str">
            <v>čtvrtek</v>
          </cell>
          <cell r="D208">
            <v>0</v>
          </cell>
          <cell r="E208">
            <v>0</v>
          </cell>
        </row>
        <row r="209">
          <cell r="A209">
            <v>42195</v>
          </cell>
          <cell r="B209" t="str">
            <v>pátek</v>
          </cell>
          <cell r="D209">
            <v>0</v>
          </cell>
          <cell r="E209">
            <v>0</v>
          </cell>
        </row>
        <row r="210">
          <cell r="A210">
            <v>42196</v>
          </cell>
          <cell r="B210" t="str">
            <v>sobota</v>
          </cell>
          <cell r="D210">
            <v>0</v>
          </cell>
          <cell r="E210">
            <v>0</v>
          </cell>
        </row>
        <row r="211">
          <cell r="A211">
            <v>42197</v>
          </cell>
          <cell r="B211" t="str">
            <v>neděle</v>
          </cell>
          <cell r="D211">
            <v>0</v>
          </cell>
          <cell r="E211">
            <v>0</v>
          </cell>
        </row>
        <row r="212">
          <cell r="A212">
            <v>42198</v>
          </cell>
          <cell r="B212" t="str">
            <v>pondělí</v>
          </cell>
          <cell r="D212">
            <v>0</v>
          </cell>
          <cell r="E212">
            <v>0</v>
          </cell>
        </row>
        <row r="213">
          <cell r="A213">
            <v>42199</v>
          </cell>
          <cell r="B213" t="str">
            <v>úterý</v>
          </cell>
          <cell r="D213">
            <v>0</v>
          </cell>
          <cell r="E213">
            <v>0</v>
          </cell>
        </row>
        <row r="214">
          <cell r="A214">
            <v>42200</v>
          </cell>
          <cell r="B214" t="str">
            <v>středa</v>
          </cell>
          <cell r="D214">
            <v>0</v>
          </cell>
          <cell r="E214">
            <v>0</v>
          </cell>
        </row>
        <row r="215">
          <cell r="A215">
            <v>42201</v>
          </cell>
          <cell r="B215" t="str">
            <v>čtvrtek</v>
          </cell>
          <cell r="D215">
            <v>0</v>
          </cell>
          <cell r="E215">
            <v>0</v>
          </cell>
        </row>
        <row r="216">
          <cell r="A216">
            <v>42202</v>
          </cell>
          <cell r="B216" t="str">
            <v>pátek</v>
          </cell>
          <cell r="D216">
            <v>0</v>
          </cell>
          <cell r="E216">
            <v>0</v>
          </cell>
        </row>
        <row r="217">
          <cell r="A217">
            <v>42203</v>
          </cell>
          <cell r="B217" t="str">
            <v>sobota</v>
          </cell>
          <cell r="D217">
            <v>0</v>
          </cell>
          <cell r="E217">
            <v>0</v>
          </cell>
        </row>
        <row r="218">
          <cell r="A218">
            <v>42204</v>
          </cell>
          <cell r="B218" t="str">
            <v>neděle</v>
          </cell>
          <cell r="D218">
            <v>0</v>
          </cell>
          <cell r="E218">
            <v>0</v>
          </cell>
        </row>
        <row r="219">
          <cell r="A219">
            <v>42205</v>
          </cell>
          <cell r="B219" t="str">
            <v>pondělí</v>
          </cell>
          <cell r="D219">
            <v>0</v>
          </cell>
          <cell r="E219">
            <v>0</v>
          </cell>
        </row>
        <row r="220">
          <cell r="A220">
            <v>42206</v>
          </cell>
          <cell r="B220" t="str">
            <v>úterý</v>
          </cell>
          <cell r="D220">
            <v>0</v>
          </cell>
          <cell r="E220">
            <v>0</v>
          </cell>
        </row>
        <row r="221">
          <cell r="A221">
            <v>42207</v>
          </cell>
          <cell r="B221" t="str">
            <v>středa</v>
          </cell>
          <cell r="D221">
            <v>0</v>
          </cell>
          <cell r="E221">
            <v>0</v>
          </cell>
        </row>
        <row r="222">
          <cell r="A222">
            <v>42208</v>
          </cell>
          <cell r="B222" t="str">
            <v>čtvrtek</v>
          </cell>
          <cell r="D222">
            <v>0</v>
          </cell>
          <cell r="E222">
            <v>0</v>
          </cell>
        </row>
        <row r="223">
          <cell r="A223">
            <v>42209</v>
          </cell>
          <cell r="B223" t="str">
            <v>pátek</v>
          </cell>
          <cell r="D223">
            <v>0</v>
          </cell>
          <cell r="E223">
            <v>0</v>
          </cell>
        </row>
        <row r="224">
          <cell r="A224">
            <v>42210</v>
          </cell>
          <cell r="B224" t="str">
            <v>sobota</v>
          </cell>
          <cell r="D224">
            <v>0</v>
          </cell>
          <cell r="E224">
            <v>0</v>
          </cell>
        </row>
        <row r="225">
          <cell r="A225">
            <v>42211</v>
          </cell>
          <cell r="B225" t="str">
            <v>neděle</v>
          </cell>
          <cell r="D225">
            <v>0</v>
          </cell>
          <cell r="E225">
            <v>0</v>
          </cell>
        </row>
        <row r="226">
          <cell r="A226">
            <v>42212</v>
          </cell>
          <cell r="B226" t="str">
            <v>pondělí</v>
          </cell>
          <cell r="D226">
            <v>0</v>
          </cell>
          <cell r="E226">
            <v>0</v>
          </cell>
        </row>
        <row r="227">
          <cell r="A227">
            <v>42213</v>
          </cell>
          <cell r="B227" t="str">
            <v>úterý</v>
          </cell>
          <cell r="D227">
            <v>0</v>
          </cell>
          <cell r="E227">
            <v>0</v>
          </cell>
        </row>
        <row r="228">
          <cell r="A228">
            <v>42214</v>
          </cell>
          <cell r="B228" t="str">
            <v>středa</v>
          </cell>
          <cell r="D228">
            <v>0</v>
          </cell>
          <cell r="E228">
            <v>0</v>
          </cell>
        </row>
        <row r="229">
          <cell r="A229">
            <v>42215</v>
          </cell>
          <cell r="B229" t="str">
            <v>čtvrtek</v>
          </cell>
          <cell r="D229">
            <v>0</v>
          </cell>
          <cell r="E229">
            <v>0</v>
          </cell>
        </row>
        <row r="230">
          <cell r="A230">
            <v>42216</v>
          </cell>
          <cell r="B230" t="str">
            <v>pátek</v>
          </cell>
          <cell r="D230">
            <v>0</v>
          </cell>
          <cell r="E230">
            <v>0</v>
          </cell>
        </row>
        <row r="231">
          <cell r="A231">
            <v>42217</v>
          </cell>
          <cell r="B231" t="str">
            <v>sobota</v>
          </cell>
          <cell r="D231">
            <v>0</v>
          </cell>
          <cell r="E231">
            <v>0</v>
          </cell>
        </row>
        <row r="232">
          <cell r="A232">
            <v>42218</v>
          </cell>
          <cell r="B232" t="str">
            <v>neděle</v>
          </cell>
          <cell r="D232">
            <v>0</v>
          </cell>
          <cell r="E232">
            <v>0</v>
          </cell>
        </row>
        <row r="233">
          <cell r="A233">
            <v>42219</v>
          </cell>
          <cell r="B233" t="str">
            <v>pondělí</v>
          </cell>
          <cell r="D233">
            <v>0</v>
          </cell>
          <cell r="E233">
            <v>0</v>
          </cell>
        </row>
        <row r="234">
          <cell r="A234">
            <v>42220</v>
          </cell>
          <cell r="B234" t="str">
            <v>úterý</v>
          </cell>
          <cell r="D234">
            <v>0</v>
          </cell>
          <cell r="E234">
            <v>0</v>
          </cell>
        </row>
        <row r="235">
          <cell r="A235">
            <v>42221</v>
          </cell>
          <cell r="B235" t="str">
            <v>středa</v>
          </cell>
          <cell r="D235">
            <v>0</v>
          </cell>
          <cell r="E235">
            <v>0</v>
          </cell>
        </row>
        <row r="236">
          <cell r="A236">
            <v>42222</v>
          </cell>
          <cell r="B236" t="str">
            <v>čtvrtek</v>
          </cell>
          <cell r="D236">
            <v>0</v>
          </cell>
          <cell r="E236">
            <v>0</v>
          </cell>
        </row>
        <row r="237">
          <cell r="A237">
            <v>42223</v>
          </cell>
          <cell r="B237" t="str">
            <v>pátek</v>
          </cell>
          <cell r="D237">
            <v>0</v>
          </cell>
          <cell r="E237">
            <v>0</v>
          </cell>
        </row>
        <row r="238">
          <cell r="A238">
            <v>42224</v>
          </cell>
          <cell r="B238" t="str">
            <v>sobota</v>
          </cell>
          <cell r="D238">
            <v>0</v>
          </cell>
          <cell r="E238">
            <v>0</v>
          </cell>
        </row>
        <row r="239">
          <cell r="A239">
            <v>42225</v>
          </cell>
          <cell r="B239" t="str">
            <v>neděle</v>
          </cell>
          <cell r="D239">
            <v>0</v>
          </cell>
          <cell r="E239">
            <v>0</v>
          </cell>
        </row>
        <row r="240">
          <cell r="A240">
            <v>42226</v>
          </cell>
          <cell r="B240" t="str">
            <v>pondělí</v>
          </cell>
          <cell r="D240">
            <v>0</v>
          </cell>
          <cell r="E240">
            <v>0</v>
          </cell>
        </row>
        <row r="241">
          <cell r="A241">
            <v>42227</v>
          </cell>
          <cell r="B241" t="str">
            <v>úterý</v>
          </cell>
          <cell r="D241">
            <v>0</v>
          </cell>
          <cell r="E241">
            <v>0</v>
          </cell>
        </row>
        <row r="242">
          <cell r="A242">
            <v>42228</v>
          </cell>
          <cell r="B242" t="str">
            <v>středa</v>
          </cell>
          <cell r="D242">
            <v>0</v>
          </cell>
          <cell r="E242">
            <v>0</v>
          </cell>
        </row>
        <row r="243">
          <cell r="A243">
            <v>42229</v>
          </cell>
          <cell r="B243" t="str">
            <v>čtvrtek</v>
          </cell>
          <cell r="D243">
            <v>0</v>
          </cell>
          <cell r="E243">
            <v>0</v>
          </cell>
        </row>
        <row r="244">
          <cell r="A244">
            <v>42230</v>
          </cell>
          <cell r="B244" t="str">
            <v>pátek</v>
          </cell>
          <cell r="D244">
            <v>0</v>
          </cell>
          <cell r="E244">
            <v>0</v>
          </cell>
        </row>
        <row r="245">
          <cell r="A245">
            <v>42231</v>
          </cell>
          <cell r="B245" t="str">
            <v>sobota</v>
          </cell>
          <cell r="D245">
            <v>0</v>
          </cell>
          <cell r="E245">
            <v>0</v>
          </cell>
        </row>
        <row r="246">
          <cell r="A246">
            <v>42232</v>
          </cell>
          <cell r="B246" t="str">
            <v>neděle</v>
          </cell>
          <cell r="D246">
            <v>0</v>
          </cell>
          <cell r="E246">
            <v>0</v>
          </cell>
        </row>
        <row r="247">
          <cell r="A247">
            <v>42233</v>
          </cell>
          <cell r="B247" t="str">
            <v>pondělí</v>
          </cell>
          <cell r="D247">
            <v>0</v>
          </cell>
          <cell r="E247">
            <v>0</v>
          </cell>
        </row>
        <row r="248">
          <cell r="A248">
            <v>42234</v>
          </cell>
          <cell r="B248" t="str">
            <v>úterý</v>
          </cell>
          <cell r="D248">
            <v>0</v>
          </cell>
          <cell r="E248">
            <v>0</v>
          </cell>
        </row>
        <row r="249">
          <cell r="A249">
            <v>42235</v>
          </cell>
          <cell r="B249" t="str">
            <v>středa</v>
          </cell>
          <cell r="D249">
            <v>0</v>
          </cell>
          <cell r="E249">
            <v>0</v>
          </cell>
        </row>
        <row r="250">
          <cell r="A250">
            <v>42236</v>
          </cell>
          <cell r="B250" t="str">
            <v>čtvrtek</v>
          </cell>
          <cell r="D250">
            <v>0</v>
          </cell>
          <cell r="E250">
            <v>0</v>
          </cell>
        </row>
        <row r="251">
          <cell r="A251">
            <v>42237</v>
          </cell>
          <cell r="B251" t="str">
            <v>pátek</v>
          </cell>
          <cell r="D251">
            <v>0</v>
          </cell>
          <cell r="E251">
            <v>0</v>
          </cell>
        </row>
        <row r="252">
          <cell r="A252">
            <v>42238</v>
          </cell>
          <cell r="B252" t="str">
            <v>sobota</v>
          </cell>
          <cell r="D252">
            <v>0</v>
          </cell>
          <cell r="E252">
            <v>0</v>
          </cell>
        </row>
        <row r="253">
          <cell r="A253">
            <v>42239</v>
          </cell>
          <cell r="B253" t="str">
            <v>neděle</v>
          </cell>
          <cell r="D253">
            <v>0</v>
          </cell>
          <cell r="E253">
            <v>0</v>
          </cell>
        </row>
        <row r="254">
          <cell r="A254">
            <v>42240</v>
          </cell>
          <cell r="B254" t="str">
            <v>pondělí</v>
          </cell>
          <cell r="D254">
            <v>0</v>
          </cell>
          <cell r="E254">
            <v>0</v>
          </cell>
        </row>
        <row r="255">
          <cell r="A255">
            <v>42241</v>
          </cell>
          <cell r="B255" t="str">
            <v>úterý</v>
          </cell>
          <cell r="D255">
            <v>0</v>
          </cell>
          <cell r="E255">
            <v>0</v>
          </cell>
        </row>
        <row r="256">
          <cell r="A256">
            <v>42242</v>
          </cell>
          <cell r="B256" t="str">
            <v>středa</v>
          </cell>
          <cell r="D256">
            <v>0</v>
          </cell>
          <cell r="E256">
            <v>0</v>
          </cell>
        </row>
        <row r="257">
          <cell r="A257">
            <v>42243</v>
          </cell>
          <cell r="B257" t="str">
            <v>čtvrtek</v>
          </cell>
          <cell r="D257">
            <v>0</v>
          </cell>
          <cell r="E257">
            <v>0</v>
          </cell>
        </row>
        <row r="258">
          <cell r="A258">
            <v>42244</v>
          </cell>
          <cell r="B258" t="str">
            <v>pátek</v>
          </cell>
          <cell r="D258">
            <v>0</v>
          </cell>
          <cell r="E258">
            <v>0</v>
          </cell>
        </row>
        <row r="259">
          <cell r="A259">
            <v>42245</v>
          </cell>
          <cell r="B259" t="str">
            <v>sobota</v>
          </cell>
          <cell r="D259">
            <v>0</v>
          </cell>
          <cell r="E259">
            <v>0</v>
          </cell>
        </row>
        <row r="260">
          <cell r="A260">
            <v>42246</v>
          </cell>
          <cell r="B260" t="str">
            <v>neděle</v>
          </cell>
          <cell r="D260">
            <v>0</v>
          </cell>
          <cell r="E260">
            <v>0</v>
          </cell>
        </row>
        <row r="261">
          <cell r="A261">
            <v>42247</v>
          </cell>
          <cell r="B261" t="str">
            <v>pondělí</v>
          </cell>
          <cell r="D261">
            <v>0</v>
          </cell>
          <cell r="E261">
            <v>0</v>
          </cell>
        </row>
        <row r="262">
          <cell r="A262">
            <v>42248</v>
          </cell>
          <cell r="B262" t="str">
            <v>úterý</v>
          </cell>
          <cell r="D262">
            <v>0</v>
          </cell>
          <cell r="E262">
            <v>0</v>
          </cell>
        </row>
        <row r="263">
          <cell r="A263">
            <v>42249</v>
          </cell>
          <cell r="B263" t="str">
            <v>středa</v>
          </cell>
          <cell r="D263">
            <v>0</v>
          </cell>
          <cell r="E263">
            <v>0</v>
          </cell>
        </row>
        <row r="264">
          <cell r="A264">
            <v>42250</v>
          </cell>
          <cell r="B264" t="str">
            <v>čtvrtek</v>
          </cell>
          <cell r="D264">
            <v>0</v>
          </cell>
          <cell r="E264">
            <v>0</v>
          </cell>
        </row>
        <row r="265">
          <cell r="A265">
            <v>42251</v>
          </cell>
          <cell r="B265" t="str">
            <v>pátek</v>
          </cell>
          <cell r="D265">
            <v>0</v>
          </cell>
          <cell r="E265">
            <v>0</v>
          </cell>
        </row>
        <row r="266">
          <cell r="A266">
            <v>42252</v>
          </cell>
          <cell r="B266" t="str">
            <v>sobota</v>
          </cell>
          <cell r="D266">
            <v>0</v>
          </cell>
          <cell r="E266">
            <v>0</v>
          </cell>
        </row>
        <row r="267">
          <cell r="A267">
            <v>42253</v>
          </cell>
          <cell r="B267" t="str">
            <v>neděle</v>
          </cell>
          <cell r="D267">
            <v>0</v>
          </cell>
          <cell r="E267">
            <v>0</v>
          </cell>
        </row>
        <row r="268">
          <cell r="A268">
            <v>42254</v>
          </cell>
          <cell r="B268" t="str">
            <v>pondělí</v>
          </cell>
          <cell r="D268">
            <v>0</v>
          </cell>
          <cell r="E268">
            <v>0</v>
          </cell>
        </row>
        <row r="269">
          <cell r="A269">
            <v>42255</v>
          </cell>
          <cell r="B269" t="str">
            <v>úterý</v>
          </cell>
          <cell r="D269">
            <v>0</v>
          </cell>
          <cell r="E269">
            <v>0</v>
          </cell>
        </row>
        <row r="270">
          <cell r="A270">
            <v>42256</v>
          </cell>
          <cell r="B270" t="str">
            <v>středa</v>
          </cell>
          <cell r="D270">
            <v>0</v>
          </cell>
          <cell r="E270">
            <v>0</v>
          </cell>
        </row>
        <row r="271">
          <cell r="A271">
            <v>42257</v>
          </cell>
          <cell r="B271" t="str">
            <v>čtvrtek</v>
          </cell>
          <cell r="D271">
            <v>0</v>
          </cell>
          <cell r="E271">
            <v>0</v>
          </cell>
        </row>
        <row r="272">
          <cell r="A272">
            <v>42258</v>
          </cell>
          <cell r="B272" t="str">
            <v>pátek</v>
          </cell>
          <cell r="D272">
            <v>0</v>
          </cell>
          <cell r="E272">
            <v>0</v>
          </cell>
        </row>
        <row r="273">
          <cell r="A273">
            <v>42259</v>
          </cell>
          <cell r="B273" t="str">
            <v>sobota</v>
          </cell>
          <cell r="D273">
            <v>0</v>
          </cell>
          <cell r="E273">
            <v>0</v>
          </cell>
        </row>
        <row r="274">
          <cell r="A274">
            <v>42260</v>
          </cell>
          <cell r="B274" t="str">
            <v>neděle</v>
          </cell>
          <cell r="D274">
            <v>0</v>
          </cell>
          <cell r="E274">
            <v>0</v>
          </cell>
        </row>
        <row r="275">
          <cell r="A275">
            <v>42261</v>
          </cell>
          <cell r="B275" t="str">
            <v>pondělí</v>
          </cell>
          <cell r="D275">
            <v>0</v>
          </cell>
          <cell r="E275">
            <v>0</v>
          </cell>
        </row>
        <row r="276">
          <cell r="A276">
            <v>42262</v>
          </cell>
          <cell r="B276" t="str">
            <v>úterý</v>
          </cell>
          <cell r="D276">
            <v>0</v>
          </cell>
          <cell r="E276">
            <v>0</v>
          </cell>
        </row>
        <row r="277">
          <cell r="A277">
            <v>42263</v>
          </cell>
          <cell r="B277" t="str">
            <v>středa</v>
          </cell>
          <cell r="D277">
            <v>0</v>
          </cell>
          <cell r="E277">
            <v>0</v>
          </cell>
        </row>
        <row r="278">
          <cell r="A278">
            <v>42264</v>
          </cell>
          <cell r="B278" t="str">
            <v>čtvrtek</v>
          </cell>
          <cell r="D278">
            <v>0</v>
          </cell>
          <cell r="E278">
            <v>0</v>
          </cell>
        </row>
        <row r="279">
          <cell r="A279">
            <v>42265</v>
          </cell>
          <cell r="B279" t="str">
            <v>pátek</v>
          </cell>
          <cell r="D279">
            <v>0</v>
          </cell>
          <cell r="E279">
            <v>0</v>
          </cell>
        </row>
        <row r="280">
          <cell r="A280">
            <v>42266</v>
          </cell>
          <cell r="B280" t="str">
            <v>sobota</v>
          </cell>
          <cell r="D280">
            <v>0</v>
          </cell>
          <cell r="E280">
            <v>0</v>
          </cell>
        </row>
        <row r="281">
          <cell r="A281">
            <v>42267</v>
          </cell>
          <cell r="B281" t="str">
            <v>neděle</v>
          </cell>
          <cell r="D281">
            <v>0</v>
          </cell>
          <cell r="E281">
            <v>0</v>
          </cell>
        </row>
        <row r="282">
          <cell r="A282">
            <v>42268</v>
          </cell>
          <cell r="B282" t="str">
            <v>pondělí</v>
          </cell>
          <cell r="D282">
            <v>0</v>
          </cell>
          <cell r="E282">
            <v>0</v>
          </cell>
        </row>
        <row r="283">
          <cell r="A283">
            <v>42269</v>
          </cell>
          <cell r="B283" t="str">
            <v>úterý</v>
          </cell>
          <cell r="D283">
            <v>0</v>
          </cell>
          <cell r="E283">
            <v>0</v>
          </cell>
        </row>
        <row r="284">
          <cell r="A284">
            <v>42270</v>
          </cell>
          <cell r="B284" t="str">
            <v>středa</v>
          </cell>
          <cell r="D284">
            <v>0</v>
          </cell>
          <cell r="E284">
            <v>0</v>
          </cell>
        </row>
        <row r="285">
          <cell r="A285">
            <v>42271</v>
          </cell>
          <cell r="B285" t="str">
            <v>čtvrtek</v>
          </cell>
          <cell r="D285">
            <v>0</v>
          </cell>
          <cell r="E285">
            <v>0</v>
          </cell>
        </row>
        <row r="286">
          <cell r="A286">
            <v>42272</v>
          </cell>
          <cell r="B286" t="str">
            <v>pátek</v>
          </cell>
          <cell r="D286">
            <v>0</v>
          </cell>
          <cell r="E286">
            <v>0</v>
          </cell>
        </row>
        <row r="287">
          <cell r="A287">
            <v>42273</v>
          </cell>
          <cell r="B287" t="str">
            <v>sobota</v>
          </cell>
          <cell r="D287">
            <v>0</v>
          </cell>
          <cell r="E287">
            <v>0</v>
          </cell>
        </row>
        <row r="288">
          <cell r="A288">
            <v>42274</v>
          </cell>
          <cell r="B288" t="str">
            <v>neděle</v>
          </cell>
          <cell r="D288">
            <v>0</v>
          </cell>
          <cell r="E288">
            <v>0</v>
          </cell>
        </row>
        <row r="289">
          <cell r="A289">
            <v>42275</v>
          </cell>
          <cell r="B289" t="str">
            <v>pondělí</v>
          </cell>
          <cell r="D289">
            <v>0</v>
          </cell>
          <cell r="E289">
            <v>0</v>
          </cell>
        </row>
        <row r="290">
          <cell r="A290">
            <v>42276</v>
          </cell>
          <cell r="B290" t="str">
            <v>úterý</v>
          </cell>
          <cell r="D290">
            <v>0</v>
          </cell>
          <cell r="E290">
            <v>0</v>
          </cell>
        </row>
        <row r="291">
          <cell r="A291">
            <v>42277</v>
          </cell>
          <cell r="B291" t="str">
            <v>středa</v>
          </cell>
          <cell r="D291">
            <v>0</v>
          </cell>
          <cell r="E291">
            <v>0</v>
          </cell>
        </row>
        <row r="292">
          <cell r="A292">
            <v>42278</v>
          </cell>
          <cell r="B292" t="str">
            <v>čtvrtek</v>
          </cell>
          <cell r="D292">
            <v>0</v>
          </cell>
          <cell r="E292">
            <v>0</v>
          </cell>
        </row>
        <row r="293">
          <cell r="A293">
            <v>42279</v>
          </cell>
          <cell r="B293" t="str">
            <v>pátek</v>
          </cell>
          <cell r="D293">
            <v>0</v>
          </cell>
          <cell r="E293">
            <v>0</v>
          </cell>
        </row>
        <row r="294">
          <cell r="A294">
            <v>42280</v>
          </cell>
          <cell r="B294" t="str">
            <v>sobota</v>
          </cell>
          <cell r="D294">
            <v>0</v>
          </cell>
          <cell r="E294">
            <v>0</v>
          </cell>
        </row>
        <row r="295">
          <cell r="A295">
            <v>42281</v>
          </cell>
          <cell r="B295" t="str">
            <v>neděle</v>
          </cell>
          <cell r="D295">
            <v>0</v>
          </cell>
          <cell r="E295">
            <v>0</v>
          </cell>
        </row>
        <row r="296">
          <cell r="A296">
            <v>42282</v>
          </cell>
          <cell r="B296" t="str">
            <v>pondělí</v>
          </cell>
          <cell r="D296">
            <v>0</v>
          </cell>
          <cell r="E296">
            <v>0</v>
          </cell>
        </row>
        <row r="297">
          <cell r="A297">
            <v>42283</v>
          </cell>
          <cell r="B297" t="str">
            <v>úterý</v>
          </cell>
          <cell r="D297">
            <v>0</v>
          </cell>
          <cell r="E297">
            <v>0</v>
          </cell>
        </row>
        <row r="298">
          <cell r="A298">
            <v>42284</v>
          </cell>
          <cell r="B298" t="str">
            <v>středa</v>
          </cell>
          <cell r="D298">
            <v>0</v>
          </cell>
          <cell r="E298">
            <v>0</v>
          </cell>
        </row>
        <row r="299">
          <cell r="A299">
            <v>42285</v>
          </cell>
          <cell r="B299" t="str">
            <v>čtvrtek</v>
          </cell>
          <cell r="D299">
            <v>0</v>
          </cell>
          <cell r="E299">
            <v>0</v>
          </cell>
        </row>
        <row r="300">
          <cell r="A300">
            <v>42286</v>
          </cell>
          <cell r="B300" t="str">
            <v>pátek</v>
          </cell>
          <cell r="D300">
            <v>0</v>
          </cell>
          <cell r="E300">
            <v>0</v>
          </cell>
        </row>
        <row r="301">
          <cell r="A301">
            <v>42287</v>
          </cell>
          <cell r="B301" t="str">
            <v>sobota</v>
          </cell>
          <cell r="D301">
            <v>0</v>
          </cell>
          <cell r="E301">
            <v>0</v>
          </cell>
        </row>
        <row r="302">
          <cell r="A302">
            <v>42288</v>
          </cell>
          <cell r="B302" t="str">
            <v>neděle</v>
          </cell>
          <cell r="D302">
            <v>0</v>
          </cell>
          <cell r="E302">
            <v>0</v>
          </cell>
        </row>
        <row r="303">
          <cell r="A303">
            <v>42289</v>
          </cell>
          <cell r="B303" t="str">
            <v>pondělí</v>
          </cell>
          <cell r="D303">
            <v>0</v>
          </cell>
          <cell r="E303">
            <v>0</v>
          </cell>
        </row>
        <row r="304">
          <cell r="A304">
            <v>42290</v>
          </cell>
          <cell r="B304" t="str">
            <v>úterý</v>
          </cell>
          <cell r="D304">
            <v>0</v>
          </cell>
          <cell r="E304">
            <v>0</v>
          </cell>
        </row>
        <row r="305">
          <cell r="A305">
            <v>42291</v>
          </cell>
          <cell r="B305" t="str">
            <v>středa</v>
          </cell>
          <cell r="D305">
            <v>0</v>
          </cell>
          <cell r="E305">
            <v>0</v>
          </cell>
        </row>
        <row r="306">
          <cell r="A306">
            <v>42292</v>
          </cell>
          <cell r="B306" t="str">
            <v>čtvrtek</v>
          </cell>
          <cell r="D306">
            <v>0</v>
          </cell>
          <cell r="E306">
            <v>0</v>
          </cell>
        </row>
        <row r="307">
          <cell r="A307">
            <v>42293</v>
          </cell>
          <cell r="B307" t="str">
            <v>pátek</v>
          </cell>
          <cell r="D307">
            <v>0</v>
          </cell>
          <cell r="E307">
            <v>0</v>
          </cell>
        </row>
        <row r="308">
          <cell r="A308">
            <v>42294</v>
          </cell>
          <cell r="B308" t="str">
            <v>sobota</v>
          </cell>
          <cell r="D308">
            <v>0</v>
          </cell>
          <cell r="E308">
            <v>0</v>
          </cell>
        </row>
        <row r="309">
          <cell r="A309">
            <v>42295</v>
          </cell>
          <cell r="B309" t="str">
            <v>neděle</v>
          </cell>
          <cell r="D309">
            <v>0</v>
          </cell>
          <cell r="E309">
            <v>0</v>
          </cell>
        </row>
        <row r="310">
          <cell r="A310">
            <v>42296</v>
          </cell>
          <cell r="B310" t="str">
            <v>pondělí</v>
          </cell>
          <cell r="D310">
            <v>0</v>
          </cell>
          <cell r="E310">
            <v>0</v>
          </cell>
        </row>
        <row r="311">
          <cell r="A311">
            <v>42297</v>
          </cell>
          <cell r="B311" t="str">
            <v>úterý</v>
          </cell>
          <cell r="D311">
            <v>0</v>
          </cell>
          <cell r="E311">
            <v>0</v>
          </cell>
        </row>
        <row r="312">
          <cell r="A312">
            <v>42298</v>
          </cell>
          <cell r="B312" t="str">
            <v>středa</v>
          </cell>
          <cell r="D312">
            <v>0</v>
          </cell>
          <cell r="E312">
            <v>0</v>
          </cell>
        </row>
        <row r="313">
          <cell r="A313">
            <v>42299</v>
          </cell>
          <cell r="B313" t="str">
            <v>čtvrtek</v>
          </cell>
          <cell r="D313">
            <v>0</v>
          </cell>
          <cell r="E313">
            <v>0</v>
          </cell>
        </row>
        <row r="314">
          <cell r="A314">
            <v>42300</v>
          </cell>
          <cell r="B314" t="str">
            <v>pátek</v>
          </cell>
          <cell r="D314">
            <v>0</v>
          </cell>
          <cell r="E314">
            <v>0</v>
          </cell>
        </row>
        <row r="315">
          <cell r="A315">
            <v>42301</v>
          </cell>
          <cell r="B315" t="str">
            <v>sobota</v>
          </cell>
          <cell r="D315">
            <v>0</v>
          </cell>
          <cell r="E315">
            <v>0</v>
          </cell>
        </row>
        <row r="316">
          <cell r="A316">
            <v>42302</v>
          </cell>
          <cell r="B316" t="str">
            <v>neděle</v>
          </cell>
          <cell r="D316">
            <v>0</v>
          </cell>
          <cell r="E316">
            <v>0</v>
          </cell>
        </row>
        <row r="317">
          <cell r="A317">
            <v>42303</v>
          </cell>
          <cell r="B317" t="str">
            <v>pondělí</v>
          </cell>
          <cell r="D317">
            <v>0</v>
          </cell>
          <cell r="E317">
            <v>0</v>
          </cell>
        </row>
        <row r="318">
          <cell r="A318">
            <v>42304</v>
          </cell>
          <cell r="B318" t="str">
            <v>úterý</v>
          </cell>
          <cell r="D318">
            <v>0</v>
          </cell>
          <cell r="E318">
            <v>0</v>
          </cell>
        </row>
        <row r="319">
          <cell r="A319">
            <v>42305</v>
          </cell>
          <cell r="B319" t="str">
            <v>středa</v>
          </cell>
          <cell r="D319">
            <v>0</v>
          </cell>
          <cell r="E319">
            <v>0</v>
          </cell>
        </row>
        <row r="320">
          <cell r="A320">
            <v>42306</v>
          </cell>
          <cell r="B320" t="str">
            <v>čtvrtek</v>
          </cell>
          <cell r="D320">
            <v>0</v>
          </cell>
          <cell r="E320">
            <v>0</v>
          </cell>
        </row>
        <row r="321">
          <cell r="A321">
            <v>42307</v>
          </cell>
          <cell r="B321" t="str">
            <v>pátek</v>
          </cell>
          <cell r="D321">
            <v>0</v>
          </cell>
          <cell r="E321">
            <v>0</v>
          </cell>
        </row>
        <row r="322">
          <cell r="A322">
            <v>42308</v>
          </cell>
          <cell r="B322" t="str">
            <v>sobota</v>
          </cell>
          <cell r="D322">
            <v>0</v>
          </cell>
          <cell r="E322">
            <v>0</v>
          </cell>
        </row>
        <row r="323">
          <cell r="A323">
            <v>42309</v>
          </cell>
          <cell r="B323" t="str">
            <v>neděle</v>
          </cell>
          <cell r="D323">
            <v>0</v>
          </cell>
          <cell r="E323">
            <v>0</v>
          </cell>
        </row>
        <row r="324">
          <cell r="A324">
            <v>42310</v>
          </cell>
          <cell r="B324" t="str">
            <v>pondělí</v>
          </cell>
          <cell r="D324">
            <v>0</v>
          </cell>
          <cell r="E324">
            <v>0</v>
          </cell>
        </row>
        <row r="325">
          <cell r="A325">
            <v>42311</v>
          </cell>
          <cell r="B325" t="str">
            <v>úterý</v>
          </cell>
          <cell r="D325">
            <v>0</v>
          </cell>
          <cell r="E325">
            <v>0</v>
          </cell>
        </row>
        <row r="326">
          <cell r="A326">
            <v>42312</v>
          </cell>
          <cell r="B326" t="str">
            <v>středa</v>
          </cell>
          <cell r="D326">
            <v>0</v>
          </cell>
          <cell r="E326">
            <v>0</v>
          </cell>
        </row>
        <row r="327">
          <cell r="A327">
            <v>42313</v>
          </cell>
          <cell r="B327" t="str">
            <v>čtvrtek</v>
          </cell>
          <cell r="D327">
            <v>0</v>
          </cell>
          <cell r="E327">
            <v>0</v>
          </cell>
        </row>
        <row r="328">
          <cell r="A328">
            <v>42314</v>
          </cell>
          <cell r="B328" t="str">
            <v>pátek</v>
          </cell>
          <cell r="D328">
            <v>0</v>
          </cell>
          <cell r="E328">
            <v>0</v>
          </cell>
        </row>
        <row r="329">
          <cell r="A329">
            <v>42315</v>
          </cell>
          <cell r="B329" t="str">
            <v>sobota</v>
          </cell>
          <cell r="D329">
            <v>0</v>
          </cell>
          <cell r="E329">
            <v>0</v>
          </cell>
        </row>
        <row r="330">
          <cell r="A330">
            <v>42316</v>
          </cell>
          <cell r="B330" t="str">
            <v>neděle</v>
          </cell>
          <cell r="D330">
            <v>0</v>
          </cell>
          <cell r="E330">
            <v>0</v>
          </cell>
        </row>
        <row r="331">
          <cell r="A331">
            <v>42317</v>
          </cell>
          <cell r="B331" t="str">
            <v>pondělí</v>
          </cell>
          <cell r="D331">
            <v>0</v>
          </cell>
          <cell r="E331">
            <v>0</v>
          </cell>
        </row>
        <row r="332">
          <cell r="A332">
            <v>42318</v>
          </cell>
          <cell r="B332" t="str">
            <v>úterý</v>
          </cell>
          <cell r="D332">
            <v>0</v>
          </cell>
          <cell r="E332">
            <v>0</v>
          </cell>
        </row>
        <row r="333">
          <cell r="A333">
            <v>42319</v>
          </cell>
          <cell r="B333" t="str">
            <v>středa</v>
          </cell>
          <cell r="D333">
            <v>0</v>
          </cell>
          <cell r="E333">
            <v>0</v>
          </cell>
        </row>
        <row r="334">
          <cell r="A334">
            <v>42320</v>
          </cell>
          <cell r="B334" t="str">
            <v>čtvrtek</v>
          </cell>
          <cell r="D334">
            <v>0</v>
          </cell>
          <cell r="E334">
            <v>0</v>
          </cell>
        </row>
        <row r="335">
          <cell r="A335">
            <v>42321</v>
          </cell>
          <cell r="B335" t="str">
            <v>pátek</v>
          </cell>
          <cell r="D335">
            <v>0</v>
          </cell>
          <cell r="E335">
            <v>0</v>
          </cell>
        </row>
        <row r="336">
          <cell r="A336">
            <v>42322</v>
          </cell>
          <cell r="B336" t="str">
            <v>sobota</v>
          </cell>
          <cell r="D336">
            <v>0</v>
          </cell>
          <cell r="E336">
            <v>0</v>
          </cell>
        </row>
        <row r="337">
          <cell r="A337">
            <v>42323</v>
          </cell>
          <cell r="B337" t="str">
            <v>neděle</v>
          </cell>
          <cell r="D337">
            <v>0</v>
          </cell>
          <cell r="E337">
            <v>0</v>
          </cell>
        </row>
        <row r="338">
          <cell r="A338">
            <v>42324</v>
          </cell>
          <cell r="B338" t="str">
            <v>pondělí</v>
          </cell>
          <cell r="D338">
            <v>0</v>
          </cell>
          <cell r="E338">
            <v>0</v>
          </cell>
        </row>
        <row r="339">
          <cell r="A339">
            <v>42325</v>
          </cell>
          <cell r="B339" t="str">
            <v>úterý</v>
          </cell>
          <cell r="D339">
            <v>0</v>
          </cell>
          <cell r="E339">
            <v>0</v>
          </cell>
        </row>
        <row r="340">
          <cell r="A340">
            <v>42326</v>
          </cell>
          <cell r="B340" t="str">
            <v>středa</v>
          </cell>
          <cell r="D340">
            <v>0</v>
          </cell>
          <cell r="E340">
            <v>0</v>
          </cell>
        </row>
        <row r="341">
          <cell r="A341">
            <v>42327</v>
          </cell>
          <cell r="B341" t="str">
            <v>čtvrtek</v>
          </cell>
          <cell r="D341">
            <v>0</v>
          </cell>
          <cell r="E341">
            <v>0</v>
          </cell>
        </row>
        <row r="342">
          <cell r="A342">
            <v>42328</v>
          </cell>
          <cell r="B342" t="str">
            <v>pátek</v>
          </cell>
          <cell r="D342">
            <v>0</v>
          </cell>
          <cell r="E342">
            <v>0</v>
          </cell>
        </row>
        <row r="343">
          <cell r="A343">
            <v>42329</v>
          </cell>
          <cell r="B343" t="str">
            <v>sobota</v>
          </cell>
          <cell r="D343">
            <v>0</v>
          </cell>
          <cell r="E343">
            <v>0</v>
          </cell>
        </row>
        <row r="344">
          <cell r="A344">
            <v>42330</v>
          </cell>
          <cell r="B344" t="str">
            <v>neděle</v>
          </cell>
          <cell r="D344">
            <v>0</v>
          </cell>
          <cell r="E344">
            <v>0</v>
          </cell>
        </row>
        <row r="345">
          <cell r="A345">
            <v>42331</v>
          </cell>
          <cell r="B345" t="str">
            <v>pondělí</v>
          </cell>
          <cell r="D345">
            <v>0</v>
          </cell>
          <cell r="E345">
            <v>0</v>
          </cell>
        </row>
        <row r="346">
          <cell r="A346">
            <v>42332</v>
          </cell>
          <cell r="B346" t="str">
            <v>úterý</v>
          </cell>
          <cell r="D346">
            <v>0</v>
          </cell>
          <cell r="E346">
            <v>0</v>
          </cell>
        </row>
        <row r="347">
          <cell r="A347">
            <v>42333</v>
          </cell>
          <cell r="B347" t="str">
            <v>středa</v>
          </cell>
          <cell r="D347">
            <v>0</v>
          </cell>
          <cell r="E347">
            <v>0</v>
          </cell>
        </row>
        <row r="348">
          <cell r="A348">
            <v>42334</v>
          </cell>
          <cell r="B348" t="str">
            <v>čtvrtek</v>
          </cell>
          <cell r="D348">
            <v>0</v>
          </cell>
          <cell r="E348">
            <v>0</v>
          </cell>
        </row>
        <row r="349">
          <cell r="A349">
            <v>42335</v>
          </cell>
          <cell r="B349" t="str">
            <v>pátek</v>
          </cell>
          <cell r="D349">
            <v>0</v>
          </cell>
          <cell r="E349">
            <v>0</v>
          </cell>
        </row>
        <row r="350">
          <cell r="A350">
            <v>42336</v>
          </cell>
          <cell r="B350" t="str">
            <v>sobota</v>
          </cell>
          <cell r="D350">
            <v>0</v>
          </cell>
          <cell r="E350">
            <v>0</v>
          </cell>
        </row>
        <row r="351">
          <cell r="A351">
            <v>42337</v>
          </cell>
          <cell r="B351" t="str">
            <v>neděle</v>
          </cell>
          <cell r="D351">
            <v>0</v>
          </cell>
          <cell r="E351">
            <v>0</v>
          </cell>
        </row>
        <row r="352">
          <cell r="A352">
            <v>42338</v>
          </cell>
          <cell r="B352" t="str">
            <v>pondělí</v>
          </cell>
          <cell r="D352">
            <v>0</v>
          </cell>
          <cell r="E352">
            <v>0</v>
          </cell>
        </row>
        <row r="353">
          <cell r="A353">
            <v>42339</v>
          </cell>
          <cell r="B353" t="str">
            <v>úterý</v>
          </cell>
          <cell r="D353">
            <v>0</v>
          </cell>
          <cell r="E353">
            <v>0</v>
          </cell>
        </row>
        <row r="354">
          <cell r="A354">
            <v>42340</v>
          </cell>
          <cell r="B354" t="str">
            <v>středa</v>
          </cell>
          <cell r="D354">
            <v>0</v>
          </cell>
          <cell r="E354">
            <v>0</v>
          </cell>
        </row>
        <row r="355">
          <cell r="A355">
            <v>42341</v>
          </cell>
          <cell r="B355" t="str">
            <v>čtvrtek</v>
          </cell>
          <cell r="D355">
            <v>0</v>
          </cell>
          <cell r="E355">
            <v>0</v>
          </cell>
        </row>
        <row r="356">
          <cell r="A356">
            <v>42342</v>
          </cell>
          <cell r="B356" t="str">
            <v>pátek</v>
          </cell>
          <cell r="D356">
            <v>0</v>
          </cell>
          <cell r="E356">
            <v>0</v>
          </cell>
        </row>
        <row r="357">
          <cell r="A357">
            <v>42343</v>
          </cell>
          <cell r="B357" t="str">
            <v>sobota</v>
          </cell>
          <cell r="D357">
            <v>0</v>
          </cell>
          <cell r="E357">
            <v>0</v>
          </cell>
        </row>
        <row r="358">
          <cell r="A358">
            <v>42344</v>
          </cell>
          <cell r="B358" t="str">
            <v>neděle</v>
          </cell>
          <cell r="D358">
            <v>0</v>
          </cell>
          <cell r="E358">
            <v>0</v>
          </cell>
        </row>
        <row r="359">
          <cell r="A359">
            <v>42345</v>
          </cell>
          <cell r="B359" t="str">
            <v>pondělí</v>
          </cell>
          <cell r="D359">
            <v>0</v>
          </cell>
          <cell r="E359">
            <v>0</v>
          </cell>
        </row>
        <row r="360">
          <cell r="A360">
            <v>42346</v>
          </cell>
          <cell r="B360" t="str">
            <v>úterý</v>
          </cell>
          <cell r="D360">
            <v>0</v>
          </cell>
          <cell r="E360">
            <v>0</v>
          </cell>
        </row>
        <row r="361">
          <cell r="A361">
            <v>42347</v>
          </cell>
          <cell r="B361" t="str">
            <v>středa</v>
          </cell>
          <cell r="D361">
            <v>0</v>
          </cell>
          <cell r="E361">
            <v>0</v>
          </cell>
        </row>
        <row r="362">
          <cell r="A362">
            <v>42348</v>
          </cell>
          <cell r="B362" t="str">
            <v>čtvrtek</v>
          </cell>
          <cell r="D362">
            <v>0</v>
          </cell>
          <cell r="E362">
            <v>0</v>
          </cell>
        </row>
        <row r="363">
          <cell r="A363">
            <v>42349</v>
          </cell>
          <cell r="B363" t="str">
            <v>pátek</v>
          </cell>
          <cell r="D363">
            <v>0</v>
          </cell>
          <cell r="E363">
            <v>0</v>
          </cell>
        </row>
        <row r="364">
          <cell r="A364">
            <v>42350</v>
          </cell>
          <cell r="B364" t="str">
            <v>sobota</v>
          </cell>
          <cell r="D364">
            <v>0</v>
          </cell>
          <cell r="E364">
            <v>0</v>
          </cell>
        </row>
        <row r="365">
          <cell r="A365">
            <v>42351</v>
          </cell>
          <cell r="B365" t="str">
            <v>neděle</v>
          </cell>
          <cell r="D365">
            <v>0</v>
          </cell>
          <cell r="E365">
            <v>0</v>
          </cell>
        </row>
        <row r="366">
          <cell r="A366">
            <v>42352</v>
          </cell>
          <cell r="B366" t="str">
            <v>pondělí</v>
          </cell>
          <cell r="D366">
            <v>0</v>
          </cell>
          <cell r="E366">
            <v>0</v>
          </cell>
        </row>
        <row r="367">
          <cell r="A367">
            <v>42353</v>
          </cell>
          <cell r="B367" t="str">
            <v>úterý</v>
          </cell>
          <cell r="D367">
            <v>0</v>
          </cell>
          <cell r="E367">
            <v>0</v>
          </cell>
        </row>
        <row r="368">
          <cell r="A368">
            <v>42354</v>
          </cell>
          <cell r="B368" t="str">
            <v>středa</v>
          </cell>
          <cell r="D368">
            <v>0</v>
          </cell>
          <cell r="E368">
            <v>0</v>
          </cell>
        </row>
        <row r="369">
          <cell r="A369">
            <v>42355</v>
          </cell>
          <cell r="B369" t="str">
            <v>čtvrtek</v>
          </cell>
          <cell r="D369">
            <v>0</v>
          </cell>
          <cell r="E369">
            <v>0</v>
          </cell>
        </row>
        <row r="370">
          <cell r="A370">
            <v>42356</v>
          </cell>
          <cell r="B370" t="str">
            <v>pátek</v>
          </cell>
          <cell r="D370">
            <v>0</v>
          </cell>
          <cell r="E370">
            <v>0</v>
          </cell>
        </row>
        <row r="371">
          <cell r="A371">
            <v>42357</v>
          </cell>
          <cell r="B371" t="str">
            <v>sobota</v>
          </cell>
          <cell r="D371">
            <v>0</v>
          </cell>
          <cell r="E371">
            <v>0</v>
          </cell>
        </row>
        <row r="372">
          <cell r="A372">
            <v>42358</v>
          </cell>
          <cell r="B372" t="str">
            <v>neděle</v>
          </cell>
          <cell r="D372">
            <v>0</v>
          </cell>
          <cell r="E372">
            <v>0</v>
          </cell>
        </row>
        <row r="373">
          <cell r="A373">
            <v>42359</v>
          </cell>
          <cell r="B373" t="str">
            <v>pondělí</v>
          </cell>
          <cell r="D373">
            <v>0</v>
          </cell>
          <cell r="E373">
            <v>0</v>
          </cell>
        </row>
        <row r="374">
          <cell r="A374">
            <v>42360</v>
          </cell>
          <cell r="B374" t="str">
            <v>úterý</v>
          </cell>
          <cell r="D374">
            <v>0</v>
          </cell>
          <cell r="E374">
            <v>0</v>
          </cell>
        </row>
        <row r="375">
          <cell r="A375">
            <v>42361</v>
          </cell>
          <cell r="B375" t="str">
            <v>středa</v>
          </cell>
          <cell r="D375">
            <v>0</v>
          </cell>
          <cell r="E375">
            <v>0</v>
          </cell>
        </row>
        <row r="376">
          <cell r="A376">
            <v>42362</v>
          </cell>
          <cell r="B376" t="str">
            <v>čtvrtek</v>
          </cell>
          <cell r="D376">
            <v>0</v>
          </cell>
          <cell r="E376">
            <v>0</v>
          </cell>
        </row>
        <row r="377">
          <cell r="A377">
            <v>42363</v>
          </cell>
          <cell r="B377" t="str">
            <v>pátek</v>
          </cell>
          <cell r="D377">
            <v>0</v>
          </cell>
          <cell r="E377">
            <v>0</v>
          </cell>
        </row>
        <row r="378">
          <cell r="A378">
            <v>42364</v>
          </cell>
          <cell r="B378" t="str">
            <v>sobota</v>
          </cell>
          <cell r="D378">
            <v>0</v>
          </cell>
          <cell r="E378">
            <v>0</v>
          </cell>
        </row>
        <row r="379">
          <cell r="A379">
            <v>42365</v>
          </cell>
          <cell r="B379" t="str">
            <v>neděle</v>
          </cell>
          <cell r="D379">
            <v>0</v>
          </cell>
          <cell r="E379">
            <v>0</v>
          </cell>
        </row>
        <row r="380">
          <cell r="A380">
            <v>42366</v>
          </cell>
          <cell r="B380" t="str">
            <v>pondělí</v>
          </cell>
          <cell r="D380">
            <v>0</v>
          </cell>
          <cell r="E380">
            <v>0</v>
          </cell>
        </row>
        <row r="381">
          <cell r="A381">
            <v>42367</v>
          </cell>
          <cell r="B381" t="str">
            <v>úterý</v>
          </cell>
          <cell r="D381">
            <v>0</v>
          </cell>
          <cell r="E381">
            <v>0</v>
          </cell>
        </row>
        <row r="382">
          <cell r="A382">
            <v>42368</v>
          </cell>
          <cell r="B382" t="str">
            <v>středa</v>
          </cell>
          <cell r="D382">
            <v>0</v>
          </cell>
          <cell r="E382">
            <v>0</v>
          </cell>
        </row>
        <row r="383">
          <cell r="A383">
            <v>42369</v>
          </cell>
          <cell r="B383" t="str">
            <v>čtvrtek</v>
          </cell>
          <cell r="D383">
            <v>0</v>
          </cell>
          <cell r="E383">
            <v>0</v>
          </cell>
        </row>
      </sheetData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D2">
            <v>1</v>
          </cell>
          <cell r="E2">
            <v>2</v>
          </cell>
          <cell r="F2">
            <v>3</v>
          </cell>
          <cell r="G2">
            <v>4</v>
          </cell>
          <cell r="H2">
            <v>5</v>
          </cell>
          <cell r="I2">
            <v>6</v>
          </cell>
          <cell r="J2">
            <v>7</v>
          </cell>
          <cell r="K2">
            <v>8</v>
          </cell>
          <cell r="L2">
            <v>9</v>
          </cell>
          <cell r="M2">
            <v>10</v>
          </cell>
          <cell r="N2">
            <v>11</v>
          </cell>
          <cell r="O2">
            <v>12</v>
          </cell>
          <cell r="P2">
            <v>12</v>
          </cell>
          <cell r="R2">
            <v>42005</v>
          </cell>
          <cell r="S2">
            <v>34.064890044007484</v>
          </cell>
        </row>
        <row r="3">
          <cell r="R3">
            <v>42006</v>
          </cell>
          <cell r="S3">
            <v>34.422167061021369</v>
          </cell>
        </row>
        <row r="4">
          <cell r="D4">
            <v>34.88002079711061</v>
          </cell>
          <cell r="E4">
            <v>35.352388987403877</v>
          </cell>
          <cell r="F4">
            <v>27.920403884227461</v>
          </cell>
          <cell r="G4">
            <v>20.760285538130443</v>
          </cell>
          <cell r="H4">
            <v>13.085252567457902</v>
          </cell>
          <cell r="I4">
            <v>10.333333333333334</v>
          </cell>
          <cell r="J4">
            <v>9.3548387096774182</v>
          </cell>
          <cell r="K4">
            <v>9.3548387096774182</v>
          </cell>
          <cell r="L4">
            <v>12.66666666666667</v>
          </cell>
          <cell r="M4">
            <v>20.96774193548389</v>
          </cell>
          <cell r="N4">
            <v>30.666666666666654</v>
          </cell>
          <cell r="O4">
            <v>34.838709677419359</v>
          </cell>
          <cell r="R4">
            <v>42007</v>
          </cell>
          <cell r="S4">
            <v>32.964357257632088</v>
          </cell>
        </row>
        <row r="5">
          <cell r="D5">
            <v>370.73412690967734</v>
          </cell>
          <cell r="E5">
            <v>375.90719064285713</v>
          </cell>
          <cell r="F5">
            <v>296.83556915483865</v>
          </cell>
          <cell r="G5">
            <v>220.87029000666678</v>
          </cell>
          <cell r="H5">
            <v>138.7036772150538</v>
          </cell>
          <cell r="I5">
            <v>109.66666666666661</v>
          </cell>
          <cell r="J5">
            <v>99.354838709677452</v>
          </cell>
          <cell r="K5">
            <v>99.354838709677452</v>
          </cell>
          <cell r="L5">
            <v>134.6666666666666</v>
          </cell>
          <cell r="M5">
            <v>222.58064516129045</v>
          </cell>
          <cell r="N5">
            <v>325.66666666666663</v>
          </cell>
          <cell r="O5">
            <v>370</v>
          </cell>
          <cell r="R5">
            <v>42008</v>
          </cell>
          <cell r="S5">
            <v>34.923265193104555</v>
          </cell>
        </row>
        <row r="6">
          <cell r="D6">
            <v>0.91219251430331394</v>
          </cell>
          <cell r="E6">
            <v>1.3110234890123738</v>
          </cell>
          <cell r="F6">
            <v>1.1251568759219512</v>
          </cell>
          <cell r="G6">
            <v>1.2859358325557315</v>
          </cell>
          <cell r="H6">
            <v>0.26915816694990341</v>
          </cell>
          <cell r="I6">
            <v>0.25</v>
          </cell>
          <cell r="J6">
            <v>0.12</v>
          </cell>
          <cell r="K6">
            <v>0.15</v>
          </cell>
          <cell r="L6">
            <v>0.81</v>
          </cell>
          <cell r="M6">
            <v>1.05</v>
          </cell>
          <cell r="N6">
            <v>1.41</v>
          </cell>
          <cell r="O6">
            <v>1.48</v>
          </cell>
          <cell r="R6">
            <v>42009</v>
          </cell>
          <cell r="S6">
            <v>38.71826912537675</v>
          </cell>
        </row>
        <row r="7">
          <cell r="D7">
            <v>9.6955474118236964</v>
          </cell>
          <cell r="E7">
            <v>13.940307026974384</v>
          </cell>
          <cell r="F7">
            <v>11.962097075588696</v>
          </cell>
          <cell r="G7">
            <v>13.681171183550427</v>
          </cell>
          <cell r="H7">
            <v>2.853076569668977</v>
          </cell>
          <cell r="I7">
            <v>2.6532258064516117</v>
          </cell>
          <cell r="J7">
            <v>1.2744827586206902</v>
          </cell>
          <cell r="K7">
            <v>1.5931034482758626</v>
          </cell>
          <cell r="L7">
            <v>8.6115789473684146</v>
          </cell>
          <cell r="M7">
            <v>11.146153846153842</v>
          </cell>
          <cell r="N7">
            <v>14.973586956521745</v>
          </cell>
          <cell r="O7">
            <v>15.718148148148146</v>
          </cell>
          <cell r="R7">
            <v>42010</v>
          </cell>
          <cell r="S7">
            <v>39.255939835613098</v>
          </cell>
        </row>
        <row r="8">
          <cell r="R8">
            <v>42011</v>
          </cell>
          <cell r="S8">
            <v>41.345389040398715</v>
          </cell>
        </row>
        <row r="9">
          <cell r="R9">
            <v>42012</v>
          </cell>
          <cell r="S9">
            <v>39.126477683777225</v>
          </cell>
        </row>
        <row r="10">
          <cell r="R10">
            <v>42013</v>
          </cell>
          <cell r="S10">
            <v>33.924466260058615</v>
          </cell>
        </row>
        <row r="11">
          <cell r="R11">
            <v>42014</v>
          </cell>
          <cell r="S11">
            <v>26.684387110760138</v>
          </cell>
        </row>
        <row r="12">
          <cell r="D12">
            <v>1081.280644710429</v>
          </cell>
          <cell r="E12">
            <v>989.86689164730865</v>
          </cell>
          <cell r="F12">
            <v>865.53252041105134</v>
          </cell>
          <cell r="G12">
            <v>622.80856614391325</v>
          </cell>
          <cell r="H12">
            <v>405.64282959119492</v>
          </cell>
          <cell r="I12">
            <v>310</v>
          </cell>
          <cell r="J12">
            <v>289.99999999999994</v>
          </cell>
          <cell r="K12">
            <v>289.99999999999994</v>
          </cell>
          <cell r="L12">
            <v>380.00000000000011</v>
          </cell>
          <cell r="M12">
            <v>650.00000000000057</v>
          </cell>
          <cell r="N12">
            <v>919.99999999999966</v>
          </cell>
          <cell r="O12">
            <v>1080.0000000000002</v>
          </cell>
          <cell r="R12">
            <v>42015</v>
          </cell>
          <cell r="S12">
            <v>31.703477973309223</v>
          </cell>
        </row>
        <row r="13">
          <cell r="D13">
            <v>11492.757934199999</v>
          </cell>
          <cell r="E13">
            <v>10525.401338</v>
          </cell>
          <cell r="F13">
            <v>9201.9026437999983</v>
          </cell>
          <cell r="G13">
            <v>6626.1087002000022</v>
          </cell>
          <cell r="H13">
            <v>4299.8139936666676</v>
          </cell>
          <cell r="I13">
            <v>3289.9999999999986</v>
          </cell>
          <cell r="J13">
            <v>3080.0000000000005</v>
          </cell>
          <cell r="K13">
            <v>3080.0000000000005</v>
          </cell>
          <cell r="L13">
            <v>4039.9999999999982</v>
          </cell>
          <cell r="M13">
            <v>6900.0000000000036</v>
          </cell>
          <cell r="N13">
            <v>9770</v>
          </cell>
          <cell r="O13">
            <v>11470</v>
          </cell>
          <cell r="R13">
            <v>42016</v>
          </cell>
          <cell r="S13">
            <v>34.493693489259286</v>
          </cell>
        </row>
        <row r="14">
          <cell r="D14">
            <v>1.3175830293298696E-2</v>
          </cell>
          <cell r="E14">
            <v>0.10582116745661807</v>
          </cell>
          <cell r="F14">
            <v>0.15642829965663532</v>
          </cell>
          <cell r="G14">
            <v>0.16633369318363966</v>
          </cell>
          <cell r="H14">
            <v>-6.7325595677265065E-2</v>
          </cell>
          <cell r="I14">
            <v>3.5739529451350271E-3</v>
          </cell>
          <cell r="J14">
            <v>-5.0622241546101177E-2</v>
          </cell>
          <cell r="K14">
            <v>-3.3719801942547346E-2</v>
          </cell>
          <cell r="L14">
            <v>4.1775630544058327E-2</v>
          </cell>
          <cell r="M14">
            <v>0.14713464331822171</v>
          </cell>
          <cell r="N14">
            <v>0.19952337838172249</v>
          </cell>
          <cell r="O14">
            <v>9.3277511408856928E-2</v>
          </cell>
          <cell r="R14">
            <v>42017</v>
          </cell>
          <cell r="S14">
            <v>31.606491980922041</v>
          </cell>
        </row>
        <row r="15">
          <cell r="D15">
            <v>1067.2191463523316</v>
          </cell>
          <cell r="E15">
            <v>895.14192780736551</v>
          </cell>
          <cell r="F15">
            <v>748.4532509867181</v>
          </cell>
          <cell r="G15">
            <v>533.98831722325269</v>
          </cell>
          <cell r="H15">
            <v>434.92437201142451</v>
          </cell>
          <cell r="I15">
            <v>308.89602015901221</v>
          </cell>
          <cell r="J15">
            <v>305.46323359447246</v>
          </cell>
          <cell r="K15">
            <v>300.11998650391183</v>
          </cell>
          <cell r="L15">
            <v>364.76184396975037</v>
          </cell>
          <cell r="M15">
            <v>566.6292128706001</v>
          </cell>
          <cell r="N15">
            <v>766.97129591685996</v>
          </cell>
          <cell r="O15">
            <v>987.85531462021333</v>
          </cell>
          <cell r="R15">
            <v>42018</v>
          </cell>
          <cell r="S15">
            <v>32.53763604938851</v>
          </cell>
        </row>
        <row r="16">
          <cell r="D16">
            <v>11367.914916170237</v>
          </cell>
          <cell r="E16">
            <v>9518.248077734268</v>
          </cell>
          <cell r="F16">
            <v>7950.662373387202</v>
          </cell>
          <cell r="G16">
            <v>5679.1835705189296</v>
          </cell>
          <cell r="H16">
            <v>4628.7050628600246</v>
          </cell>
          <cell r="I16">
            <v>3288.3102275735141</v>
          </cell>
          <cell r="J16">
            <v>3237.2885787849923</v>
          </cell>
          <cell r="K16">
            <v>3202.659608332875</v>
          </cell>
          <cell r="L16">
            <v>3885.64570671</v>
          </cell>
          <cell r="M16">
            <v>6020.7610380369179</v>
          </cell>
          <cell r="N16">
            <v>8146.4561863001172</v>
          </cell>
          <cell r="O16">
            <v>10483.28424197308</v>
          </cell>
          <cell r="R16">
            <v>42019</v>
          </cell>
          <cell r="S16">
            <v>33.557131227489101</v>
          </cell>
        </row>
        <row r="17">
          <cell r="R17">
            <v>42020</v>
          </cell>
          <cell r="S17">
            <v>31.887471148067611</v>
          </cell>
        </row>
        <row r="18">
          <cell r="R18">
            <v>42021</v>
          </cell>
          <cell r="S18">
            <v>29.413626425814616</v>
          </cell>
        </row>
        <row r="19">
          <cell r="D19">
            <v>1162.3827182199684</v>
          </cell>
          <cell r="E19">
            <v>1022.8621044614633</v>
          </cell>
          <cell r="F19">
            <v>901.33118683539692</v>
          </cell>
          <cell r="G19">
            <v>647.29636373718301</v>
          </cell>
          <cell r="H19">
            <v>400.02609472310149</v>
          </cell>
          <cell r="I19">
            <v>310.00000000000006</v>
          </cell>
          <cell r="J19">
            <v>289.99999999999994</v>
          </cell>
          <cell r="K19">
            <v>289.99999999999994</v>
          </cell>
          <cell r="L19">
            <v>380.00000000000011</v>
          </cell>
          <cell r="M19">
            <v>650.00000000000057</v>
          </cell>
          <cell r="N19">
            <v>919.99999999999966</v>
          </cell>
          <cell r="O19">
            <v>1080.0000000000002</v>
          </cell>
          <cell r="R19">
            <v>42022</v>
          </cell>
          <cell r="S19">
            <v>30.849765259316179</v>
          </cell>
        </row>
        <row r="20">
          <cell r="D20">
            <v>12354.778819681072</v>
          </cell>
          <cell r="E20">
            <v>10876.244325104813</v>
          </cell>
          <cell r="F20">
            <v>9582.4959033788018</v>
          </cell>
          <cell r="G20">
            <v>6886.6362804260079</v>
          </cell>
          <cell r="H20">
            <v>4240.2766040648767</v>
          </cell>
          <cell r="I20">
            <v>3289.9999999999991</v>
          </cell>
          <cell r="J20">
            <v>3080.0000000000005</v>
          </cell>
          <cell r="K20">
            <v>3080.0000000000005</v>
          </cell>
          <cell r="L20">
            <v>4039.9999999999977</v>
          </cell>
          <cell r="M20">
            <v>6900.0000000000036</v>
          </cell>
          <cell r="N20">
            <v>9770</v>
          </cell>
          <cell r="O20">
            <v>11470</v>
          </cell>
          <cell r="R20">
            <v>42023</v>
          </cell>
          <cell r="S20">
            <v>36.90100471395121</v>
          </cell>
        </row>
        <row r="21">
          <cell r="D21">
            <v>-2.2563307146523652E-2</v>
          </cell>
          <cell r="E21">
            <v>-2.2117681991601066E-3</v>
          </cell>
          <cell r="F21">
            <v>5.4560177645998326E-2</v>
          </cell>
          <cell r="G21">
            <v>5.8169090312173891E-2</v>
          </cell>
          <cell r="H21">
            <v>-4.8295762834403122E-2</v>
          </cell>
          <cell r="I21">
            <v>-5.0999784233565501E-3</v>
          </cell>
          <cell r="J21">
            <v>-8.8944456578703784E-2</v>
          </cell>
          <cell r="K21">
            <v>1.174754506456746E-3</v>
          </cell>
          <cell r="L21">
            <v>-2.1702167696014824E-2</v>
          </cell>
          <cell r="M21">
            <v>-4.2247033540625872E-3</v>
          </cell>
          <cell r="N21">
            <v>1.4051281827874304E-2</v>
          </cell>
          <cell r="O21">
            <v>7.7863247449040844E-3</v>
          </cell>
          <cell r="R21">
            <v>42024</v>
          </cell>
          <cell r="S21">
            <v>37.099908640861287</v>
          </cell>
        </row>
        <row r="22">
          <cell r="D22">
            <v>1189.2153494121144</v>
          </cell>
          <cell r="E22">
            <v>1025.1294531860426</v>
          </cell>
          <cell r="F22">
            <v>854.69867527840756</v>
          </cell>
          <cell r="G22">
            <v>611.71354338673984</v>
          </cell>
          <cell r="H22">
            <v>420.32606255329387</v>
          </cell>
          <cell r="I22">
            <v>311.58909767509618</v>
          </cell>
          <cell r="J22">
            <v>318.31209644031139</v>
          </cell>
          <cell r="K22">
            <v>289.65972093748962</v>
          </cell>
          <cell r="L22">
            <v>388.42976796244523</v>
          </cell>
          <cell r="M22">
            <v>652.75770767701385</v>
          </cell>
          <cell r="N22">
            <v>907.2519472009908</v>
          </cell>
          <cell r="O22">
            <v>1071.6557403905786</v>
          </cell>
          <cell r="R22">
            <v>42025</v>
          </cell>
          <cell r="S22">
            <v>37.194872700903773</v>
          </cell>
        </row>
        <row r="23">
          <cell r="D23">
            <v>12667.408926479648</v>
          </cell>
          <cell r="E23">
            <v>10900.431104724707</v>
          </cell>
          <cell r="F23">
            <v>9079.2845407607147</v>
          </cell>
          <cell r="G23">
            <v>6505.8304536062005</v>
          </cell>
          <cell r="H23">
            <v>4473.3418014600138</v>
          </cell>
          <cell r="I23">
            <v>3316.9799863611479</v>
          </cell>
          <cell r="J23">
            <v>3373.4597322108611</v>
          </cell>
          <cell r="K23">
            <v>3091.0353529400118</v>
          </cell>
          <cell r="L23">
            <v>4137.7695753912321</v>
          </cell>
          <cell r="M23">
            <v>6935.933812842678</v>
          </cell>
          <cell r="N23">
            <v>9636.4609379667436</v>
          </cell>
          <cell r="O23">
            <v>11372.622764806834</v>
          </cell>
          <cell r="R23">
            <v>42026</v>
          </cell>
          <cell r="S23">
            <v>35.784854231467648</v>
          </cell>
        </row>
        <row r="24">
          <cell r="R24">
            <v>42027</v>
          </cell>
          <cell r="S24">
            <v>36.443515386851018</v>
          </cell>
        </row>
        <row r="25">
          <cell r="R25">
            <v>42028</v>
          </cell>
          <cell r="S25">
            <v>33.255457453561711</v>
          </cell>
        </row>
        <row r="26">
          <cell r="D26">
            <v>41.345389040398715</v>
          </cell>
          <cell r="E26">
            <v>42.621557004484409</v>
          </cell>
          <cell r="F26">
            <v>33.669323046807904</v>
          </cell>
          <cell r="G26">
            <v>32.46272056517094</v>
          </cell>
          <cell r="H26">
            <v>16.141417327044024</v>
          </cell>
          <cell r="I26">
            <v>10.333333333333334</v>
          </cell>
          <cell r="J26">
            <v>9.3548387096774199</v>
          </cell>
          <cell r="K26">
            <v>9.3548387096774199</v>
          </cell>
          <cell r="L26">
            <v>12.666666666666666</v>
          </cell>
          <cell r="M26">
            <v>20.967741935483872</v>
          </cell>
          <cell r="N26">
            <v>30.666666666666668</v>
          </cell>
          <cell r="O26">
            <v>34.838709677419352</v>
          </cell>
          <cell r="P26">
            <v>0</v>
          </cell>
          <cell r="R26">
            <v>42029</v>
          </cell>
          <cell r="S26">
            <v>34.315673270230164</v>
          </cell>
        </row>
        <row r="27">
          <cell r="D27">
            <v>439.44407081290325</v>
          </cell>
          <cell r="E27">
            <v>453.14177378571429</v>
          </cell>
          <cell r="F27">
            <v>357.93155186451617</v>
          </cell>
          <cell r="G27">
            <v>345.30682224000003</v>
          </cell>
          <cell r="H27">
            <v>171.09902366666668</v>
          </cell>
          <cell r="I27">
            <v>109.66666666666667</v>
          </cell>
          <cell r="J27">
            <v>99.354838709677423</v>
          </cell>
          <cell r="K27">
            <v>99.354838709677423</v>
          </cell>
          <cell r="L27">
            <v>134.66666666666666</v>
          </cell>
          <cell r="M27">
            <v>222.58064516129033</v>
          </cell>
          <cell r="N27">
            <v>325.66666666666669</v>
          </cell>
          <cell r="O27">
            <v>370</v>
          </cell>
          <cell r="P27">
            <v>0</v>
          </cell>
          <cell r="R27">
            <v>42030</v>
          </cell>
          <cell r="S27">
            <v>37.706031532256496</v>
          </cell>
        </row>
        <row r="28">
          <cell r="D28">
            <v>-3.6</v>
          </cell>
          <cell r="E28">
            <v>-3.4</v>
          </cell>
          <cell r="F28">
            <v>1</v>
          </cell>
          <cell r="G28">
            <v>1.3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42031</v>
          </cell>
          <cell r="S28">
            <v>37.401552210421542</v>
          </cell>
        </row>
        <row r="29">
          <cell r="D29">
            <v>26.684387110760138</v>
          </cell>
          <cell r="E29">
            <v>29.662131335351482</v>
          </cell>
          <cell r="F29">
            <v>22.43004746355092</v>
          </cell>
          <cell r="G29">
            <v>12.336617288364373</v>
          </cell>
          <cell r="H29">
            <v>9.9993465723270436</v>
          </cell>
          <cell r="I29">
            <v>10.333333333333334</v>
          </cell>
          <cell r="J29">
            <v>9.3548387096774199</v>
          </cell>
          <cell r="K29">
            <v>9.3548387096774199</v>
          </cell>
          <cell r="L29">
            <v>12.666666666666666</v>
          </cell>
          <cell r="M29">
            <v>20.967741935483872</v>
          </cell>
          <cell r="N29">
            <v>30.666666666666668</v>
          </cell>
          <cell r="O29">
            <v>34.838709677419352</v>
          </cell>
          <cell r="P29">
            <v>0</v>
          </cell>
          <cell r="R29">
            <v>42032</v>
          </cell>
          <cell r="S29">
            <v>36.851973996198218</v>
          </cell>
        </row>
        <row r="30">
          <cell r="D30">
            <v>283.65752081290321</v>
          </cell>
          <cell r="E30">
            <v>315.42335078571426</v>
          </cell>
          <cell r="F30">
            <v>238.48520286451614</v>
          </cell>
          <cell r="G30">
            <v>131.30157723999997</v>
          </cell>
          <cell r="H30">
            <v>105.99307366666666</v>
          </cell>
          <cell r="I30">
            <v>109.66666666666667</v>
          </cell>
          <cell r="J30">
            <v>99.354838709677423</v>
          </cell>
          <cell r="K30">
            <v>99.354838709677423</v>
          </cell>
          <cell r="L30">
            <v>134.66666666666666</v>
          </cell>
          <cell r="M30">
            <v>222.58064516129033</v>
          </cell>
          <cell r="N30">
            <v>325.66666666666669</v>
          </cell>
          <cell r="O30">
            <v>370</v>
          </cell>
          <cell r="P30">
            <v>0</v>
          </cell>
          <cell r="R30">
            <v>42033</v>
          </cell>
          <cell r="S30">
            <v>36.422352732700475</v>
          </cell>
        </row>
        <row r="31">
          <cell r="D31">
            <v>11</v>
          </cell>
          <cell r="E31">
            <v>2.2000000000000002</v>
          </cell>
          <cell r="F31">
            <v>4.2</v>
          </cell>
          <cell r="G31">
            <v>14.6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42034</v>
          </cell>
          <cell r="S31">
            <v>36.207908544785177</v>
          </cell>
        </row>
        <row r="32">
          <cell r="R32">
            <v>42035</v>
          </cell>
          <cell r="S32">
            <v>34.216637130923509</v>
          </cell>
        </row>
        <row r="33">
          <cell r="R33">
            <v>42036</v>
          </cell>
          <cell r="S33">
            <v>34.443999782272932</v>
          </cell>
        </row>
        <row r="34">
          <cell r="D34">
            <v>0.91219251430331394</v>
          </cell>
          <cell r="E34">
            <v>1.3110234890123738</v>
          </cell>
          <cell r="F34">
            <v>1.1251568759219512</v>
          </cell>
          <cell r="G34">
            <v>1.2859358325557315</v>
          </cell>
          <cell r="H34">
            <v>0.26915816694990341</v>
          </cell>
          <cell r="I34">
            <v>0.25</v>
          </cell>
          <cell r="J34">
            <v>0.12</v>
          </cell>
          <cell r="K34">
            <v>0.15</v>
          </cell>
          <cell r="L34">
            <v>0.81</v>
          </cell>
          <cell r="M34">
            <v>1.05</v>
          </cell>
          <cell r="N34">
            <v>1.41</v>
          </cell>
          <cell r="O34">
            <v>1.48</v>
          </cell>
          <cell r="R34">
            <v>42037</v>
          </cell>
          <cell r="S34">
            <v>37.810030602166719</v>
          </cell>
        </row>
        <row r="35">
          <cell r="D35">
            <v>9.6955474118236964</v>
          </cell>
          <cell r="E35">
            <v>13.940307026974384</v>
          </cell>
          <cell r="F35">
            <v>11.962097075588696</v>
          </cell>
          <cell r="G35">
            <v>13.681171183550427</v>
          </cell>
          <cell r="H35">
            <v>2.853076569668977</v>
          </cell>
          <cell r="I35">
            <v>2.6532258064516117</v>
          </cell>
          <cell r="J35">
            <v>1.2744827586206902</v>
          </cell>
          <cell r="K35">
            <v>1.5931034482758626</v>
          </cell>
          <cell r="L35">
            <v>8.6115789473684146</v>
          </cell>
          <cell r="M35">
            <v>11.146153846153842</v>
          </cell>
          <cell r="N35">
            <v>14.973586956521745</v>
          </cell>
          <cell r="O35">
            <v>15.718148148148146</v>
          </cell>
          <cell r="R35">
            <v>42038</v>
          </cell>
          <cell r="S35">
            <v>40.079616216670246</v>
          </cell>
        </row>
        <row r="36">
          <cell r="D36">
            <v>37.110581900579199</v>
          </cell>
          <cell r="E36">
            <v>36.660259452578643</v>
          </cell>
          <cell r="F36">
            <v>33.566974590125859</v>
          </cell>
          <cell r="G36">
            <v>32.29328305837295</v>
          </cell>
          <cell r="M36">
            <v>31.738901328373572</v>
          </cell>
          <cell r="N36">
            <v>34.467162269006792</v>
          </cell>
          <cell r="O36">
            <v>35.572965473041194</v>
          </cell>
          <cell r="R36">
            <v>42039</v>
          </cell>
          <cell r="S36">
            <v>41.461490277269561</v>
          </cell>
        </row>
        <row r="37">
          <cell r="D37">
            <v>394.44240185662397</v>
          </cell>
          <cell r="E37">
            <v>389.8139711001491</v>
          </cell>
          <cell r="F37">
            <v>356.86704420829369</v>
          </cell>
          <cell r="G37">
            <v>343.5707462341839</v>
          </cell>
          <cell r="M37">
            <v>336.920644870427</v>
          </cell>
          <cell r="N37">
            <v>366.0262775741266</v>
          </cell>
          <cell r="O37">
            <v>377.79806849609486</v>
          </cell>
          <cell r="R37">
            <v>42040</v>
          </cell>
          <cell r="S37">
            <v>42.621557004484409</v>
          </cell>
        </row>
        <row r="38">
          <cell r="D38">
            <v>48.056892072218965</v>
          </cell>
          <cell r="E38">
            <v>52.392541320727126</v>
          </cell>
          <cell r="F38">
            <v>47.068857101189273</v>
          </cell>
          <cell r="G38">
            <v>47.724513049041732</v>
          </cell>
          <cell r="M38">
            <v>44.338901328373574</v>
          </cell>
          <cell r="N38">
            <v>51.387162269006794</v>
          </cell>
          <cell r="O38">
            <v>53.332965473041192</v>
          </cell>
          <cell r="R38">
            <v>42041</v>
          </cell>
          <cell r="S38">
            <v>41.002694837526164</v>
          </cell>
        </row>
        <row r="39">
          <cell r="D39">
            <v>510.78897079850827</v>
          </cell>
          <cell r="E39">
            <v>557.09765542384173</v>
          </cell>
          <cell r="F39">
            <v>500.412209115358</v>
          </cell>
          <cell r="G39">
            <v>507.74480043678903</v>
          </cell>
          <cell r="M39">
            <v>470.67449102427315</v>
          </cell>
          <cell r="N39">
            <v>545.70932105238751</v>
          </cell>
          <cell r="O39">
            <v>566.4158462738726</v>
          </cell>
          <cell r="R39">
            <v>42042</v>
          </cell>
          <cell r="S39">
            <v>36.310293564588683</v>
          </cell>
        </row>
        <row r="40">
          <cell r="R40">
            <v>42043</v>
          </cell>
          <cell r="S40">
            <v>37.694738891570495</v>
          </cell>
        </row>
        <row r="41">
          <cell r="R41">
            <v>42044</v>
          </cell>
          <cell r="S41">
            <v>39.125366627788033</v>
          </cell>
        </row>
        <row r="42">
          <cell r="R42">
            <v>42045</v>
          </cell>
          <cell r="S42">
            <v>35.860134716284335</v>
          </cell>
        </row>
        <row r="43">
          <cell r="R43">
            <v>42046</v>
          </cell>
          <cell r="S43">
            <v>35.500375108909473</v>
          </cell>
        </row>
        <row r="44">
          <cell r="R44">
            <v>42047</v>
          </cell>
          <cell r="S44">
            <v>35.94283126686328</v>
          </cell>
        </row>
        <row r="45">
          <cell r="R45">
            <v>42048</v>
          </cell>
          <cell r="S45">
            <v>35.457735692935167</v>
          </cell>
        </row>
        <row r="46">
          <cell r="R46">
            <v>42049</v>
          </cell>
          <cell r="S46">
            <v>32.32461074416856</v>
          </cell>
        </row>
        <row r="47">
          <cell r="R47">
            <v>42050</v>
          </cell>
          <cell r="S47">
            <v>31.653059206051871</v>
          </cell>
        </row>
        <row r="48">
          <cell r="R48">
            <v>42051</v>
          </cell>
          <cell r="S48">
            <v>35.010214404985817</v>
          </cell>
        </row>
        <row r="49">
          <cell r="R49">
            <v>42052</v>
          </cell>
          <cell r="S49">
            <v>36.27382433829149</v>
          </cell>
        </row>
        <row r="50">
          <cell r="R50">
            <v>42053</v>
          </cell>
          <cell r="S50">
            <v>36.879590118145963</v>
          </cell>
        </row>
        <row r="51">
          <cell r="R51">
            <v>42054</v>
          </cell>
          <cell r="S51">
            <v>36.528261146452671</v>
          </cell>
        </row>
        <row r="52">
          <cell r="D52">
            <v>1081.280644710429</v>
          </cell>
          <cell r="E52">
            <v>989.86689164730865</v>
          </cell>
          <cell r="F52">
            <v>865.53252041105134</v>
          </cell>
          <cell r="G52">
            <v>622.80856614391325</v>
          </cell>
          <cell r="H52">
            <v>405.64282959119492</v>
          </cell>
          <cell r="I52">
            <v>310</v>
          </cell>
          <cell r="J52">
            <v>289.99999999999994</v>
          </cell>
          <cell r="K52">
            <v>289.99999999999994</v>
          </cell>
          <cell r="L52">
            <v>380.00000000000011</v>
          </cell>
          <cell r="M52">
            <v>650.00000000000057</v>
          </cell>
          <cell r="N52">
            <v>919.99999999999966</v>
          </cell>
          <cell r="O52">
            <v>1080.0000000000002</v>
          </cell>
          <cell r="R52">
            <v>42055</v>
          </cell>
          <cell r="S52">
            <v>33.703544034626219</v>
          </cell>
        </row>
        <row r="53">
          <cell r="D53">
            <v>11492.757934199999</v>
          </cell>
          <cell r="E53">
            <v>10525.401338</v>
          </cell>
          <cell r="F53">
            <v>9201.9026437999983</v>
          </cell>
          <cell r="G53">
            <v>6626.1087002000022</v>
          </cell>
          <cell r="H53">
            <v>4299.8139936666676</v>
          </cell>
          <cell r="I53">
            <v>3289.9999999999986</v>
          </cell>
          <cell r="J53">
            <v>3080.0000000000005</v>
          </cell>
          <cell r="K53">
            <v>3080.0000000000005</v>
          </cell>
          <cell r="L53">
            <v>4039.9999999999982</v>
          </cell>
          <cell r="M53">
            <v>6900.0000000000036</v>
          </cell>
          <cell r="N53">
            <v>9770</v>
          </cell>
          <cell r="O53">
            <v>11470</v>
          </cell>
          <cell r="R53">
            <v>42056</v>
          </cell>
          <cell r="S53">
            <v>29.747995538224668</v>
          </cell>
        </row>
        <row r="54">
          <cell r="D54">
            <v>1.2161290322580647</v>
          </cell>
          <cell r="E54">
            <v>0.22142857142857128</v>
          </cell>
          <cell r="F54">
            <v>4.3258064516129036</v>
          </cell>
          <cell r="G54">
            <v>8.2200000000000006</v>
          </cell>
          <cell r="H54">
            <v>12.838709677419352</v>
          </cell>
          <cell r="I54">
            <v>15.800000000000008</v>
          </cell>
          <cell r="J54">
            <v>17.5</v>
          </cell>
          <cell r="K54">
            <v>17.199999999999996</v>
          </cell>
          <cell r="L54">
            <v>13</v>
          </cell>
          <cell r="M54">
            <v>8</v>
          </cell>
          <cell r="N54">
            <v>2.5999999999999996</v>
          </cell>
          <cell r="O54">
            <v>-0.40000000000000019</v>
          </cell>
          <cell r="R54">
            <v>42057</v>
          </cell>
          <cell r="S54">
            <v>30.593376885161437</v>
          </cell>
        </row>
        <row r="55">
          <cell r="R55">
            <v>42058</v>
          </cell>
          <cell r="S55">
            <v>33.462862272904239</v>
          </cell>
        </row>
        <row r="56">
          <cell r="R56">
            <v>42059</v>
          </cell>
          <cell r="S56">
            <v>32.092613243413886</v>
          </cell>
        </row>
        <row r="57">
          <cell r="D57">
            <v>1162.3827182199684</v>
          </cell>
          <cell r="E57">
            <v>1022.8621044614633</v>
          </cell>
          <cell r="F57">
            <v>901.33118683539692</v>
          </cell>
          <cell r="G57">
            <v>647.29636373718301</v>
          </cell>
          <cell r="H57">
            <v>400.02609472310149</v>
          </cell>
          <cell r="I57">
            <v>310.00000000000006</v>
          </cell>
          <cell r="J57">
            <v>289.99999999999994</v>
          </cell>
          <cell r="K57">
            <v>289.99999999999994</v>
          </cell>
          <cell r="L57">
            <v>380.00000000000011</v>
          </cell>
          <cell r="M57">
            <v>650.00000000000057</v>
          </cell>
          <cell r="N57">
            <v>919.99999999999966</v>
          </cell>
          <cell r="O57">
            <v>1080.0000000000002</v>
          </cell>
          <cell r="R57">
            <v>42060</v>
          </cell>
          <cell r="S57">
            <v>33.199114901346874</v>
          </cell>
        </row>
        <row r="58">
          <cell r="D58">
            <v>12354.778819681072</v>
          </cell>
          <cell r="E58">
            <v>10876.244325104813</v>
          </cell>
          <cell r="F58">
            <v>9582.4959033788018</v>
          </cell>
          <cell r="G58">
            <v>6886.6362804260079</v>
          </cell>
          <cell r="H58">
            <v>4240.2766040648767</v>
          </cell>
          <cell r="I58">
            <v>3289.9999999999991</v>
          </cell>
          <cell r="J58">
            <v>3080.0000000000005</v>
          </cell>
          <cell r="K58">
            <v>3080.0000000000005</v>
          </cell>
          <cell r="L58">
            <v>4039.9999999999977</v>
          </cell>
          <cell r="M58">
            <v>6900.0000000000036</v>
          </cell>
          <cell r="N58">
            <v>9770</v>
          </cell>
          <cell r="O58">
            <v>11470</v>
          </cell>
          <cell r="R58">
            <v>42061</v>
          </cell>
          <cell r="S58">
            <v>33.339268505793576</v>
          </cell>
        </row>
        <row r="59">
          <cell r="D59">
            <v>-2</v>
          </cell>
          <cell r="E59">
            <v>-0.7</v>
          </cell>
          <cell r="F59">
            <v>3.3</v>
          </cell>
          <cell r="G59">
            <v>7.6</v>
          </cell>
          <cell r="H59">
            <v>13</v>
          </cell>
          <cell r="I59">
            <v>15.8</v>
          </cell>
          <cell r="J59">
            <v>17.5</v>
          </cell>
          <cell r="K59">
            <v>17.2</v>
          </cell>
          <cell r="L59">
            <v>13</v>
          </cell>
          <cell r="M59">
            <v>8</v>
          </cell>
          <cell r="N59">
            <v>2.6</v>
          </cell>
          <cell r="O59">
            <v>-0.4</v>
          </cell>
          <cell r="R59">
            <v>42062</v>
          </cell>
          <cell r="S59">
            <v>32.085560383060248</v>
          </cell>
        </row>
        <row r="60">
          <cell r="R60">
            <v>42063</v>
          </cell>
          <cell r="S60">
            <v>29.662131335351482</v>
          </cell>
        </row>
        <row r="61">
          <cell r="R61">
            <v>42064</v>
          </cell>
          <cell r="S61">
            <v>30.248075103459318</v>
          </cell>
        </row>
        <row r="62">
          <cell r="R62">
            <v>42065</v>
          </cell>
          <cell r="S62">
            <v>32.156299075508116</v>
          </cell>
        </row>
        <row r="63">
          <cell r="R63">
            <v>42066</v>
          </cell>
          <cell r="S63">
            <v>32.090406012723975</v>
          </cell>
        </row>
        <row r="64">
          <cell r="R64">
            <v>42067</v>
          </cell>
          <cell r="S64">
            <v>32.451208446596773</v>
          </cell>
        </row>
        <row r="65">
          <cell r="R65">
            <v>42068</v>
          </cell>
          <cell r="S65">
            <v>33.669323046807904</v>
          </cell>
        </row>
        <row r="66">
          <cell r="R66">
            <v>42069</v>
          </cell>
          <cell r="S66">
            <v>31.400656794319055</v>
          </cell>
        </row>
        <row r="67">
          <cell r="R67">
            <v>42070</v>
          </cell>
          <cell r="S67">
            <v>26.889062833535807</v>
          </cell>
        </row>
        <row r="68">
          <cell r="R68">
            <v>42071</v>
          </cell>
          <cell r="S68">
            <v>26.222814517200824</v>
          </cell>
        </row>
        <row r="69">
          <cell r="R69">
            <v>42072</v>
          </cell>
          <cell r="S69">
            <v>29.386647034852071</v>
          </cell>
        </row>
        <row r="70">
          <cell r="R70">
            <v>42073</v>
          </cell>
          <cell r="S70">
            <v>27.738521034828363</v>
          </cell>
        </row>
        <row r="71">
          <cell r="R71">
            <v>42074</v>
          </cell>
          <cell r="S71">
            <v>30.854267580128589</v>
          </cell>
        </row>
        <row r="72">
          <cell r="R72">
            <v>42075</v>
          </cell>
          <cell r="S72">
            <v>31.574844789370491</v>
          </cell>
        </row>
        <row r="73">
          <cell r="R73">
            <v>42076</v>
          </cell>
          <cell r="S73">
            <v>31.625360099086652</v>
          </cell>
        </row>
        <row r="74">
          <cell r="R74">
            <v>42077</v>
          </cell>
          <cell r="S74">
            <v>28.96030229554378</v>
          </cell>
        </row>
        <row r="75">
          <cell r="R75">
            <v>42078</v>
          </cell>
          <cell r="S75">
            <v>28.31739726729889</v>
          </cell>
        </row>
        <row r="76">
          <cell r="R76">
            <v>42079</v>
          </cell>
          <cell r="S76">
            <v>28.14865477769661</v>
          </cell>
        </row>
        <row r="77">
          <cell r="R77">
            <v>42080</v>
          </cell>
          <cell r="S77">
            <v>26.093459538175829</v>
          </cell>
        </row>
        <row r="78">
          <cell r="R78">
            <v>42081</v>
          </cell>
          <cell r="S78">
            <v>26.280282803073259</v>
          </cell>
        </row>
        <row r="79">
          <cell r="R79">
            <v>42082</v>
          </cell>
          <cell r="S79">
            <v>27.010399859523108</v>
          </cell>
        </row>
        <row r="80">
          <cell r="R80">
            <v>42083</v>
          </cell>
          <cell r="S80">
            <v>26.666290526830888</v>
          </cell>
        </row>
        <row r="81">
          <cell r="R81">
            <v>42084</v>
          </cell>
          <cell r="S81">
            <v>22.949801596471193</v>
          </cell>
        </row>
        <row r="82">
          <cell r="R82">
            <v>42085</v>
          </cell>
          <cell r="S82">
            <v>27.487312139148294</v>
          </cell>
        </row>
        <row r="83">
          <cell r="R83">
            <v>42086</v>
          </cell>
          <cell r="S83">
            <v>28.462368120622408</v>
          </cell>
        </row>
        <row r="84">
          <cell r="R84">
            <v>42087</v>
          </cell>
          <cell r="S84">
            <v>25.948151206212366</v>
          </cell>
        </row>
        <row r="85">
          <cell r="R85">
            <v>42088</v>
          </cell>
          <cell r="S85">
            <v>22.929421912694004</v>
          </cell>
        </row>
        <row r="86">
          <cell r="R86">
            <v>42089</v>
          </cell>
          <cell r="S86">
            <v>22.748236472923228</v>
          </cell>
        </row>
        <row r="87">
          <cell r="R87">
            <v>42090</v>
          </cell>
          <cell r="S87">
            <v>24.769419577712856</v>
          </cell>
        </row>
        <row r="88">
          <cell r="R88">
            <v>42091</v>
          </cell>
          <cell r="S88">
            <v>22.43004746355092</v>
          </cell>
        </row>
        <row r="89">
          <cell r="R89">
            <v>42092</v>
          </cell>
          <cell r="S89">
            <v>23.594608677240302</v>
          </cell>
        </row>
        <row r="90">
          <cell r="R90">
            <v>42093</v>
          </cell>
          <cell r="S90">
            <v>27.27579699878557</v>
          </cell>
        </row>
        <row r="91">
          <cell r="R91">
            <v>42094</v>
          </cell>
          <cell r="S91">
            <v>29.153082809129909</v>
          </cell>
        </row>
        <row r="92">
          <cell r="R92">
            <v>42095</v>
          </cell>
          <cell r="S92">
            <v>30.677245431457621</v>
          </cell>
        </row>
        <row r="93">
          <cell r="R93">
            <v>42096</v>
          </cell>
          <cell r="S93">
            <v>32.46272056517094</v>
          </cell>
        </row>
        <row r="94">
          <cell r="R94">
            <v>42097</v>
          </cell>
          <cell r="S94">
            <v>30.588397627558081</v>
          </cell>
        </row>
        <row r="95">
          <cell r="R95">
            <v>42098</v>
          </cell>
          <cell r="S95">
            <v>26.488452883092407</v>
          </cell>
        </row>
        <row r="96">
          <cell r="R96">
            <v>42099</v>
          </cell>
          <cell r="S96">
            <v>26.800253939111631</v>
          </cell>
        </row>
        <row r="97">
          <cell r="R97">
            <v>42100</v>
          </cell>
          <cell r="S97">
            <v>28.979467533714494</v>
          </cell>
        </row>
        <row r="98">
          <cell r="R98">
            <v>42101</v>
          </cell>
          <cell r="S98">
            <v>29.118400870849975</v>
          </cell>
        </row>
        <row r="99">
          <cell r="R99">
            <v>42102</v>
          </cell>
          <cell r="S99">
            <v>29.123342332419892</v>
          </cell>
        </row>
        <row r="100">
          <cell r="R100">
            <v>42103</v>
          </cell>
          <cell r="S100">
            <v>24.524154010039346</v>
          </cell>
        </row>
        <row r="101">
          <cell r="R101">
            <v>42104</v>
          </cell>
          <cell r="S101">
            <v>20.355808033921317</v>
          </cell>
        </row>
        <row r="102">
          <cell r="R102">
            <v>42105</v>
          </cell>
          <cell r="S102">
            <v>15.817888690539146</v>
          </cell>
        </row>
        <row r="103">
          <cell r="R103">
            <v>42106</v>
          </cell>
          <cell r="S103">
            <v>16.178831481831637</v>
          </cell>
        </row>
        <row r="104">
          <cell r="R104">
            <v>42107</v>
          </cell>
          <cell r="S104">
            <v>21.02890773784463</v>
          </cell>
        </row>
        <row r="105">
          <cell r="R105">
            <v>42108</v>
          </cell>
          <cell r="S105">
            <v>20.307713809890178</v>
          </cell>
        </row>
        <row r="106">
          <cell r="R106">
            <v>42109</v>
          </cell>
          <cell r="S106">
            <v>16.590878846654931</v>
          </cell>
        </row>
        <row r="107">
          <cell r="R107">
            <v>42110</v>
          </cell>
          <cell r="S107">
            <v>15.76829477193891</v>
          </cell>
        </row>
        <row r="108">
          <cell r="R108">
            <v>42111</v>
          </cell>
          <cell r="S108">
            <v>18.568833461656315</v>
          </cell>
        </row>
        <row r="109">
          <cell r="R109">
            <v>42112</v>
          </cell>
          <cell r="S109">
            <v>19.614571040879646</v>
          </cell>
        </row>
        <row r="110">
          <cell r="R110">
            <v>42113</v>
          </cell>
          <cell r="S110">
            <v>18.656931840735112</v>
          </cell>
        </row>
        <row r="111">
          <cell r="R111">
            <v>42114</v>
          </cell>
          <cell r="S111">
            <v>19.563471390013991</v>
          </cell>
        </row>
        <row r="112">
          <cell r="R112">
            <v>42115</v>
          </cell>
          <cell r="S112">
            <v>18.07923956225083</v>
          </cell>
        </row>
        <row r="113">
          <cell r="R113">
            <v>42116</v>
          </cell>
          <cell r="S113">
            <v>18.07682042542401</v>
          </cell>
        </row>
        <row r="114">
          <cell r="R114">
            <v>42117</v>
          </cell>
          <cell r="S114">
            <v>17.194628472384942</v>
          </cell>
        </row>
        <row r="115">
          <cell r="R115">
            <v>42118</v>
          </cell>
          <cell r="S115">
            <v>15.382705185504731</v>
          </cell>
        </row>
        <row r="116">
          <cell r="R116">
            <v>42119</v>
          </cell>
          <cell r="S116">
            <v>12.336617288364373</v>
          </cell>
        </row>
        <row r="117">
          <cell r="R117">
            <v>42120</v>
          </cell>
          <cell r="S117">
            <v>12.659586495655699</v>
          </cell>
        </row>
        <row r="118">
          <cell r="R118">
            <v>42121</v>
          </cell>
          <cell r="S118">
            <v>13.818581100658111</v>
          </cell>
        </row>
        <row r="119">
          <cell r="R119">
            <v>42122</v>
          </cell>
          <cell r="S119">
            <v>18.711239256020551</v>
          </cell>
        </row>
        <row r="120">
          <cell r="R120">
            <v>42123</v>
          </cell>
          <cell r="S120">
            <v>18.289834007546062</v>
          </cell>
        </row>
        <row r="121">
          <cell r="R121">
            <v>42124</v>
          </cell>
          <cell r="S121">
            <v>17.044748050783795</v>
          </cell>
        </row>
        <row r="122">
          <cell r="R122">
            <v>42125</v>
          </cell>
          <cell r="S122">
            <v>16.141417327044024</v>
          </cell>
        </row>
        <row r="123">
          <cell r="R123">
            <v>42126</v>
          </cell>
          <cell r="S123">
            <v>14.832061855345913</v>
          </cell>
        </row>
        <row r="124">
          <cell r="R124">
            <v>42127</v>
          </cell>
          <cell r="S124">
            <v>15.209887610062893</v>
          </cell>
        </row>
        <row r="125">
          <cell r="R125">
            <v>42128</v>
          </cell>
          <cell r="S125">
            <v>14.707495440251572</v>
          </cell>
        </row>
        <row r="126">
          <cell r="R126">
            <v>42129</v>
          </cell>
          <cell r="S126">
            <v>12.6389063836478</v>
          </cell>
        </row>
        <row r="127">
          <cell r="R127">
            <v>42130</v>
          </cell>
          <cell r="S127">
            <v>13.735501194968553</v>
          </cell>
        </row>
        <row r="128">
          <cell r="R128">
            <v>42131</v>
          </cell>
          <cell r="S128">
            <v>13.2862793081761</v>
          </cell>
        </row>
        <row r="129">
          <cell r="R129">
            <v>42132</v>
          </cell>
          <cell r="S129">
            <v>11.3222813836478</v>
          </cell>
        </row>
        <row r="130">
          <cell r="R130">
            <v>42133</v>
          </cell>
          <cell r="S130">
            <v>10.998669591194968</v>
          </cell>
        </row>
        <row r="131">
          <cell r="R131">
            <v>42134</v>
          </cell>
          <cell r="S131">
            <v>11.957636100628932</v>
          </cell>
        </row>
        <row r="132">
          <cell r="R132">
            <v>42135</v>
          </cell>
          <cell r="S132">
            <v>13.699037515723271</v>
          </cell>
        </row>
        <row r="133">
          <cell r="R133">
            <v>42136</v>
          </cell>
          <cell r="S133">
            <v>12.862737704402516</v>
          </cell>
        </row>
        <row r="134">
          <cell r="R134">
            <v>42137</v>
          </cell>
          <cell r="S134">
            <v>12.778284025157234</v>
          </cell>
        </row>
        <row r="135">
          <cell r="R135">
            <v>42138</v>
          </cell>
          <cell r="S135">
            <v>13.559357044025159</v>
          </cell>
        </row>
        <row r="136">
          <cell r="R136">
            <v>42139</v>
          </cell>
          <cell r="S136">
            <v>13.11099968553459</v>
          </cell>
        </row>
        <row r="137">
          <cell r="R137">
            <v>42140</v>
          </cell>
          <cell r="S137">
            <v>10.495220723270441</v>
          </cell>
        </row>
        <row r="138">
          <cell r="R138">
            <v>42141</v>
          </cell>
          <cell r="S138">
            <v>11.469317798742138</v>
          </cell>
        </row>
        <row r="139">
          <cell r="R139">
            <v>42142</v>
          </cell>
          <cell r="S139">
            <v>12.674593270440253</v>
          </cell>
        </row>
        <row r="140">
          <cell r="R140">
            <v>42143</v>
          </cell>
          <cell r="S140">
            <v>12.492694213836478</v>
          </cell>
        </row>
        <row r="141">
          <cell r="R141">
            <v>42144</v>
          </cell>
          <cell r="S141">
            <v>14.358728081761006</v>
          </cell>
        </row>
        <row r="142">
          <cell r="R142">
            <v>42145</v>
          </cell>
          <cell r="S142">
            <v>15.010875534591197</v>
          </cell>
        </row>
        <row r="143">
          <cell r="R143">
            <v>42146</v>
          </cell>
          <cell r="S143">
            <v>13.6070963836478</v>
          </cell>
        </row>
        <row r="144">
          <cell r="R144">
            <v>42147</v>
          </cell>
          <cell r="S144">
            <v>11.98406072327044</v>
          </cell>
        </row>
        <row r="145">
          <cell r="R145">
            <v>42148</v>
          </cell>
          <cell r="S145">
            <v>12.196096383647799</v>
          </cell>
        </row>
        <row r="146">
          <cell r="R146">
            <v>42149</v>
          </cell>
          <cell r="S146">
            <v>13.021245723270441</v>
          </cell>
        </row>
        <row r="147">
          <cell r="R147">
            <v>42150</v>
          </cell>
          <cell r="S147">
            <v>14.912257704402515</v>
          </cell>
        </row>
        <row r="148">
          <cell r="R148">
            <v>42151</v>
          </cell>
          <cell r="S148">
            <v>15.995267893081762</v>
          </cell>
        </row>
        <row r="149">
          <cell r="R149">
            <v>42152</v>
          </cell>
          <cell r="S149">
            <v>14.198370157232706</v>
          </cell>
        </row>
        <row r="150">
          <cell r="R150">
            <v>42153</v>
          </cell>
          <cell r="S150">
            <v>12.181487232704402</v>
          </cell>
        </row>
        <row r="151">
          <cell r="R151">
            <v>42154</v>
          </cell>
          <cell r="S151">
            <v>10.205619025157233</v>
          </cell>
        </row>
        <row r="152">
          <cell r="R152">
            <v>42155</v>
          </cell>
          <cell r="S152">
            <v>9.9993465723270436</v>
          </cell>
        </row>
        <row r="153">
          <cell r="R153">
            <v>42156</v>
          </cell>
          <cell r="S153">
            <v>10.333333333333334</v>
          </cell>
        </row>
        <row r="154">
          <cell r="R154">
            <v>42157</v>
          </cell>
          <cell r="S154">
            <v>10.333333333333334</v>
          </cell>
        </row>
        <row r="155">
          <cell r="R155">
            <v>42158</v>
          </cell>
          <cell r="S155">
            <v>10.333333333333334</v>
          </cell>
        </row>
        <row r="156">
          <cell r="R156">
            <v>42159</v>
          </cell>
          <cell r="S156">
            <v>10.333333333333334</v>
          </cell>
        </row>
        <row r="157">
          <cell r="R157">
            <v>42160</v>
          </cell>
          <cell r="S157">
            <v>10.333333333333334</v>
          </cell>
        </row>
        <row r="158">
          <cell r="R158">
            <v>42161</v>
          </cell>
          <cell r="S158">
            <v>10.333333333333334</v>
          </cell>
        </row>
        <row r="159">
          <cell r="R159">
            <v>42162</v>
          </cell>
          <cell r="S159">
            <v>10.333333333333334</v>
          </cell>
        </row>
        <row r="160">
          <cell r="R160">
            <v>42163</v>
          </cell>
          <cell r="S160">
            <v>10.333333333333334</v>
          </cell>
        </row>
        <row r="161">
          <cell r="R161">
            <v>42164</v>
          </cell>
          <cell r="S161">
            <v>10.333333333333334</v>
          </cell>
        </row>
        <row r="162">
          <cell r="R162">
            <v>42165</v>
          </cell>
          <cell r="S162">
            <v>10.333333333333334</v>
          </cell>
        </row>
        <row r="163">
          <cell r="R163">
            <v>42166</v>
          </cell>
          <cell r="S163">
            <v>10.333333333333334</v>
          </cell>
        </row>
        <row r="164">
          <cell r="R164">
            <v>42167</v>
          </cell>
          <cell r="S164">
            <v>10.333333333333334</v>
          </cell>
        </row>
        <row r="165">
          <cell r="R165">
            <v>42168</v>
          </cell>
          <cell r="S165">
            <v>10.333333333333334</v>
          </cell>
        </row>
        <row r="166">
          <cell r="R166">
            <v>42169</v>
          </cell>
          <cell r="S166">
            <v>10.333333333333334</v>
          </cell>
        </row>
        <row r="167">
          <cell r="R167">
            <v>42170</v>
          </cell>
          <cell r="S167">
            <v>10.333333333333334</v>
          </cell>
        </row>
        <row r="168">
          <cell r="R168">
            <v>42171</v>
          </cell>
          <cell r="S168">
            <v>10.333333333333334</v>
          </cell>
        </row>
        <row r="169">
          <cell r="R169">
            <v>42172</v>
          </cell>
          <cell r="S169">
            <v>10.333333333333334</v>
          </cell>
        </row>
        <row r="170">
          <cell r="R170">
            <v>42173</v>
          </cell>
          <cell r="S170">
            <v>10.333333333333334</v>
          </cell>
        </row>
        <row r="171">
          <cell r="R171">
            <v>42174</v>
          </cell>
          <cell r="S171">
            <v>10.333333333333334</v>
          </cell>
        </row>
        <row r="172">
          <cell r="R172">
            <v>42175</v>
          </cell>
          <cell r="S172">
            <v>10.333333333333334</v>
          </cell>
        </row>
        <row r="173">
          <cell r="R173">
            <v>42176</v>
          </cell>
          <cell r="S173">
            <v>10.333333333333334</v>
          </cell>
        </row>
        <row r="174">
          <cell r="R174">
            <v>42177</v>
          </cell>
          <cell r="S174">
            <v>10.333333333333334</v>
          </cell>
        </row>
        <row r="175">
          <cell r="R175">
            <v>42178</v>
          </cell>
          <cell r="S175">
            <v>10.333333333333334</v>
          </cell>
        </row>
        <row r="176">
          <cell r="R176">
            <v>42179</v>
          </cell>
          <cell r="S176">
            <v>10.333333333333334</v>
          </cell>
        </row>
        <row r="177">
          <cell r="R177">
            <v>42180</v>
          </cell>
          <cell r="S177">
            <v>10.333333333333334</v>
          </cell>
        </row>
        <row r="178">
          <cell r="R178">
            <v>42181</v>
          </cell>
          <cell r="S178">
            <v>10.333333333333334</v>
          </cell>
        </row>
        <row r="179">
          <cell r="R179">
            <v>42182</v>
          </cell>
          <cell r="S179">
            <v>10.333333333333334</v>
          </cell>
        </row>
        <row r="180">
          <cell r="R180">
            <v>42183</v>
          </cell>
          <cell r="S180">
            <v>10.333333333333334</v>
          </cell>
        </row>
        <row r="181">
          <cell r="R181">
            <v>42184</v>
          </cell>
          <cell r="S181">
            <v>10.333333333333334</v>
          </cell>
        </row>
        <row r="182">
          <cell r="R182">
            <v>42185</v>
          </cell>
          <cell r="S182">
            <v>10.333333333333334</v>
          </cell>
        </row>
        <row r="183">
          <cell r="R183">
            <v>42186</v>
          </cell>
          <cell r="S183">
            <v>9.3548387096774199</v>
          </cell>
        </row>
        <row r="184">
          <cell r="R184">
            <v>42187</v>
          </cell>
          <cell r="S184">
            <v>9.3548387096774199</v>
          </cell>
        </row>
        <row r="185">
          <cell r="R185">
            <v>42188</v>
          </cell>
          <cell r="S185">
            <v>9.3548387096774199</v>
          </cell>
        </row>
        <row r="186">
          <cell r="R186">
            <v>42189</v>
          </cell>
          <cell r="S186">
            <v>9.3548387096774199</v>
          </cell>
        </row>
        <row r="187">
          <cell r="R187">
            <v>42190</v>
          </cell>
          <cell r="S187">
            <v>9.3548387096774199</v>
          </cell>
        </row>
        <row r="188">
          <cell r="R188">
            <v>42191</v>
          </cell>
          <cell r="S188">
            <v>9.3548387096774199</v>
          </cell>
        </row>
        <row r="189">
          <cell r="R189">
            <v>42192</v>
          </cell>
          <cell r="S189">
            <v>9.3548387096774199</v>
          </cell>
        </row>
        <row r="190">
          <cell r="R190">
            <v>42193</v>
          </cell>
          <cell r="S190">
            <v>9.3548387096774199</v>
          </cell>
        </row>
        <row r="191">
          <cell r="R191">
            <v>42194</v>
          </cell>
          <cell r="S191">
            <v>9.3548387096774199</v>
          </cell>
        </row>
        <row r="192">
          <cell r="R192">
            <v>42195</v>
          </cell>
          <cell r="S192">
            <v>9.3548387096774199</v>
          </cell>
        </row>
        <row r="193">
          <cell r="R193">
            <v>42196</v>
          </cell>
          <cell r="S193">
            <v>9.3548387096774199</v>
          </cell>
        </row>
        <row r="194">
          <cell r="R194">
            <v>42197</v>
          </cell>
          <cell r="S194">
            <v>9.3548387096774199</v>
          </cell>
        </row>
        <row r="195">
          <cell r="R195">
            <v>42198</v>
          </cell>
          <cell r="S195">
            <v>9.3548387096774199</v>
          </cell>
        </row>
        <row r="196">
          <cell r="R196">
            <v>42199</v>
          </cell>
          <cell r="S196">
            <v>9.3548387096774199</v>
          </cell>
        </row>
        <row r="197">
          <cell r="R197">
            <v>42200</v>
          </cell>
          <cell r="S197">
            <v>9.3548387096774199</v>
          </cell>
        </row>
        <row r="198">
          <cell r="R198">
            <v>42201</v>
          </cell>
          <cell r="S198">
            <v>9.3548387096774199</v>
          </cell>
        </row>
        <row r="199">
          <cell r="R199">
            <v>42202</v>
          </cell>
          <cell r="S199">
            <v>9.3548387096774199</v>
          </cell>
        </row>
        <row r="200">
          <cell r="R200">
            <v>42203</v>
          </cell>
          <cell r="S200">
            <v>9.3548387096774199</v>
          </cell>
        </row>
        <row r="201">
          <cell r="R201">
            <v>42204</v>
          </cell>
          <cell r="S201">
            <v>9.3548387096774199</v>
          </cell>
        </row>
        <row r="202">
          <cell r="R202">
            <v>42205</v>
          </cell>
          <cell r="S202">
            <v>9.3548387096774199</v>
          </cell>
        </row>
        <row r="203">
          <cell r="R203">
            <v>42206</v>
          </cell>
          <cell r="S203">
            <v>9.3548387096774199</v>
          </cell>
        </row>
        <row r="204">
          <cell r="R204">
            <v>42207</v>
          </cell>
          <cell r="S204">
            <v>9.3548387096774199</v>
          </cell>
        </row>
        <row r="205">
          <cell r="R205">
            <v>42208</v>
          </cell>
          <cell r="S205">
            <v>9.3548387096774199</v>
          </cell>
        </row>
        <row r="206">
          <cell r="R206">
            <v>42209</v>
          </cell>
          <cell r="S206">
            <v>9.3548387096774199</v>
          </cell>
        </row>
        <row r="207">
          <cell r="R207">
            <v>42210</v>
          </cell>
          <cell r="S207">
            <v>9.3548387096774199</v>
          </cell>
        </row>
        <row r="208">
          <cell r="R208">
            <v>42211</v>
          </cell>
          <cell r="S208">
            <v>9.3548387096774199</v>
          </cell>
        </row>
        <row r="209">
          <cell r="R209">
            <v>42212</v>
          </cell>
          <cell r="S209">
            <v>9.3548387096774199</v>
          </cell>
        </row>
        <row r="210">
          <cell r="R210">
            <v>42213</v>
          </cell>
          <cell r="S210">
            <v>9.3548387096774199</v>
          </cell>
        </row>
        <row r="211">
          <cell r="R211">
            <v>42214</v>
          </cell>
          <cell r="S211">
            <v>9.3548387096774199</v>
          </cell>
        </row>
        <row r="212">
          <cell r="R212">
            <v>42215</v>
          </cell>
          <cell r="S212">
            <v>9.3548387096774199</v>
          </cell>
        </row>
        <row r="213">
          <cell r="R213">
            <v>42216</v>
          </cell>
          <cell r="S213">
            <v>9.3548387096774199</v>
          </cell>
        </row>
        <row r="214">
          <cell r="R214">
            <v>42217</v>
          </cell>
          <cell r="S214">
            <v>9.3548387096774199</v>
          </cell>
        </row>
        <row r="215">
          <cell r="R215">
            <v>42218</v>
          </cell>
          <cell r="S215">
            <v>9.3548387096774199</v>
          </cell>
        </row>
        <row r="216">
          <cell r="R216">
            <v>42219</v>
          </cell>
          <cell r="S216">
            <v>9.3548387096774199</v>
          </cell>
        </row>
        <row r="217">
          <cell r="R217">
            <v>42220</v>
          </cell>
          <cell r="S217">
            <v>9.3548387096774199</v>
          </cell>
        </row>
        <row r="218">
          <cell r="R218">
            <v>42221</v>
          </cell>
          <cell r="S218">
            <v>9.3548387096774199</v>
          </cell>
        </row>
        <row r="219">
          <cell r="R219">
            <v>42222</v>
          </cell>
          <cell r="S219">
            <v>9.3548387096774199</v>
          </cell>
        </row>
        <row r="220">
          <cell r="R220">
            <v>42223</v>
          </cell>
          <cell r="S220">
            <v>9.3548387096774199</v>
          </cell>
        </row>
        <row r="221">
          <cell r="R221">
            <v>42224</v>
          </cell>
          <cell r="S221">
            <v>9.3548387096774199</v>
          </cell>
        </row>
        <row r="222">
          <cell r="R222">
            <v>42225</v>
          </cell>
          <cell r="S222">
            <v>9.3548387096774199</v>
          </cell>
        </row>
        <row r="223">
          <cell r="R223">
            <v>42226</v>
          </cell>
          <cell r="S223">
            <v>9.3548387096774199</v>
          </cell>
        </row>
        <row r="224">
          <cell r="R224">
            <v>42227</v>
          </cell>
          <cell r="S224">
            <v>9.3548387096774199</v>
          </cell>
        </row>
        <row r="225">
          <cell r="R225">
            <v>42228</v>
          </cell>
          <cell r="S225">
            <v>9.3548387096774199</v>
          </cell>
        </row>
        <row r="226">
          <cell r="R226">
            <v>42229</v>
          </cell>
          <cell r="S226">
            <v>9.3548387096774199</v>
          </cell>
        </row>
        <row r="227">
          <cell r="R227">
            <v>42230</v>
          </cell>
          <cell r="S227">
            <v>9.3548387096774199</v>
          </cell>
        </row>
        <row r="228">
          <cell r="R228">
            <v>42231</v>
          </cell>
          <cell r="S228">
            <v>9.3548387096774199</v>
          </cell>
        </row>
        <row r="229">
          <cell r="R229">
            <v>42232</v>
          </cell>
          <cell r="S229">
            <v>9.3548387096774199</v>
          </cell>
        </row>
        <row r="230">
          <cell r="R230">
            <v>42233</v>
          </cell>
          <cell r="S230">
            <v>9.3548387096774199</v>
          </cell>
        </row>
        <row r="231">
          <cell r="R231">
            <v>42234</v>
          </cell>
          <cell r="S231">
            <v>9.3548387096774199</v>
          </cell>
        </row>
        <row r="232">
          <cell r="R232">
            <v>42235</v>
          </cell>
          <cell r="S232">
            <v>9.3548387096774199</v>
          </cell>
        </row>
        <row r="233">
          <cell r="R233">
            <v>42236</v>
          </cell>
          <cell r="S233">
            <v>9.3548387096774199</v>
          </cell>
        </row>
        <row r="234">
          <cell r="R234">
            <v>42237</v>
          </cell>
          <cell r="S234">
            <v>9.3548387096774199</v>
          </cell>
        </row>
        <row r="235">
          <cell r="R235">
            <v>42238</v>
          </cell>
          <cell r="S235">
            <v>9.3548387096774199</v>
          </cell>
        </row>
        <row r="236">
          <cell r="R236">
            <v>42239</v>
          </cell>
          <cell r="S236">
            <v>9.3548387096774199</v>
          </cell>
        </row>
        <row r="237">
          <cell r="R237">
            <v>42240</v>
          </cell>
          <cell r="S237">
            <v>9.3548387096774199</v>
          </cell>
        </row>
        <row r="238">
          <cell r="R238">
            <v>42241</v>
          </cell>
          <cell r="S238">
            <v>9.3548387096774199</v>
          </cell>
        </row>
        <row r="239">
          <cell r="R239">
            <v>42242</v>
          </cell>
          <cell r="S239">
            <v>9.3548387096774199</v>
          </cell>
        </row>
        <row r="240">
          <cell r="R240">
            <v>42243</v>
          </cell>
          <cell r="S240">
            <v>9.3548387096774199</v>
          </cell>
        </row>
        <row r="241">
          <cell r="R241">
            <v>42244</v>
          </cell>
          <cell r="S241">
            <v>9.3548387096774199</v>
          </cell>
        </row>
        <row r="242">
          <cell r="R242">
            <v>42245</v>
          </cell>
          <cell r="S242">
            <v>9.3548387096774199</v>
          </cell>
        </row>
        <row r="243">
          <cell r="R243">
            <v>42246</v>
          </cell>
          <cell r="S243">
            <v>9.3548387096774199</v>
          </cell>
        </row>
        <row r="244">
          <cell r="R244">
            <v>42247</v>
          </cell>
          <cell r="S244">
            <v>9.3548387096774199</v>
          </cell>
        </row>
        <row r="245">
          <cell r="R245">
            <v>42248</v>
          </cell>
          <cell r="S245">
            <v>12.666666666666666</v>
          </cell>
        </row>
        <row r="246">
          <cell r="R246">
            <v>42249</v>
          </cell>
          <cell r="S246">
            <v>12.666666666666666</v>
          </cell>
        </row>
        <row r="247">
          <cell r="R247">
            <v>42250</v>
          </cell>
          <cell r="S247">
            <v>12.666666666666666</v>
          </cell>
        </row>
        <row r="248">
          <cell r="R248">
            <v>42251</v>
          </cell>
          <cell r="S248">
            <v>12.666666666666666</v>
          </cell>
        </row>
        <row r="249">
          <cell r="R249">
            <v>42252</v>
          </cell>
          <cell r="S249">
            <v>12.666666666666666</v>
          </cell>
        </row>
        <row r="250">
          <cell r="R250">
            <v>42253</v>
          </cell>
          <cell r="S250">
            <v>12.666666666666666</v>
          </cell>
        </row>
        <row r="251">
          <cell r="R251">
            <v>42254</v>
          </cell>
          <cell r="S251">
            <v>12.666666666666666</v>
          </cell>
        </row>
        <row r="252">
          <cell r="R252">
            <v>42255</v>
          </cell>
          <cell r="S252">
            <v>12.666666666666666</v>
          </cell>
        </row>
        <row r="253">
          <cell r="R253">
            <v>42256</v>
          </cell>
          <cell r="S253">
            <v>12.666666666666666</v>
          </cell>
        </row>
        <row r="254">
          <cell r="R254">
            <v>42257</v>
          </cell>
          <cell r="S254">
            <v>12.666666666666666</v>
          </cell>
        </row>
        <row r="255">
          <cell r="R255">
            <v>42258</v>
          </cell>
          <cell r="S255">
            <v>12.666666666666666</v>
          </cell>
        </row>
        <row r="256">
          <cell r="R256">
            <v>42259</v>
          </cell>
          <cell r="S256">
            <v>12.666666666666666</v>
          </cell>
        </row>
        <row r="257">
          <cell r="R257">
            <v>42260</v>
          </cell>
          <cell r="S257">
            <v>12.666666666666666</v>
          </cell>
        </row>
        <row r="258">
          <cell r="R258">
            <v>42261</v>
          </cell>
          <cell r="S258">
            <v>12.666666666666666</v>
          </cell>
        </row>
        <row r="259">
          <cell r="R259">
            <v>42262</v>
          </cell>
          <cell r="S259">
            <v>12.666666666666666</v>
          </cell>
        </row>
        <row r="260">
          <cell r="R260">
            <v>42263</v>
          </cell>
          <cell r="S260">
            <v>12.666666666666666</v>
          </cell>
        </row>
        <row r="261">
          <cell r="R261">
            <v>42264</v>
          </cell>
          <cell r="S261">
            <v>12.666666666666666</v>
          </cell>
        </row>
        <row r="262">
          <cell r="R262">
            <v>42265</v>
          </cell>
          <cell r="S262">
            <v>12.666666666666666</v>
          </cell>
        </row>
        <row r="263">
          <cell r="R263">
            <v>42266</v>
          </cell>
          <cell r="S263">
            <v>12.666666666666666</v>
          </cell>
        </row>
        <row r="264">
          <cell r="R264">
            <v>42267</v>
          </cell>
          <cell r="S264">
            <v>12.666666666666666</v>
          </cell>
        </row>
        <row r="265">
          <cell r="R265">
            <v>42268</v>
          </cell>
          <cell r="S265">
            <v>12.666666666666666</v>
          </cell>
        </row>
        <row r="266">
          <cell r="R266">
            <v>42269</v>
          </cell>
          <cell r="S266">
            <v>12.666666666666666</v>
          </cell>
        </row>
        <row r="267">
          <cell r="R267">
            <v>42270</v>
          </cell>
          <cell r="S267">
            <v>12.666666666666666</v>
          </cell>
        </row>
        <row r="268">
          <cell r="R268">
            <v>42271</v>
          </cell>
          <cell r="S268">
            <v>12.666666666666666</v>
          </cell>
        </row>
        <row r="269">
          <cell r="R269">
            <v>42272</v>
          </cell>
          <cell r="S269">
            <v>12.666666666666666</v>
          </cell>
        </row>
        <row r="270">
          <cell r="R270">
            <v>42273</v>
          </cell>
          <cell r="S270">
            <v>12.666666666666666</v>
          </cell>
        </row>
        <row r="271">
          <cell r="R271">
            <v>42274</v>
          </cell>
          <cell r="S271">
            <v>12.666666666666666</v>
          </cell>
        </row>
        <row r="272">
          <cell r="R272">
            <v>42275</v>
          </cell>
          <cell r="S272">
            <v>12.666666666666666</v>
          </cell>
        </row>
        <row r="273">
          <cell r="R273">
            <v>42276</v>
          </cell>
          <cell r="S273">
            <v>12.666666666666666</v>
          </cell>
        </row>
        <row r="274">
          <cell r="R274">
            <v>42277</v>
          </cell>
          <cell r="S274">
            <v>12.666666666666666</v>
          </cell>
        </row>
        <row r="275">
          <cell r="R275">
            <v>42278</v>
          </cell>
          <cell r="S275">
            <v>20.967741935483872</v>
          </cell>
        </row>
        <row r="276">
          <cell r="R276">
            <v>42279</v>
          </cell>
          <cell r="S276">
            <v>20.967741935483872</v>
          </cell>
        </row>
        <row r="277">
          <cell r="R277">
            <v>42280</v>
          </cell>
          <cell r="S277">
            <v>20.967741935483872</v>
          </cell>
        </row>
        <row r="278">
          <cell r="R278">
            <v>42281</v>
          </cell>
          <cell r="S278">
            <v>20.967741935483872</v>
          </cell>
        </row>
        <row r="279">
          <cell r="R279">
            <v>42282</v>
          </cell>
          <cell r="S279">
            <v>20.967741935483872</v>
          </cell>
        </row>
        <row r="280">
          <cell r="R280">
            <v>42283</v>
          </cell>
          <cell r="S280">
            <v>20.967741935483872</v>
          </cell>
        </row>
        <row r="281">
          <cell r="R281">
            <v>42284</v>
          </cell>
          <cell r="S281">
            <v>20.967741935483872</v>
          </cell>
        </row>
        <row r="282">
          <cell r="R282">
            <v>42285</v>
          </cell>
          <cell r="S282">
            <v>20.967741935483872</v>
          </cell>
        </row>
        <row r="283">
          <cell r="R283">
            <v>42286</v>
          </cell>
          <cell r="S283">
            <v>20.967741935483872</v>
          </cell>
        </row>
        <row r="284">
          <cell r="R284">
            <v>42287</v>
          </cell>
          <cell r="S284">
            <v>20.967741935483872</v>
          </cell>
        </row>
        <row r="285">
          <cell r="R285">
            <v>42288</v>
          </cell>
          <cell r="S285">
            <v>20.967741935483872</v>
          </cell>
        </row>
        <row r="286">
          <cell r="R286">
            <v>42289</v>
          </cell>
          <cell r="S286">
            <v>20.967741935483872</v>
          </cell>
        </row>
        <row r="287">
          <cell r="R287">
            <v>42290</v>
          </cell>
          <cell r="S287">
            <v>20.967741935483872</v>
          </cell>
        </row>
        <row r="288">
          <cell r="R288">
            <v>42291</v>
          </cell>
          <cell r="S288">
            <v>20.967741935483872</v>
          </cell>
        </row>
        <row r="289">
          <cell r="R289">
            <v>42292</v>
          </cell>
          <cell r="S289">
            <v>20.967741935483872</v>
          </cell>
        </row>
        <row r="290">
          <cell r="R290">
            <v>42293</v>
          </cell>
          <cell r="S290">
            <v>20.967741935483872</v>
          </cell>
        </row>
        <row r="291">
          <cell r="R291">
            <v>42294</v>
          </cell>
          <cell r="S291">
            <v>20.967741935483872</v>
          </cell>
        </row>
        <row r="292">
          <cell r="R292">
            <v>42295</v>
          </cell>
          <cell r="S292">
            <v>20.967741935483872</v>
          </cell>
        </row>
        <row r="293">
          <cell r="R293">
            <v>42296</v>
          </cell>
          <cell r="S293">
            <v>20.967741935483872</v>
          </cell>
        </row>
        <row r="294">
          <cell r="R294">
            <v>42297</v>
          </cell>
          <cell r="S294">
            <v>20.967741935483872</v>
          </cell>
        </row>
        <row r="295">
          <cell r="R295">
            <v>42298</v>
          </cell>
          <cell r="S295">
            <v>20.967741935483872</v>
          </cell>
        </row>
        <row r="296">
          <cell r="R296">
            <v>42299</v>
          </cell>
          <cell r="S296">
            <v>20.967741935483872</v>
          </cell>
        </row>
        <row r="297">
          <cell r="R297">
            <v>42300</v>
          </cell>
          <cell r="S297">
            <v>20.967741935483872</v>
          </cell>
        </row>
        <row r="298">
          <cell r="R298">
            <v>42301</v>
          </cell>
          <cell r="S298">
            <v>20.967741935483872</v>
          </cell>
        </row>
        <row r="299">
          <cell r="R299">
            <v>42302</v>
          </cell>
          <cell r="S299">
            <v>20.967741935483872</v>
          </cell>
        </row>
        <row r="300">
          <cell r="R300">
            <v>42303</v>
          </cell>
          <cell r="S300">
            <v>20.967741935483872</v>
          </cell>
        </row>
        <row r="301">
          <cell r="R301">
            <v>42304</v>
          </cell>
          <cell r="S301">
            <v>20.967741935483872</v>
          </cell>
        </row>
        <row r="302">
          <cell r="R302">
            <v>42305</v>
          </cell>
          <cell r="S302">
            <v>20.967741935483872</v>
          </cell>
        </row>
        <row r="303">
          <cell r="R303">
            <v>42306</v>
          </cell>
          <cell r="S303">
            <v>20.967741935483872</v>
          </cell>
        </row>
        <row r="304">
          <cell r="R304">
            <v>42307</v>
          </cell>
          <cell r="S304">
            <v>20.967741935483872</v>
          </cell>
        </row>
        <row r="305">
          <cell r="R305">
            <v>42308</v>
          </cell>
          <cell r="S305">
            <v>20.967741935483872</v>
          </cell>
        </row>
        <row r="306">
          <cell r="R306">
            <v>42309</v>
          </cell>
          <cell r="S306">
            <v>30.666666666666668</v>
          </cell>
        </row>
        <row r="307">
          <cell r="R307">
            <v>42310</v>
          </cell>
          <cell r="S307">
            <v>30.666666666666668</v>
          </cell>
        </row>
        <row r="308">
          <cell r="R308">
            <v>42311</v>
          </cell>
          <cell r="S308">
            <v>30.666666666666668</v>
          </cell>
        </row>
        <row r="309">
          <cell r="R309">
            <v>42312</v>
          </cell>
          <cell r="S309">
            <v>30.666666666666668</v>
          </cell>
        </row>
        <row r="310">
          <cell r="R310">
            <v>42313</v>
          </cell>
          <cell r="S310">
            <v>30.666666666666668</v>
          </cell>
        </row>
        <row r="311">
          <cell r="R311">
            <v>42314</v>
          </cell>
          <cell r="S311">
            <v>30.666666666666668</v>
          </cell>
        </row>
        <row r="312">
          <cell r="R312">
            <v>42315</v>
          </cell>
          <cell r="S312">
            <v>30.666666666666668</v>
          </cell>
        </row>
        <row r="313">
          <cell r="R313">
            <v>42316</v>
          </cell>
          <cell r="S313">
            <v>30.666666666666668</v>
          </cell>
        </row>
        <row r="314">
          <cell r="R314">
            <v>42317</v>
          </cell>
          <cell r="S314">
            <v>30.666666666666668</v>
          </cell>
        </row>
        <row r="315">
          <cell r="R315">
            <v>42318</v>
          </cell>
          <cell r="S315">
            <v>30.666666666666668</v>
          </cell>
        </row>
        <row r="316">
          <cell r="R316">
            <v>42319</v>
          </cell>
          <cell r="S316">
            <v>30.666666666666668</v>
          </cell>
        </row>
        <row r="317">
          <cell r="R317">
            <v>42320</v>
          </cell>
          <cell r="S317">
            <v>30.666666666666668</v>
          </cell>
        </row>
        <row r="318">
          <cell r="R318">
            <v>42321</v>
          </cell>
          <cell r="S318">
            <v>30.666666666666668</v>
          </cell>
        </row>
        <row r="319">
          <cell r="R319">
            <v>42322</v>
          </cell>
          <cell r="S319">
            <v>30.666666666666668</v>
          </cell>
        </row>
        <row r="320">
          <cell r="R320">
            <v>42323</v>
          </cell>
          <cell r="S320">
            <v>30.666666666666668</v>
          </cell>
        </row>
        <row r="321">
          <cell r="R321">
            <v>42324</v>
          </cell>
          <cell r="S321">
            <v>30.666666666666668</v>
          </cell>
        </row>
        <row r="322">
          <cell r="R322">
            <v>42325</v>
          </cell>
          <cell r="S322">
            <v>30.666666666666668</v>
          </cell>
        </row>
        <row r="323">
          <cell r="R323">
            <v>42326</v>
          </cell>
          <cell r="S323">
            <v>30.666666666666668</v>
          </cell>
        </row>
        <row r="324">
          <cell r="R324">
            <v>42327</v>
          </cell>
          <cell r="S324">
            <v>30.666666666666668</v>
          </cell>
        </row>
        <row r="325">
          <cell r="R325">
            <v>42328</v>
          </cell>
          <cell r="S325">
            <v>30.666666666666668</v>
          </cell>
        </row>
        <row r="326">
          <cell r="R326">
            <v>42329</v>
          </cell>
          <cell r="S326">
            <v>30.666666666666668</v>
          </cell>
        </row>
        <row r="327">
          <cell r="R327">
            <v>42330</v>
          </cell>
          <cell r="S327">
            <v>30.666666666666668</v>
          </cell>
        </row>
        <row r="328">
          <cell r="R328">
            <v>42331</v>
          </cell>
          <cell r="S328">
            <v>30.666666666666668</v>
          </cell>
        </row>
        <row r="329">
          <cell r="R329">
            <v>42332</v>
          </cell>
          <cell r="S329">
            <v>30.666666666666668</v>
          </cell>
        </row>
        <row r="330">
          <cell r="R330">
            <v>42333</v>
          </cell>
          <cell r="S330">
            <v>30.666666666666668</v>
          </cell>
        </row>
        <row r="331">
          <cell r="R331">
            <v>42334</v>
          </cell>
          <cell r="S331">
            <v>30.666666666666668</v>
          </cell>
        </row>
        <row r="332">
          <cell r="R332">
            <v>42335</v>
          </cell>
          <cell r="S332">
            <v>30.666666666666668</v>
          </cell>
        </row>
        <row r="333">
          <cell r="R333">
            <v>42336</v>
          </cell>
          <cell r="S333">
            <v>30.666666666666668</v>
          </cell>
        </row>
        <row r="334">
          <cell r="R334">
            <v>42337</v>
          </cell>
          <cell r="S334">
            <v>30.666666666666668</v>
          </cell>
        </row>
        <row r="335">
          <cell r="R335">
            <v>42338</v>
          </cell>
          <cell r="S335">
            <v>30.666666666666668</v>
          </cell>
        </row>
        <row r="336">
          <cell r="R336">
            <v>42339</v>
          </cell>
          <cell r="S336">
            <v>34.838709677419352</v>
          </cell>
        </row>
        <row r="337">
          <cell r="R337">
            <v>42340</v>
          </cell>
          <cell r="S337">
            <v>34.838709677419352</v>
          </cell>
        </row>
        <row r="338">
          <cell r="R338">
            <v>42341</v>
          </cell>
          <cell r="S338">
            <v>34.838709677419352</v>
          </cell>
        </row>
        <row r="339">
          <cell r="R339">
            <v>42342</v>
          </cell>
          <cell r="S339">
            <v>34.838709677419352</v>
          </cell>
        </row>
        <row r="340">
          <cell r="R340">
            <v>42343</v>
          </cell>
          <cell r="S340">
            <v>34.838709677419352</v>
          </cell>
        </row>
        <row r="341">
          <cell r="R341">
            <v>42344</v>
          </cell>
          <cell r="S341">
            <v>34.838709677419352</v>
          </cell>
        </row>
        <row r="342">
          <cell r="R342">
            <v>42345</v>
          </cell>
          <cell r="S342">
            <v>34.838709677419352</v>
          </cell>
        </row>
        <row r="343">
          <cell r="R343">
            <v>42346</v>
          </cell>
          <cell r="S343">
            <v>34.838709677419352</v>
          </cell>
        </row>
        <row r="344">
          <cell r="R344">
            <v>42347</v>
          </cell>
          <cell r="S344">
            <v>34.838709677419352</v>
          </cell>
        </row>
        <row r="345">
          <cell r="R345">
            <v>42348</v>
          </cell>
          <cell r="S345">
            <v>34.838709677419352</v>
          </cell>
        </row>
        <row r="346">
          <cell r="R346">
            <v>42349</v>
          </cell>
          <cell r="S346">
            <v>34.838709677419352</v>
          </cell>
        </row>
        <row r="347">
          <cell r="R347">
            <v>42350</v>
          </cell>
          <cell r="S347">
            <v>34.838709677419352</v>
          </cell>
        </row>
        <row r="348">
          <cell r="R348">
            <v>42351</v>
          </cell>
          <cell r="S348">
            <v>34.838709677419352</v>
          </cell>
        </row>
        <row r="349">
          <cell r="R349">
            <v>42352</v>
          </cell>
          <cell r="S349">
            <v>34.838709677419352</v>
          </cell>
        </row>
        <row r="350">
          <cell r="R350">
            <v>42353</v>
          </cell>
          <cell r="S350">
            <v>34.838709677419352</v>
          </cell>
        </row>
        <row r="351">
          <cell r="R351">
            <v>42354</v>
          </cell>
          <cell r="S351">
            <v>34.838709677419352</v>
          </cell>
        </row>
        <row r="352">
          <cell r="R352">
            <v>42355</v>
          </cell>
          <cell r="S352">
            <v>34.838709677419352</v>
          </cell>
        </row>
        <row r="353">
          <cell r="R353">
            <v>42356</v>
          </cell>
          <cell r="S353">
            <v>34.838709677419352</v>
          </cell>
        </row>
        <row r="354">
          <cell r="R354">
            <v>42357</v>
          </cell>
          <cell r="S354">
            <v>34.838709677419352</v>
          </cell>
        </row>
        <row r="355">
          <cell r="R355">
            <v>42358</v>
          </cell>
          <cell r="S355">
            <v>34.838709677419352</v>
          </cell>
        </row>
        <row r="356">
          <cell r="R356">
            <v>42359</v>
          </cell>
          <cell r="S356">
            <v>34.838709677419352</v>
          </cell>
        </row>
        <row r="357">
          <cell r="R357">
            <v>42360</v>
          </cell>
          <cell r="S357">
            <v>34.838709677419352</v>
          </cell>
        </row>
        <row r="358">
          <cell r="R358">
            <v>42361</v>
          </cell>
          <cell r="S358">
            <v>34.838709677419352</v>
          </cell>
        </row>
        <row r="359">
          <cell r="R359">
            <v>42362</v>
          </cell>
          <cell r="S359">
            <v>34.838709677419352</v>
          </cell>
        </row>
        <row r="360">
          <cell r="R360">
            <v>42363</v>
          </cell>
          <cell r="S360">
            <v>34.838709677419352</v>
          </cell>
        </row>
        <row r="361">
          <cell r="R361">
            <v>42364</v>
          </cell>
          <cell r="S361">
            <v>34.838709677419352</v>
          </cell>
        </row>
        <row r="362">
          <cell r="R362">
            <v>42365</v>
          </cell>
          <cell r="S362">
            <v>34.838709677419352</v>
          </cell>
        </row>
        <row r="363">
          <cell r="R363">
            <v>42366</v>
          </cell>
          <cell r="S363">
            <v>34.838709677419352</v>
          </cell>
        </row>
        <row r="364">
          <cell r="R364">
            <v>42367</v>
          </cell>
          <cell r="S364">
            <v>34.838709677419352</v>
          </cell>
        </row>
        <row r="365">
          <cell r="R365">
            <v>42368</v>
          </cell>
          <cell r="S365">
            <v>34.838709677419352</v>
          </cell>
        </row>
        <row r="366">
          <cell r="R366">
            <v>42369</v>
          </cell>
          <cell r="S366">
            <v>34.838709677419352</v>
          </cell>
        </row>
        <row r="367">
          <cell r="R367">
            <v>42370</v>
          </cell>
          <cell r="S367">
            <v>34.064890044007484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PnVE"/>
      <sheetName val="2015"/>
    </sheetNames>
    <sheetDataSet>
      <sheetData sheetId="0"/>
      <sheetData sheetId="1">
        <row r="6">
          <cell r="B6">
            <v>32793.244577459714</v>
          </cell>
          <cell r="C6">
            <v>348554.10000000038</v>
          </cell>
          <cell r="D6">
            <v>1254794.7600000014</v>
          </cell>
          <cell r="E6">
            <v>10.628838484605986</v>
          </cell>
          <cell r="F6">
            <v>26878.824805038348</v>
          </cell>
          <cell r="G6">
            <v>285806.50999999995</v>
          </cell>
          <cell r="H6">
            <v>1028903.4359999999</v>
          </cell>
          <cell r="I6">
            <v>10.633147545439801</v>
          </cell>
          <cell r="J6">
            <v>20451.244841267824</v>
          </cell>
          <cell r="K6">
            <v>217427.12999999995</v>
          </cell>
          <cell r="L6">
            <v>782737.66799999983</v>
          </cell>
          <cell r="M6">
            <v>10.631486331886343</v>
          </cell>
          <cell r="N6">
            <v>15537.59697685305</v>
          </cell>
          <cell r="O6">
            <v>165305.67000000007</v>
          </cell>
          <cell r="P6">
            <v>595100.41200000024</v>
          </cell>
          <cell r="Q6">
            <v>10.63907567214301</v>
          </cell>
          <cell r="R6" t="e">
            <v>#DIV/0!</v>
          </cell>
          <cell r="S6"/>
          <cell r="T6">
            <v>0</v>
          </cell>
          <cell r="U6" t="e">
            <v>#DIV/0!</v>
          </cell>
          <cell r="V6" t="e">
            <v>#DIV/0!</v>
          </cell>
          <cell r="W6"/>
          <cell r="X6">
            <v>0</v>
          </cell>
          <cell r="Y6" t="e">
            <v>#DIV/0!</v>
          </cell>
          <cell r="Z6" t="e">
            <v>#DIV/0!</v>
          </cell>
          <cell r="AA6"/>
          <cell r="AB6">
            <v>0</v>
          </cell>
          <cell r="AC6" t="e">
            <v>#DIV/0!</v>
          </cell>
          <cell r="AD6" t="e">
            <v>#DIV/0!</v>
          </cell>
          <cell r="AE6"/>
          <cell r="AF6">
            <v>0</v>
          </cell>
          <cell r="AG6" t="e">
            <v>#DIV/0!</v>
          </cell>
          <cell r="AH6" t="e">
            <v>#DIV/0!</v>
          </cell>
          <cell r="AI6"/>
          <cell r="AJ6">
            <v>0</v>
          </cell>
          <cell r="AK6" t="e">
            <v>#DIV/0!</v>
          </cell>
          <cell r="AL6" t="e">
            <v>#DIV/0!</v>
          </cell>
          <cell r="AM6"/>
          <cell r="AN6">
            <v>0</v>
          </cell>
          <cell r="AO6" t="e">
            <v>#DIV/0!</v>
          </cell>
          <cell r="AP6" t="e">
            <v>#DIV/0!</v>
          </cell>
          <cell r="AQ6"/>
          <cell r="AR6">
            <v>0</v>
          </cell>
          <cell r="AS6" t="e">
            <v>#DIV/0!</v>
          </cell>
          <cell r="AT6" t="e">
            <v>#DIV/0!</v>
          </cell>
          <cell r="AU6"/>
          <cell r="AV6">
            <v>0</v>
          </cell>
          <cell r="AW6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25"/>
  <sheetViews>
    <sheetView tabSelected="1" view="pageBreakPreview" zoomScaleNormal="100" zoomScaleSheetLayoutView="100" workbookViewId="0">
      <selection activeCell="C1" sqref="C1"/>
    </sheetView>
  </sheetViews>
  <sheetFormatPr defaultRowHeight="12.75" x14ac:dyDescent="0.2"/>
  <cols>
    <col min="1" max="10" width="8.7109375" style="9" customWidth="1"/>
    <col min="11" max="11" width="9.140625" style="9"/>
    <col min="12" max="12" width="11.42578125" style="9" bestFit="1" customWidth="1"/>
    <col min="13" max="16384" width="9.140625" style="9"/>
  </cols>
  <sheetData>
    <row r="1" spans="1:10" ht="36" customHeight="1" x14ac:dyDescent="0.2">
      <c r="A1" s="202">
        <v>1</v>
      </c>
      <c r="B1" s="202"/>
      <c r="C1" s="190"/>
      <c r="D1" s="191"/>
      <c r="E1" s="191"/>
      <c r="F1" s="214"/>
      <c r="G1" s="190"/>
      <c r="H1" s="191"/>
      <c r="I1" s="191"/>
      <c r="J1" s="220"/>
    </row>
    <row r="2" spans="1:10" ht="36" customHeight="1" x14ac:dyDescent="0.2">
      <c r="A2" s="202"/>
      <c r="B2" s="190"/>
      <c r="C2" s="194"/>
      <c r="D2" s="197"/>
      <c r="E2" s="197"/>
      <c r="F2" s="218"/>
      <c r="G2" s="194"/>
      <c r="H2" s="215"/>
      <c r="I2" s="197"/>
      <c r="J2" s="192"/>
    </row>
    <row r="3" spans="1:10" ht="36" customHeight="1" x14ac:dyDescent="0.2">
      <c r="A3" s="190"/>
      <c r="B3" s="194"/>
      <c r="C3" s="195"/>
      <c r="D3" s="202"/>
      <c r="E3" s="205"/>
      <c r="F3" s="202"/>
      <c r="G3" s="193"/>
      <c r="H3" s="195"/>
      <c r="I3" s="202"/>
      <c r="J3" s="203"/>
    </row>
    <row r="4" spans="1:10" ht="36" customHeight="1" x14ac:dyDescent="0.2">
      <c r="A4" s="216">
        <v>4</v>
      </c>
      <c r="B4" s="197"/>
      <c r="C4" s="198"/>
      <c r="D4" s="202"/>
      <c r="E4" s="202"/>
      <c r="F4" s="202"/>
      <c r="G4" s="196"/>
      <c r="H4" s="198"/>
      <c r="I4" s="202"/>
      <c r="J4" s="204"/>
    </row>
    <row r="5" spans="1:10" ht="36" customHeight="1" x14ac:dyDescent="0.2">
      <c r="A5" s="205"/>
      <c r="B5" s="202"/>
      <c r="C5" s="202"/>
      <c r="D5" s="202"/>
      <c r="E5" s="202"/>
      <c r="F5" s="202"/>
      <c r="G5" s="202"/>
      <c r="H5" s="202"/>
      <c r="I5" s="202"/>
      <c r="J5" s="202"/>
    </row>
    <row r="6" spans="1:10" ht="36" customHeight="1" x14ac:dyDescent="0.2">
      <c r="A6" s="202"/>
      <c r="B6" s="202"/>
      <c r="C6" s="202"/>
      <c r="D6" s="202"/>
      <c r="E6" s="202"/>
      <c r="F6" s="202"/>
      <c r="G6" s="202"/>
      <c r="H6" s="202"/>
      <c r="I6" s="202"/>
      <c r="J6" s="202"/>
    </row>
    <row r="7" spans="1:10" ht="36" customHeight="1" x14ac:dyDescent="0.2">
      <c r="A7" s="202"/>
      <c r="B7" s="202"/>
      <c r="C7" s="202"/>
      <c r="D7" s="202"/>
      <c r="E7" s="202"/>
      <c r="F7" s="202"/>
      <c r="G7" s="202"/>
      <c r="H7" s="202"/>
      <c r="I7" s="202"/>
      <c r="J7" s="202"/>
    </row>
    <row r="8" spans="1:10" ht="36" customHeight="1" x14ac:dyDescent="0.2">
      <c r="A8" s="202"/>
      <c r="B8" s="202"/>
      <c r="C8" s="202"/>
      <c r="D8" s="202"/>
      <c r="E8" s="202"/>
      <c r="F8" s="202"/>
      <c r="G8" s="202"/>
      <c r="H8" s="202"/>
      <c r="I8" s="202"/>
      <c r="J8" s="202"/>
    </row>
    <row r="9" spans="1:10" ht="36" customHeight="1" x14ac:dyDescent="0.2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 ht="36" customHeight="1" x14ac:dyDescent="0.2">
      <c r="A10" s="202"/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6" customHeight="1" x14ac:dyDescent="0.2">
      <c r="A11" s="202"/>
      <c r="B11" s="202"/>
      <c r="C11" s="202"/>
      <c r="D11" s="202"/>
      <c r="E11" s="202"/>
      <c r="F11" s="202"/>
      <c r="G11" s="202"/>
      <c r="H11" s="202"/>
      <c r="I11" s="202"/>
      <c r="J11" s="202"/>
    </row>
    <row r="12" spans="1:10" ht="36" customHeight="1" x14ac:dyDescent="0.2">
      <c r="A12" s="202"/>
      <c r="B12" s="202"/>
      <c r="C12" s="202"/>
      <c r="D12" s="202"/>
      <c r="E12" s="202"/>
      <c r="F12" s="202"/>
      <c r="G12" s="202"/>
      <c r="H12" s="202"/>
      <c r="I12" s="202"/>
      <c r="J12" s="202"/>
    </row>
    <row r="13" spans="1:10" ht="36" customHeight="1" x14ac:dyDescent="0.2">
      <c r="A13" s="202"/>
      <c r="B13" s="202"/>
      <c r="C13" s="202"/>
      <c r="D13" s="202"/>
      <c r="E13" s="202"/>
      <c r="F13" s="202"/>
      <c r="G13" s="202"/>
      <c r="H13" s="202"/>
      <c r="I13" s="202"/>
      <c r="J13" s="202"/>
    </row>
    <row r="14" spans="1:10" ht="36" customHeight="1" x14ac:dyDescent="0.2">
      <c r="A14" s="202"/>
      <c r="B14" s="202"/>
      <c r="C14" s="202"/>
      <c r="D14" s="202"/>
      <c r="E14" s="202"/>
      <c r="F14" s="202"/>
      <c r="G14" s="202"/>
      <c r="H14" s="202"/>
      <c r="I14" s="202"/>
      <c r="J14" s="202"/>
    </row>
    <row r="15" spans="1:10" ht="36" customHeight="1" x14ac:dyDescent="0.2">
      <c r="A15" s="202"/>
      <c r="B15" s="202"/>
      <c r="C15" s="202"/>
      <c r="D15" s="202"/>
      <c r="E15" s="202"/>
      <c r="F15" s="202"/>
      <c r="G15" s="202"/>
      <c r="H15" s="202"/>
      <c r="I15" s="202"/>
      <c r="J15" s="202"/>
    </row>
    <row r="16" spans="1:10" ht="36" customHeight="1" x14ac:dyDescent="0.2">
      <c r="A16" s="202"/>
      <c r="B16" s="202"/>
      <c r="C16" s="202"/>
      <c r="D16" s="202"/>
      <c r="E16" s="202"/>
      <c r="F16" s="202"/>
      <c r="G16" s="202"/>
      <c r="H16" s="202"/>
      <c r="I16" s="202"/>
      <c r="J16" s="212"/>
    </row>
    <row r="17" spans="1:10" ht="36" customHeight="1" x14ac:dyDescent="0.2">
      <c r="A17" s="202"/>
      <c r="B17" s="202"/>
      <c r="C17" s="190"/>
      <c r="D17" s="191"/>
      <c r="E17" s="206"/>
      <c r="F17" s="202"/>
      <c r="G17" s="202"/>
      <c r="H17" s="190"/>
      <c r="I17" s="191"/>
      <c r="J17" s="212"/>
    </row>
    <row r="18" spans="1:10" ht="36" customHeight="1" x14ac:dyDescent="0.2">
      <c r="A18" s="202"/>
      <c r="B18" s="202"/>
      <c r="C18" s="202"/>
      <c r="D18" s="197"/>
      <c r="E18" s="210"/>
      <c r="F18" s="211"/>
      <c r="G18" s="191"/>
      <c r="H18" s="194"/>
      <c r="I18" s="194"/>
      <c r="J18" s="220"/>
    </row>
    <row r="19" spans="1:10" ht="36" customHeight="1" x14ac:dyDescent="0.2">
      <c r="A19" s="202"/>
      <c r="B19" s="202"/>
      <c r="C19" s="202"/>
      <c r="D19" s="202"/>
      <c r="E19" s="202"/>
      <c r="F19" s="193"/>
      <c r="G19" s="788" t="s">
        <v>60</v>
      </c>
      <c r="H19" s="788"/>
      <c r="I19" s="207"/>
      <c r="J19" s="192"/>
    </row>
    <row r="20" spans="1:10" ht="36" customHeight="1" x14ac:dyDescent="0.2">
      <c r="A20" s="202"/>
      <c r="B20" s="202"/>
      <c r="C20" s="202"/>
      <c r="D20" s="202"/>
      <c r="E20" s="202"/>
      <c r="F20" s="209"/>
      <c r="G20" s="194"/>
      <c r="H20" s="194"/>
      <c r="I20" s="207"/>
      <c r="J20" s="208"/>
    </row>
    <row r="21" spans="1:10" ht="36" customHeight="1" x14ac:dyDescent="0.2">
      <c r="A21" s="190"/>
      <c r="B21" s="191"/>
      <c r="C21" s="192"/>
      <c r="D21" s="202"/>
      <c r="E21" s="190"/>
      <c r="F21" s="194"/>
      <c r="G21" s="213"/>
      <c r="H21" s="207"/>
      <c r="I21" s="788">
        <v>2015</v>
      </c>
      <c r="J21" s="788"/>
    </row>
    <row r="22" spans="1:10" ht="36" customHeight="1" x14ac:dyDescent="0.2">
      <c r="A22" s="196"/>
      <c r="B22" s="214"/>
      <c r="C22" s="194"/>
      <c r="D22" s="191"/>
      <c r="E22" s="197"/>
      <c r="F22" s="194"/>
      <c r="G22" s="210"/>
      <c r="H22" s="210"/>
      <c r="I22" s="207"/>
      <c r="J22" s="217"/>
    </row>
    <row r="23" spans="1:10" ht="36" customHeight="1" x14ac:dyDescent="0.2">
      <c r="A23" s="789" t="s">
        <v>43</v>
      </c>
      <c r="B23" s="790"/>
      <c r="C23" s="197"/>
      <c r="D23" s="197"/>
      <c r="E23" s="219"/>
      <c r="F23" s="204"/>
      <c r="G23" s="202"/>
      <c r="H23" s="202"/>
      <c r="I23" s="196"/>
      <c r="J23" s="219"/>
    </row>
    <row r="24" spans="1:10" ht="36" customHeight="1" x14ac:dyDescent="0.2"/>
    <row r="25" spans="1:10" ht="36" customHeight="1" x14ac:dyDescent="0.2"/>
  </sheetData>
  <mergeCells count="3">
    <mergeCell ref="G19:H19"/>
    <mergeCell ref="A23:B23"/>
    <mergeCell ref="I21:J2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129"/>
  <sheetViews>
    <sheetView view="pageBreakPreview" zoomScaleNormal="100" zoomScaleSheetLayoutView="100" workbookViewId="0">
      <selection activeCell="C1" sqref="C1"/>
    </sheetView>
  </sheetViews>
  <sheetFormatPr defaultRowHeight="12.75" x14ac:dyDescent="0.2"/>
  <cols>
    <col min="1" max="1" width="20.7109375" style="3" customWidth="1"/>
    <col min="2" max="2" width="3.85546875" style="3" customWidth="1"/>
    <col min="3" max="3" width="13.7109375" style="3" customWidth="1"/>
    <col min="4" max="5" width="8.7109375" style="3" customWidth="1"/>
    <col min="6" max="6" width="6.7109375" style="3" customWidth="1"/>
    <col min="7" max="7" width="7.7109375" style="3" customWidth="1"/>
    <col min="8" max="9" width="8.7109375" style="3" customWidth="1"/>
    <col min="10" max="10" width="6.7109375" style="3" customWidth="1"/>
    <col min="11" max="11" width="12.85546875" style="3" customWidth="1"/>
    <col min="12" max="13" width="9.140625" style="3"/>
    <col min="14" max="14" width="11.140625" style="3" customWidth="1"/>
    <col min="15" max="16384" width="9.140625" style="3"/>
  </cols>
  <sheetData>
    <row r="1" spans="1:16" x14ac:dyDescent="0.2">
      <c r="I1" s="821" t="s">
        <v>266</v>
      </c>
      <c r="J1" s="821"/>
    </row>
    <row r="2" spans="1:16" ht="6.75" customHeight="1" x14ac:dyDescent="0.2"/>
    <row r="3" spans="1:16" ht="30" customHeight="1" x14ac:dyDescent="0.2">
      <c r="A3" s="829" t="s">
        <v>302</v>
      </c>
      <c r="B3" s="829"/>
      <c r="C3" s="829"/>
      <c r="D3" s="829"/>
      <c r="E3" s="829"/>
      <c r="F3" s="829"/>
      <c r="G3" s="829"/>
      <c r="H3" s="829"/>
      <c r="I3" s="829"/>
      <c r="J3" s="829"/>
    </row>
    <row r="4" spans="1:16" ht="16.5" customHeight="1" x14ac:dyDescent="0.2">
      <c r="B4" s="242"/>
      <c r="C4" s="828" t="str">
        <f>T!G19</f>
        <v>Duben</v>
      </c>
      <c r="D4" s="828"/>
      <c r="E4" s="223">
        <f>T!I21</f>
        <v>2015</v>
      </c>
      <c r="F4" s="242"/>
      <c r="G4" s="242"/>
      <c r="H4" s="242"/>
    </row>
    <row r="5" spans="1:16" ht="6.75" customHeight="1" x14ac:dyDescent="0.2">
      <c r="A5" s="271"/>
      <c r="B5" s="272"/>
      <c r="C5" s="272"/>
      <c r="D5" s="270"/>
      <c r="E5" s="242"/>
      <c r="F5" s="242"/>
      <c r="G5" s="242"/>
      <c r="H5" s="273"/>
      <c r="I5" s="91"/>
    </row>
    <row r="6" spans="1:16" ht="14.1" customHeight="1" x14ac:dyDescent="0.25">
      <c r="A6" s="271"/>
      <c r="B6" s="126"/>
      <c r="C6" s="274"/>
      <c r="D6" s="275"/>
      <c r="E6" s="276"/>
      <c r="F6" s="276"/>
      <c r="G6" s="831" t="s">
        <v>226</v>
      </c>
      <c r="H6" s="277"/>
      <c r="I6" s="276"/>
      <c r="J6" s="274"/>
    </row>
    <row r="7" spans="1:16" ht="14.1" customHeight="1" x14ac:dyDescent="0.25">
      <c r="A7" s="278"/>
      <c r="B7" s="279"/>
      <c r="C7" s="263"/>
      <c r="D7" s="264" t="str">
        <f>T!$G$19</f>
        <v>Duben</v>
      </c>
      <c r="E7" s="265">
        <f>E4</f>
        <v>2015</v>
      </c>
      <c r="F7" s="265"/>
      <c r="G7" s="832"/>
      <c r="H7" s="280" t="str">
        <f>T!$G$19</f>
        <v>Duben</v>
      </c>
      <c r="I7" s="260">
        <f>E4-1</f>
        <v>2014</v>
      </c>
      <c r="J7" s="274"/>
    </row>
    <row r="8" spans="1:16" ht="14.1" customHeight="1" x14ac:dyDescent="0.2">
      <c r="A8" s="278"/>
      <c r="B8" s="372"/>
      <c r="D8" s="840" t="s">
        <v>71</v>
      </c>
      <c r="E8" s="793"/>
      <c r="F8" s="331" t="s">
        <v>224</v>
      </c>
      <c r="G8" s="832"/>
      <c r="H8" s="841" t="s">
        <v>71</v>
      </c>
      <c r="I8" s="793"/>
      <c r="J8" s="349" t="s">
        <v>224</v>
      </c>
    </row>
    <row r="9" spans="1:16" ht="12" customHeight="1" x14ac:dyDescent="0.2">
      <c r="A9" s="250"/>
      <c r="B9" s="373"/>
      <c r="C9" s="373"/>
      <c r="D9" s="435" t="s">
        <v>15</v>
      </c>
      <c r="E9" s="375" t="s">
        <v>1</v>
      </c>
      <c r="F9" s="332" t="s">
        <v>127</v>
      </c>
      <c r="G9" s="833"/>
      <c r="H9" s="281" t="s">
        <v>15</v>
      </c>
      <c r="I9" s="266" t="s">
        <v>1</v>
      </c>
      <c r="J9" s="350" t="s">
        <v>127</v>
      </c>
    </row>
    <row r="10" spans="1:16" ht="12" customHeight="1" x14ac:dyDescent="0.2">
      <c r="A10" s="834" t="s">
        <v>4</v>
      </c>
      <c r="B10" s="834"/>
      <c r="C10" s="369"/>
      <c r="D10" s="487">
        <f>E7</f>
        <v>2015</v>
      </c>
      <c r="E10" s="368"/>
      <c r="F10" s="333"/>
      <c r="G10" s="315"/>
      <c r="H10" s="485">
        <f>I7</f>
        <v>2014</v>
      </c>
      <c r="I10" s="365"/>
      <c r="J10" s="351"/>
    </row>
    <row r="11" spans="1:16" ht="12" customHeight="1" x14ac:dyDescent="0.2">
      <c r="A11" s="95"/>
      <c r="B11" s="95"/>
      <c r="C11" s="370" t="s">
        <v>17</v>
      </c>
      <c r="D11" s="89">
        <f>'7'!E15</f>
        <v>21643.864000000001</v>
      </c>
      <c r="E11" s="96">
        <f>'7'!F15</f>
        <v>230269.95765</v>
      </c>
      <c r="F11" s="334">
        <f>D11/$D$25</f>
        <v>3.550751091039301E-2</v>
      </c>
      <c r="G11" s="691">
        <f>(D11-H11)/H11</f>
        <v>0.2869286141373244</v>
      </c>
      <c r="H11" s="96">
        <f>'7'!I15</f>
        <v>16818.232</v>
      </c>
      <c r="I11" s="96">
        <f>'7'!J15</f>
        <v>178792.11535600002</v>
      </c>
      <c r="J11" s="352">
        <f>H11/$H$25</f>
        <v>3.2433787168916588E-2</v>
      </c>
    </row>
    <row r="12" spans="1:16" ht="12" customHeight="1" x14ac:dyDescent="0.2">
      <c r="A12" s="95"/>
      <c r="B12" s="95"/>
      <c r="C12" s="370" t="s">
        <v>18</v>
      </c>
      <c r="D12" s="89">
        <f>'7'!E22</f>
        <v>81323.8</v>
      </c>
      <c r="E12" s="96">
        <f>'7'!F22</f>
        <v>865336.72777199978</v>
      </c>
      <c r="F12" s="334">
        <f>D12/$D$25</f>
        <v>0.13341451950421696</v>
      </c>
      <c r="G12" s="691">
        <f t="shared" ref="G12" si="0">(D12-H12)/H12</f>
        <v>0.25444131997093888</v>
      </c>
      <c r="H12" s="96">
        <f>'7'!I22</f>
        <v>64828.7</v>
      </c>
      <c r="I12" s="96">
        <f>'7'!J22</f>
        <v>689475.66097499989</v>
      </c>
      <c r="J12" s="352">
        <f t="shared" ref="J12:J24" si="1">H12/$H$25</f>
        <v>0.12502148015543743</v>
      </c>
      <c r="K12" s="284"/>
      <c r="L12" s="284"/>
      <c r="N12" s="284"/>
      <c r="O12" s="284"/>
      <c r="P12" s="284"/>
    </row>
    <row r="13" spans="1:16" ht="12" customHeight="1" x14ac:dyDescent="0.2">
      <c r="A13" s="292"/>
      <c r="B13" s="268"/>
      <c r="C13" s="370" t="s">
        <v>19</v>
      </c>
      <c r="D13" s="89">
        <f>'7'!E29</f>
        <v>17676.5</v>
      </c>
      <c r="E13" s="96">
        <f>'7'!F29</f>
        <v>188089.80733800004</v>
      </c>
      <c r="F13" s="334">
        <f>D13/$D$25</f>
        <v>2.8998912421902209E-2</v>
      </c>
      <c r="G13" s="691">
        <f>(D13-H13)/H13</f>
        <v>0.25903687400727932</v>
      </c>
      <c r="H13" s="96">
        <f>'7'!I29</f>
        <v>14039.7</v>
      </c>
      <c r="I13" s="96">
        <f>'7'!J29</f>
        <v>149317.50493900001</v>
      </c>
      <c r="J13" s="352">
        <f t="shared" si="1"/>
        <v>2.707541682832287E-2</v>
      </c>
      <c r="K13" s="284"/>
      <c r="L13" s="284"/>
      <c r="N13" s="284"/>
      <c r="O13" s="284"/>
      <c r="P13" s="284"/>
    </row>
    <row r="14" spans="1:16" ht="12" customHeight="1" x14ac:dyDescent="0.2">
      <c r="A14" s="292"/>
      <c r="B14" s="268"/>
      <c r="C14" s="370" t="s">
        <v>20</v>
      </c>
      <c r="D14" s="89">
        <f>'7'!E36</f>
        <v>25010.9</v>
      </c>
      <c r="E14" s="96">
        <f>'7'!F36</f>
        <v>266132.21443399996</v>
      </c>
      <c r="F14" s="334">
        <f>D14/$D$25</f>
        <v>4.1031250456422592E-2</v>
      </c>
      <c r="G14" s="691">
        <f>(D14-H14)/H14</f>
        <v>0.18783898023347476</v>
      </c>
      <c r="H14" s="96">
        <f>'7'!I36</f>
        <v>21055.800000000003</v>
      </c>
      <c r="I14" s="96">
        <f>'7'!J36</f>
        <v>223935.30248199994</v>
      </c>
      <c r="J14" s="352">
        <f t="shared" si="1"/>
        <v>4.0605893406112724E-2</v>
      </c>
      <c r="K14" s="284"/>
      <c r="L14" s="284"/>
      <c r="N14" s="284"/>
      <c r="O14" s="284"/>
      <c r="P14" s="284"/>
    </row>
    <row r="15" spans="1:16" ht="12" customHeight="1" x14ac:dyDescent="0.2">
      <c r="A15" s="292"/>
      <c r="B15" s="268"/>
      <c r="C15" s="370" t="s">
        <v>21</v>
      </c>
      <c r="D15" s="89">
        <f>'7'!E43</f>
        <v>26533.4</v>
      </c>
      <c r="E15" s="96">
        <f>'7'!F43</f>
        <v>282332.74379999994</v>
      </c>
      <c r="F15" s="334">
        <f t="shared" ref="F15:F23" si="2">D15/$D$25</f>
        <v>4.3528964605849582E-2</v>
      </c>
      <c r="G15" s="692">
        <f>(D15-H15)/H15</f>
        <v>0.23899846837760097</v>
      </c>
      <c r="H15" s="96">
        <f>'7'!I43</f>
        <v>21415.200000000001</v>
      </c>
      <c r="I15" s="96">
        <f>'7'!J43</f>
        <v>227758.66464600008</v>
      </c>
      <c r="J15" s="352">
        <f t="shared" si="1"/>
        <v>4.1298992603965891E-2</v>
      </c>
      <c r="K15" s="284"/>
      <c r="L15" s="284"/>
      <c r="N15" s="284"/>
      <c r="O15" s="284"/>
      <c r="P15" s="284"/>
    </row>
    <row r="16" spans="1:16" ht="12" customHeight="1" x14ac:dyDescent="0.2">
      <c r="A16" s="274"/>
      <c r="B16" s="274"/>
      <c r="C16" s="370" t="s">
        <v>22</v>
      </c>
      <c r="D16" s="89">
        <f>'7'!E50</f>
        <v>71418.934999999998</v>
      </c>
      <c r="E16" s="96">
        <f>'7'!F50</f>
        <v>759776.61688999995</v>
      </c>
      <c r="F16" s="334">
        <f t="shared" si="2"/>
        <v>0.11716524432611243</v>
      </c>
      <c r="G16" s="692">
        <f t="shared" ref="G16:G27" si="3">(D16-H16)/H16</f>
        <v>0.17225321276770539</v>
      </c>
      <c r="H16" s="96">
        <f>'7'!I50</f>
        <v>60924.494999999995</v>
      </c>
      <c r="I16" s="96">
        <f>'7'!J50</f>
        <v>647803.80971200019</v>
      </c>
      <c r="J16" s="352">
        <f t="shared" si="1"/>
        <v>0.11749226102979925</v>
      </c>
      <c r="K16" s="284"/>
      <c r="L16" s="284"/>
      <c r="N16" s="284"/>
      <c r="O16" s="284"/>
      <c r="P16" s="284"/>
    </row>
    <row r="17" spans="1:15" ht="12" customHeight="1" x14ac:dyDescent="0.2">
      <c r="A17" s="274"/>
      <c r="B17" s="274"/>
      <c r="C17" s="370" t="s">
        <v>23</v>
      </c>
      <c r="D17" s="89">
        <f>'7'!E57</f>
        <v>33910.100000000006</v>
      </c>
      <c r="E17" s="96">
        <f>'7'!F57</f>
        <v>360824.91551999992</v>
      </c>
      <c r="F17" s="334">
        <f t="shared" si="2"/>
        <v>5.5630697260088041E-2</v>
      </c>
      <c r="G17" s="692">
        <f t="shared" si="3"/>
        <v>0.19884252466794192</v>
      </c>
      <c r="H17" s="96">
        <f>'7'!I57</f>
        <v>28285.7</v>
      </c>
      <c r="I17" s="96">
        <f>'7'!J57</f>
        <v>300828.36395799997</v>
      </c>
      <c r="J17" s="352">
        <f t="shared" si="1"/>
        <v>5.4548681081568143E-2</v>
      </c>
      <c r="K17" s="284"/>
      <c r="L17" s="284"/>
    </row>
    <row r="18" spans="1:15" ht="12" customHeight="1" x14ac:dyDescent="0.2">
      <c r="A18" s="274"/>
      <c r="B18" s="274"/>
      <c r="C18" s="370" t="s">
        <v>24</v>
      </c>
      <c r="D18" s="89">
        <f>'8'!E15</f>
        <v>29851.1</v>
      </c>
      <c r="E18" s="96">
        <f>'8'!F15</f>
        <v>317635.92491999996</v>
      </c>
      <c r="F18" s="334">
        <f t="shared" si="2"/>
        <v>4.8971766729694506E-2</v>
      </c>
      <c r="G18" s="692">
        <f t="shared" si="3"/>
        <v>0.28832351481409546</v>
      </c>
      <c r="H18" s="96">
        <f>'8'!I15</f>
        <v>23170.5</v>
      </c>
      <c r="I18" s="96">
        <f>'8'!J15</f>
        <v>246425.85946499999</v>
      </c>
      <c r="J18" s="352">
        <f t="shared" si="1"/>
        <v>4.4684070572779691E-2</v>
      </c>
      <c r="K18" s="284"/>
      <c r="L18" s="284"/>
      <c r="M18" s="284"/>
    </row>
    <row r="19" spans="1:15" ht="12" customHeight="1" x14ac:dyDescent="0.2">
      <c r="A19" s="274"/>
      <c r="B19" s="274"/>
      <c r="C19" s="370" t="s">
        <v>25</v>
      </c>
      <c r="D19" s="89">
        <f>'8'!E22</f>
        <v>29397.7</v>
      </c>
      <c r="E19" s="96">
        <f>'8'!F22</f>
        <v>312809.6447</v>
      </c>
      <c r="F19" s="334">
        <f t="shared" si="2"/>
        <v>4.8227948276262526E-2</v>
      </c>
      <c r="G19" s="692">
        <f t="shared" si="3"/>
        <v>0.14446274170880874</v>
      </c>
      <c r="H19" s="96">
        <f>'8'!I22</f>
        <v>25686.9</v>
      </c>
      <c r="I19" s="96">
        <f>'8'!J22</f>
        <v>273190.05053600005</v>
      </c>
      <c r="J19" s="352">
        <f t="shared" si="1"/>
        <v>4.9536922051571383E-2</v>
      </c>
      <c r="K19" s="287"/>
      <c r="L19" s="287"/>
      <c r="M19" s="284"/>
    </row>
    <row r="20" spans="1:15" ht="12" customHeight="1" x14ac:dyDescent="0.2">
      <c r="A20" s="274"/>
      <c r="B20" s="274"/>
      <c r="C20" s="370" t="s">
        <v>3</v>
      </c>
      <c r="D20" s="89">
        <f>'8'!E29</f>
        <v>69053.196800530161</v>
      </c>
      <c r="E20" s="96">
        <f>'8'!F29</f>
        <v>734008.43199995183</v>
      </c>
      <c r="F20" s="334">
        <f t="shared" si="2"/>
        <v>0.11328416861205283</v>
      </c>
      <c r="G20" s="692">
        <f t="shared" si="3"/>
        <v>0.26215603065370513</v>
      </c>
      <c r="H20" s="96">
        <f>'8'!I29</f>
        <v>54710.50735681675</v>
      </c>
      <c r="I20" s="96">
        <f>'8'!J29</f>
        <v>581231.50499993027</v>
      </c>
      <c r="J20" s="352">
        <f t="shared" si="1"/>
        <v>0.10550864986964383</v>
      </c>
      <c r="K20" s="284"/>
      <c r="L20" s="284"/>
      <c r="M20" s="284"/>
      <c r="N20" s="284"/>
      <c r="O20" s="284"/>
    </row>
    <row r="21" spans="1:15" ht="12" customHeight="1" x14ac:dyDescent="0.2">
      <c r="A21" s="274"/>
      <c r="B21" s="274"/>
      <c r="C21" s="370" t="s">
        <v>26</v>
      </c>
      <c r="D21" s="89">
        <f>'8'!E36</f>
        <v>78357.813999999998</v>
      </c>
      <c r="E21" s="96">
        <f>'8'!F36</f>
        <v>833763.54107999988</v>
      </c>
      <c r="F21" s="334">
        <f t="shared" si="2"/>
        <v>0.12854871641771293</v>
      </c>
      <c r="G21" s="692">
        <f t="shared" si="3"/>
        <v>0.19786702788348706</v>
      </c>
      <c r="H21" s="96">
        <f>'8'!I36</f>
        <v>65414.451000000001</v>
      </c>
      <c r="I21" s="96">
        <f>'8'!J36</f>
        <v>695686.9673850002</v>
      </c>
      <c r="J21" s="352">
        <f t="shared" si="1"/>
        <v>0.12615109492516946</v>
      </c>
      <c r="K21" s="284"/>
      <c r="L21" s="284"/>
      <c r="M21" s="284"/>
      <c r="N21" s="284"/>
      <c r="O21" s="284"/>
    </row>
    <row r="22" spans="1:15" ht="12" customHeight="1" x14ac:dyDescent="0.2">
      <c r="A22" s="274"/>
      <c r="B22" s="274"/>
      <c r="C22" s="370" t="s">
        <v>27</v>
      </c>
      <c r="D22" s="89">
        <f>'8'!E43</f>
        <v>67119.907000000007</v>
      </c>
      <c r="E22" s="96">
        <f>'8'!F43</f>
        <v>714198.91157099989</v>
      </c>
      <c r="F22" s="334">
        <f t="shared" si="2"/>
        <v>0.11011253952192013</v>
      </c>
      <c r="G22" s="692">
        <f t="shared" si="3"/>
        <v>-3.5371324061905254E-2</v>
      </c>
      <c r="H22" s="96">
        <f>'8'!I43</f>
        <v>69581.082000000009</v>
      </c>
      <c r="I22" s="96">
        <f>'8'!J43</f>
        <v>739978.32038599986</v>
      </c>
      <c r="J22" s="352">
        <f t="shared" si="1"/>
        <v>0.13418639988858122</v>
      </c>
      <c r="K22" s="284"/>
      <c r="L22" s="284"/>
      <c r="M22" s="284"/>
      <c r="N22" s="284"/>
      <c r="O22" s="284"/>
    </row>
    <row r="23" spans="1:15" ht="12" customHeight="1" x14ac:dyDescent="0.2">
      <c r="A23" s="274"/>
      <c r="B23" s="274"/>
      <c r="C23" s="370" t="s">
        <v>28</v>
      </c>
      <c r="D23" s="89">
        <f>'8'!E50</f>
        <v>26917.725999999999</v>
      </c>
      <c r="E23" s="96">
        <f>'8'!F50</f>
        <v>286415.40483999997</v>
      </c>
      <c r="F23" s="334">
        <f t="shared" si="2"/>
        <v>4.415946476229797E-2</v>
      </c>
      <c r="G23" s="692">
        <f t="shared" si="3"/>
        <v>7.7289656033015436E-2</v>
      </c>
      <c r="H23" s="96">
        <f>'8'!I50</f>
        <v>24986.526000000002</v>
      </c>
      <c r="I23" s="96">
        <f>'8'!J50</f>
        <v>265723.136513</v>
      </c>
      <c r="J23" s="352">
        <f t="shared" si="1"/>
        <v>4.818625800706048E-2</v>
      </c>
      <c r="K23" s="284"/>
      <c r="L23" s="284"/>
      <c r="M23" s="284"/>
      <c r="N23" s="284"/>
      <c r="O23" s="284"/>
    </row>
    <row r="24" spans="1:15" ht="12" customHeight="1" x14ac:dyDescent="0.2">
      <c r="A24" s="274"/>
      <c r="B24" s="274"/>
      <c r="C24" s="370" t="s">
        <v>29</v>
      </c>
      <c r="D24" s="89">
        <f>'8'!E57</f>
        <v>31342.400000000001</v>
      </c>
      <c r="E24" s="96">
        <f>'8'!F57</f>
        <v>333504.07064999995</v>
      </c>
      <c r="F24" s="334">
        <f>D24/$D$25</f>
        <v>5.1418296195074126E-2</v>
      </c>
      <c r="G24" s="692">
        <f t="shared" si="3"/>
        <v>0.13466098534900661</v>
      </c>
      <c r="H24" s="96">
        <f>'8'!I57</f>
        <v>27622.699999999997</v>
      </c>
      <c r="I24" s="96">
        <f>'8'!J57</f>
        <v>293776.93946599995</v>
      </c>
      <c r="J24" s="352">
        <f t="shared" si="1"/>
        <v>5.3270092411071036E-2</v>
      </c>
      <c r="K24" s="284"/>
      <c r="L24" s="284"/>
      <c r="M24" s="284"/>
      <c r="N24" s="284"/>
      <c r="O24" s="284"/>
    </row>
    <row r="25" spans="1:15" ht="12" customHeight="1" x14ac:dyDescent="0.2">
      <c r="A25" s="433"/>
      <c r="B25" s="433"/>
      <c r="C25" s="428" t="s">
        <v>2</v>
      </c>
      <c r="D25" s="429">
        <f>SUM(D11:D24)</f>
        <v>609557.34280053026</v>
      </c>
      <c r="E25" s="430">
        <f>SUM(E11:E24)</f>
        <v>6485098.9131649518</v>
      </c>
      <c r="F25" s="431">
        <f>SUM(F11:F24)</f>
        <v>0.99999999999999978</v>
      </c>
      <c r="G25" s="693">
        <f>(D25-H25)/H25</f>
        <v>0.17552505659588519</v>
      </c>
      <c r="H25" s="430">
        <f>SUM(H11:H24)</f>
        <v>518540.49335681676</v>
      </c>
      <c r="I25" s="430">
        <f>SUM(I11:I24)</f>
        <v>5513924.2008189308</v>
      </c>
      <c r="J25" s="432">
        <f>SUM(J11:J24)</f>
        <v>1</v>
      </c>
      <c r="K25" s="287"/>
      <c r="M25" s="284"/>
      <c r="N25" s="284"/>
      <c r="O25" s="284"/>
    </row>
    <row r="26" spans="1:15" ht="12" customHeight="1" x14ac:dyDescent="0.2">
      <c r="A26" s="433"/>
      <c r="B26" s="433"/>
      <c r="C26" s="370" t="s">
        <v>178</v>
      </c>
      <c r="D26" s="248">
        <f>'5'!E16</f>
        <v>13251.335840089334</v>
      </c>
      <c r="E26" s="173">
        <f>'5'!F16</f>
        <v>141009.74815999996</v>
      </c>
      <c r="F26" s="347"/>
      <c r="G26" s="692">
        <f t="shared" si="3"/>
        <v>-0.14218753692026406</v>
      </c>
      <c r="H26" s="173">
        <f>'5'!I16</f>
        <v>15447.823866435929</v>
      </c>
      <c r="I26" s="173">
        <f>'5'!J16</f>
        <v>165259.36970000004</v>
      </c>
      <c r="J26" s="362"/>
      <c r="K26" s="287"/>
      <c r="M26" s="284"/>
      <c r="N26" s="284"/>
      <c r="O26" s="284"/>
    </row>
    <row r="27" spans="1:15" ht="12" customHeight="1" x14ac:dyDescent="0.2">
      <c r="A27" s="433"/>
      <c r="B27" s="433"/>
      <c r="C27" s="371" t="s">
        <v>5</v>
      </c>
      <c r="D27" s="251">
        <f>SUM(D25:D26)</f>
        <v>622808.67864061962</v>
      </c>
      <c r="E27" s="252">
        <f>SUM(E25:E26)</f>
        <v>6626108.6613249518</v>
      </c>
      <c r="F27" s="336"/>
      <c r="G27" s="318">
        <f t="shared" si="3"/>
        <v>0.16633390385623809</v>
      </c>
      <c r="H27" s="286">
        <f>SUM(H25:H26)</f>
        <v>533988.31722325273</v>
      </c>
      <c r="I27" s="252">
        <f>SUM(I25:I26)</f>
        <v>5679183.5705189304</v>
      </c>
      <c r="J27" s="354"/>
    </row>
    <row r="28" spans="1:15" ht="12" customHeight="1" x14ac:dyDescent="0.2">
      <c r="A28" s="292"/>
      <c r="B28" s="268"/>
      <c r="C28" s="257"/>
      <c r="D28" s="488"/>
      <c r="E28" s="377"/>
      <c r="F28" s="378"/>
      <c r="G28" s="379"/>
      <c r="H28" s="380"/>
      <c r="I28" s="377"/>
      <c r="J28" s="381"/>
    </row>
    <row r="29" spans="1:15" ht="12" customHeight="1" x14ac:dyDescent="0.2">
      <c r="A29" s="830"/>
      <c r="B29" s="830"/>
      <c r="C29" s="830"/>
      <c r="D29" s="489"/>
      <c r="E29" s="174"/>
      <c r="F29" s="338"/>
      <c r="G29" s="320"/>
      <c r="H29" s="298"/>
      <c r="I29" s="299"/>
      <c r="J29" s="356"/>
    </row>
    <row r="30" spans="1:15" ht="4.5" customHeight="1" x14ac:dyDescent="0.2"/>
    <row r="31" spans="1:15" ht="12" customHeight="1" x14ac:dyDescent="0.2">
      <c r="A31" s="854" t="s">
        <v>246</v>
      </c>
      <c r="B31" s="854"/>
      <c r="C31" s="854"/>
      <c r="D31" s="854"/>
      <c r="E31" s="854"/>
      <c r="F31" s="854"/>
      <c r="G31" s="854"/>
      <c r="H31" s="854"/>
      <c r="I31" s="854"/>
      <c r="J31" s="854"/>
    </row>
    <row r="32" spans="1:15" ht="12" customHeight="1" x14ac:dyDescent="0.2">
      <c r="A32" s="274"/>
      <c r="B32" s="274"/>
      <c r="C32" s="274"/>
      <c r="D32" s="855" t="str">
        <f>D7</f>
        <v>Duben</v>
      </c>
      <c r="E32" s="855"/>
      <c r="F32" s="274"/>
      <c r="G32" s="274"/>
      <c r="H32" s="274"/>
      <c r="I32" s="274"/>
      <c r="J32" s="274"/>
    </row>
    <row r="33" spans="1:10" ht="12" customHeight="1" x14ac:dyDescent="0.2">
      <c r="A33" s="274"/>
      <c r="B33" s="274"/>
      <c r="C33" s="274"/>
      <c r="D33" s="274"/>
      <c r="E33" s="274"/>
      <c r="F33" s="274"/>
      <c r="G33" s="274"/>
      <c r="H33" s="274"/>
      <c r="I33" s="274"/>
      <c r="J33" s="274"/>
    </row>
    <row r="34" spans="1:10" ht="12" customHeight="1" x14ac:dyDescent="0.2">
      <c r="A34" s="274"/>
      <c r="B34" s="274"/>
      <c r="C34" s="274"/>
      <c r="D34" s="274"/>
      <c r="E34" s="274"/>
      <c r="F34" s="274"/>
      <c r="G34" s="274"/>
      <c r="H34" s="274"/>
      <c r="I34" s="274"/>
      <c r="J34" s="274"/>
    </row>
    <row r="35" spans="1:10" ht="12" customHeight="1" x14ac:dyDescent="0.2">
      <c r="A35" s="274"/>
      <c r="B35" s="274"/>
      <c r="C35" s="274"/>
      <c r="D35" s="274"/>
      <c r="E35" s="274"/>
      <c r="F35" s="274"/>
      <c r="G35" s="274"/>
      <c r="H35" s="274"/>
      <c r="I35" s="274"/>
      <c r="J35" s="274"/>
    </row>
    <row r="36" spans="1:10" ht="12" customHeight="1" x14ac:dyDescent="0.2">
      <c r="A36" s="274"/>
      <c r="B36" s="274"/>
      <c r="C36" s="274"/>
      <c r="D36" s="274"/>
      <c r="E36" s="274"/>
      <c r="F36" s="274"/>
      <c r="G36" s="274"/>
      <c r="H36" s="274"/>
      <c r="I36" s="274"/>
      <c r="J36" s="274"/>
    </row>
    <row r="37" spans="1:10" ht="12" customHeight="1" x14ac:dyDescent="0.2">
      <c r="A37" s="274"/>
      <c r="B37" s="274"/>
      <c r="C37" s="274"/>
      <c r="D37" s="274"/>
      <c r="E37" s="274"/>
      <c r="F37" s="274"/>
      <c r="G37" s="274"/>
      <c r="H37" s="274"/>
      <c r="I37" s="274"/>
      <c r="J37" s="274"/>
    </row>
    <row r="38" spans="1:10" ht="12" customHeight="1" x14ac:dyDescent="0.2">
      <c r="A38" s="274"/>
      <c r="B38" s="274"/>
      <c r="C38" s="274"/>
      <c r="D38" s="274"/>
      <c r="E38" s="274"/>
      <c r="F38" s="274"/>
      <c r="G38" s="274"/>
      <c r="H38" s="274"/>
      <c r="I38" s="274"/>
      <c r="J38" s="274"/>
    </row>
    <row r="39" spans="1:10" ht="12" customHeight="1" x14ac:dyDescent="0.2">
      <c r="A39" s="274"/>
      <c r="B39" s="274"/>
      <c r="C39" s="274"/>
      <c r="D39" s="274"/>
      <c r="E39" s="274"/>
      <c r="F39" s="274"/>
      <c r="G39" s="274"/>
      <c r="H39" s="274"/>
      <c r="I39" s="274"/>
      <c r="J39" s="274"/>
    </row>
    <row r="40" spans="1:10" ht="12" customHeight="1" x14ac:dyDescent="0.2">
      <c r="A40" s="274"/>
      <c r="B40" s="274"/>
      <c r="C40" s="274"/>
      <c r="D40" s="274"/>
      <c r="E40" s="274"/>
      <c r="F40" s="274"/>
      <c r="G40" s="274"/>
      <c r="H40" s="274"/>
      <c r="I40" s="274"/>
      <c r="J40" s="274"/>
    </row>
    <row r="41" spans="1:10" ht="12" customHeight="1" x14ac:dyDescent="0.2">
      <c r="A41" s="274"/>
      <c r="B41" s="274"/>
      <c r="C41" s="274"/>
      <c r="D41" s="274"/>
      <c r="E41" s="274"/>
      <c r="F41" s="274"/>
      <c r="G41" s="274"/>
      <c r="H41" s="274"/>
      <c r="I41" s="274"/>
      <c r="J41" s="274"/>
    </row>
    <row r="42" spans="1:10" ht="12" customHeight="1" x14ac:dyDescent="0.2">
      <c r="A42" s="274"/>
      <c r="B42" s="274"/>
      <c r="C42" s="274"/>
      <c r="D42" s="274"/>
      <c r="E42" s="274"/>
      <c r="F42" s="274"/>
      <c r="G42" s="274"/>
      <c r="H42" s="274"/>
      <c r="I42" s="274"/>
      <c r="J42" s="274"/>
    </row>
    <row r="43" spans="1:10" ht="12" customHeight="1" x14ac:dyDescent="0.2">
      <c r="A43" s="274"/>
      <c r="B43" s="274"/>
      <c r="C43" s="274"/>
      <c r="D43" s="274"/>
      <c r="E43" s="274"/>
      <c r="F43" s="274"/>
      <c r="G43" s="274"/>
      <c r="H43" s="274"/>
      <c r="I43" s="274"/>
      <c r="J43" s="274"/>
    </row>
    <row r="44" spans="1:10" ht="12" customHeight="1" x14ac:dyDescent="0.2">
      <c r="A44" s="274"/>
      <c r="B44" s="274"/>
      <c r="C44" s="274"/>
      <c r="D44" s="274"/>
      <c r="E44" s="274"/>
      <c r="F44" s="274"/>
      <c r="G44" s="274"/>
      <c r="H44" s="274"/>
      <c r="I44" s="274"/>
      <c r="J44" s="274"/>
    </row>
    <row r="45" spans="1:10" ht="12" customHeight="1" x14ac:dyDescent="0.2">
      <c r="A45" s="274"/>
      <c r="B45" s="274"/>
      <c r="C45" s="274"/>
      <c r="D45" s="275"/>
      <c r="E45" s="274"/>
      <c r="F45" s="276"/>
      <c r="G45" s="849" t="s">
        <v>244</v>
      </c>
      <c r="H45" s="276"/>
      <c r="I45" s="276"/>
      <c r="J45" s="276"/>
    </row>
    <row r="46" spans="1:10" ht="12" customHeight="1" x14ac:dyDescent="0.25">
      <c r="A46" s="271"/>
      <c r="B46" s="126"/>
      <c r="C46" s="274"/>
      <c r="D46" s="264" t="str">
        <f>D7</f>
        <v>Duben</v>
      </c>
      <c r="E46" s="265">
        <f>E7</f>
        <v>2015</v>
      </c>
      <c r="F46" s="265"/>
      <c r="G46" s="850"/>
      <c r="H46" s="398" t="str">
        <f>H7</f>
        <v>Duben</v>
      </c>
      <c r="I46" s="260">
        <f>I7</f>
        <v>2014</v>
      </c>
      <c r="J46" s="276"/>
    </row>
    <row r="47" spans="1:10" ht="12" customHeight="1" x14ac:dyDescent="0.25">
      <c r="A47" s="278"/>
      <c r="B47" s="279"/>
      <c r="C47" s="263"/>
      <c r="D47" s="840" t="s">
        <v>243</v>
      </c>
      <c r="E47" s="793"/>
      <c r="F47" s="426"/>
      <c r="G47" s="850"/>
      <c r="H47" s="841" t="s">
        <v>243</v>
      </c>
      <c r="I47" s="793"/>
      <c r="J47" s="87"/>
    </row>
    <row r="48" spans="1:10" ht="12" customHeight="1" x14ac:dyDescent="0.2">
      <c r="A48" s="278"/>
      <c r="B48" s="372"/>
      <c r="D48" s="434" t="s">
        <v>69</v>
      </c>
      <c r="E48" s="349" t="s">
        <v>142</v>
      </c>
      <c r="F48" s="394" t="s">
        <v>143</v>
      </c>
      <c r="G48" s="832"/>
      <c r="H48" s="419" t="s">
        <v>69</v>
      </c>
      <c r="I48" s="374" t="s">
        <v>142</v>
      </c>
      <c r="J48" s="374" t="s">
        <v>143</v>
      </c>
    </row>
    <row r="49" spans="1:10" ht="12" customHeight="1" x14ac:dyDescent="0.2">
      <c r="A49" s="250"/>
      <c r="B49" s="373"/>
      <c r="C49" s="373"/>
      <c r="D49" s="435" t="s">
        <v>14</v>
      </c>
      <c r="E49" s="350" t="s">
        <v>14</v>
      </c>
      <c r="F49" s="266" t="s">
        <v>14</v>
      </c>
      <c r="G49" s="435" t="s">
        <v>14</v>
      </c>
      <c r="H49" s="420" t="s">
        <v>14</v>
      </c>
      <c r="I49" s="266" t="s">
        <v>14</v>
      </c>
      <c r="J49" s="266" t="s">
        <v>14</v>
      </c>
    </row>
    <row r="50" spans="1:10" ht="12" customHeight="1" x14ac:dyDescent="0.2">
      <c r="A50" s="834" t="s">
        <v>4</v>
      </c>
      <c r="B50" s="834"/>
      <c r="C50" s="365"/>
      <c r="D50" s="486"/>
      <c r="E50" s="351"/>
      <c r="F50" s="395"/>
      <c r="G50" s="315"/>
      <c r="H50" s="421"/>
      <c r="I50" s="361"/>
      <c r="J50" s="365"/>
    </row>
    <row r="51" spans="1:10" ht="12" customHeight="1" x14ac:dyDescent="0.2">
      <c r="A51" s="95"/>
      <c r="B51" s="95"/>
      <c r="C51" s="370" t="s">
        <v>17</v>
      </c>
      <c r="D51" s="415">
        <f>INDEX([5]MZ!D3:BK3,1,5*T!$A$4-4)</f>
        <v>7.6833333333333345</v>
      </c>
      <c r="E51" s="440">
        <f>INDEX([5]MZ!E3:BL3,1,5*T!$A$4-4)</f>
        <v>14.9</v>
      </c>
      <c r="F51" s="402">
        <f>INDEX([5]MZ!F3:BM3,1,5*T!$A$4-4)</f>
        <v>0.3</v>
      </c>
      <c r="G51" s="438">
        <f>D51-H51</f>
        <v>-1.669999999999999</v>
      </c>
      <c r="H51" s="422">
        <f>INDEX([6]MZ!D3:BK3,1,5*T!$A$4-4)</f>
        <v>9.3533333333333335</v>
      </c>
      <c r="I51" s="440">
        <f>INDEX([6]MZ!E3:BL3,1,5*T!$A$4-4)</f>
        <v>12.9</v>
      </c>
      <c r="J51" s="404">
        <f>INDEX([6]MZ!F3:BM3,1,5*T!$A$4-4)</f>
        <v>3.2</v>
      </c>
    </row>
    <row r="52" spans="1:10" ht="12" customHeight="1" x14ac:dyDescent="0.2">
      <c r="A52" s="95"/>
      <c r="B52" s="95"/>
      <c r="C52" s="370" t="s">
        <v>18</v>
      </c>
      <c r="D52" s="415">
        <f>INDEX([5]MZ!D4:BK4,1,5*T!$A$4-4)</f>
        <v>9.7566666666666659</v>
      </c>
      <c r="E52" s="440">
        <f>INDEX([5]MZ!E4:BL4,1,5*T!$A$4-4)</f>
        <v>18.100000000000001</v>
      </c>
      <c r="F52" s="402">
        <f>INDEX([5]MZ!F4:BM4,1,5*T!$A$4-4)</f>
        <v>2.6</v>
      </c>
      <c r="G52" s="438">
        <f t="shared" ref="G52:G65" si="4">D52-H52</f>
        <v>-1.4633333333333365</v>
      </c>
      <c r="H52" s="422">
        <f>INDEX([6]MZ!D4:BK4,1,5*T!$A$4-4)</f>
        <v>11.220000000000002</v>
      </c>
      <c r="I52" s="440">
        <f>INDEX([6]MZ!E4:BL4,1,5*T!$A$4-4)</f>
        <v>16.600000000000001</v>
      </c>
      <c r="J52" s="404">
        <f>INDEX([6]MZ!F4:BM4,1,5*T!$A$4-4)</f>
        <v>5.4</v>
      </c>
    </row>
    <row r="53" spans="1:10" ht="12" customHeight="1" x14ac:dyDescent="0.2">
      <c r="A53" s="292"/>
      <c r="B53" s="268"/>
      <c r="C53" s="370" t="s">
        <v>19</v>
      </c>
      <c r="D53" s="415">
        <f>INDEX([5]MZ!D5:BK5,1,5*T!$A$4-4)</f>
        <v>6.3466666666666658</v>
      </c>
      <c r="E53" s="440">
        <f>INDEX([5]MZ!E5:BL5,1,5*T!$A$4-4)</f>
        <v>12.9</v>
      </c>
      <c r="F53" s="402">
        <f>INDEX([5]MZ!F5:BM5,1,5*T!$A$4-4)</f>
        <v>-0.2</v>
      </c>
      <c r="G53" s="438">
        <f t="shared" si="4"/>
        <v>-2.8533333333333335</v>
      </c>
      <c r="H53" s="422">
        <f>INDEX([6]MZ!D5:BK5,1,5*T!$A$4-4)</f>
        <v>9.1999999999999993</v>
      </c>
      <c r="I53" s="440">
        <f>INDEX([6]MZ!E5:BL5,1,5*T!$A$4-4)</f>
        <v>13.1</v>
      </c>
      <c r="J53" s="404">
        <f>INDEX([6]MZ!F5:BM5,1,5*T!$A$4-4)</f>
        <v>2.2000000000000002</v>
      </c>
    </row>
    <row r="54" spans="1:10" ht="12" customHeight="1" x14ac:dyDescent="0.2">
      <c r="A54" s="292"/>
      <c r="B54" s="268"/>
      <c r="C54" s="370" t="s">
        <v>20</v>
      </c>
      <c r="D54" s="415">
        <f>INDEX([5]MZ!D6:BK6,1,5*T!$A$4-4)</f>
        <v>7.7266666666666657</v>
      </c>
      <c r="E54" s="440">
        <f>INDEX([5]MZ!E6:BL6,1,5*T!$A$4-4)</f>
        <v>16.100000000000001</v>
      </c>
      <c r="F54" s="402">
        <f>INDEX([5]MZ!F6:BM6,1,5*T!$A$4-4)</f>
        <v>0.7</v>
      </c>
      <c r="G54" s="438">
        <f t="shared" si="4"/>
        <v>-2.1766666666666667</v>
      </c>
      <c r="H54" s="422">
        <f>INDEX([6]MZ!D6:BK6,1,5*T!$A$4-4)</f>
        <v>9.9033333333333324</v>
      </c>
      <c r="I54" s="440">
        <f>INDEX([6]MZ!E6:BL6,1,5*T!$A$4-4)</f>
        <v>15.8</v>
      </c>
      <c r="J54" s="404">
        <f>INDEX([6]MZ!F6:BM6,1,5*T!$A$4-4)</f>
        <v>4</v>
      </c>
    </row>
    <row r="55" spans="1:10" ht="12" customHeight="1" x14ac:dyDescent="0.2">
      <c r="A55" s="292"/>
      <c r="B55" s="268"/>
      <c r="C55" s="370" t="s">
        <v>21</v>
      </c>
      <c r="D55" s="415">
        <f>INDEX([5]MZ!D7:BK7,1,5*T!$A$4-4)</f>
        <v>7.3400000000000007</v>
      </c>
      <c r="E55" s="440">
        <f>INDEX([5]MZ!E7:BL7,1,5*T!$A$4-4)</f>
        <v>15.2</v>
      </c>
      <c r="F55" s="402">
        <f>INDEX([5]MZ!F7:BM7,1,5*T!$A$4-4)</f>
        <v>0.3</v>
      </c>
      <c r="G55" s="438">
        <f t="shared" si="4"/>
        <v>-2.3299999999999992</v>
      </c>
      <c r="H55" s="443">
        <f>INDEX([6]MZ!D7:BK7,1,5*T!$A$4-4)</f>
        <v>9.67</v>
      </c>
      <c r="I55" s="441">
        <f>INDEX([6]MZ!E7:BL7,1,5*T!$A$4-4)</f>
        <v>14.9</v>
      </c>
      <c r="J55" s="404">
        <f>INDEX([6]MZ!F7:BM7,1,5*T!$A$4-4)</f>
        <v>3.7</v>
      </c>
    </row>
    <row r="56" spans="1:10" ht="12" customHeight="1" x14ac:dyDescent="0.2">
      <c r="A56" s="274"/>
      <c r="B56" s="274"/>
      <c r="C56" s="370" t="s">
        <v>22</v>
      </c>
      <c r="D56" s="415">
        <f>INDEX([5]MZ!D8:BK8,1,5*T!$A$4-4)</f>
        <v>8.4366666666666656</v>
      </c>
      <c r="E56" s="440">
        <f>INDEX([5]MZ!E8:BL8,1,5*T!$A$4-4)</f>
        <v>17.7</v>
      </c>
      <c r="F56" s="402">
        <f>INDEX([5]MZ!F8:BM8,1,5*T!$A$4-4)</f>
        <v>0.7</v>
      </c>
      <c r="G56" s="438">
        <f t="shared" si="4"/>
        <v>-1.5766666666666662</v>
      </c>
      <c r="H56" s="443">
        <f>INDEX([6]MZ!D8:BK8,1,5*T!$A$4-4)</f>
        <v>10.013333333333332</v>
      </c>
      <c r="I56" s="441">
        <f>INDEX([6]MZ!E8:BL8,1,5*T!$A$4-4)</f>
        <v>14.9</v>
      </c>
      <c r="J56" s="404">
        <f>INDEX([6]MZ!F8:BM8,1,5*T!$A$4-4)</f>
        <v>3.7</v>
      </c>
    </row>
    <row r="57" spans="1:10" ht="12" customHeight="1" x14ac:dyDescent="0.2">
      <c r="A57" s="274"/>
      <c r="B57" s="274"/>
      <c r="C57" s="370" t="s">
        <v>23</v>
      </c>
      <c r="D57" s="415">
        <f>INDEX([5]MZ!D9:BK9,1,5*T!$A$4-4)</f>
        <v>8.1666666666666661</v>
      </c>
      <c r="E57" s="440">
        <f>INDEX([5]MZ!E9:BL9,1,5*T!$A$4-4)</f>
        <v>16.600000000000001</v>
      </c>
      <c r="F57" s="402">
        <f>INDEX([5]MZ!F9:BM9,1,5*T!$A$4-4)</f>
        <v>0.7</v>
      </c>
      <c r="G57" s="438">
        <f t="shared" si="4"/>
        <v>-1.6733333333333356</v>
      </c>
      <c r="H57" s="443">
        <f>INDEX([6]MZ!D9:BK9,1,5*T!$A$4-4)</f>
        <v>9.8400000000000016</v>
      </c>
      <c r="I57" s="441">
        <f>INDEX([6]MZ!E9:BL9,1,5*T!$A$4-4)</f>
        <v>14.9</v>
      </c>
      <c r="J57" s="404">
        <f>INDEX([6]MZ!F9:BM9,1,5*T!$A$4-4)</f>
        <v>3.9</v>
      </c>
    </row>
    <row r="58" spans="1:10" ht="12" customHeight="1" x14ac:dyDescent="0.2">
      <c r="A58" s="274"/>
      <c r="B58" s="274"/>
      <c r="C58" s="370" t="s">
        <v>24</v>
      </c>
      <c r="D58" s="415">
        <f>INDEX([5]MZ!D10:BK10,1,5*T!$A$4-4)</f>
        <v>7.9133333333333331</v>
      </c>
      <c r="E58" s="440">
        <f>INDEX([5]MZ!E10:BL10,1,5*T!$A$4-4)</f>
        <v>16.2</v>
      </c>
      <c r="F58" s="402">
        <f>INDEX([5]MZ!F10:BM10,1,5*T!$A$4-4)</f>
        <v>0.5</v>
      </c>
      <c r="G58" s="438">
        <f t="shared" si="4"/>
        <v>-1.7900000000000018</v>
      </c>
      <c r="H58" s="443">
        <f>INDEX([6]MZ!D10:BK10,1,5*T!$A$4-4)</f>
        <v>9.7033333333333349</v>
      </c>
      <c r="I58" s="441">
        <f>INDEX([6]MZ!E10:BL10,1,5*T!$A$4-4)</f>
        <v>15.5</v>
      </c>
      <c r="J58" s="404">
        <f>INDEX([6]MZ!F10:BM10,1,5*T!$A$4-4)</f>
        <v>3.5</v>
      </c>
    </row>
    <row r="59" spans="1:10" ht="12" customHeight="1" x14ac:dyDescent="0.2">
      <c r="A59" s="274"/>
      <c r="B59" s="274"/>
      <c r="C59" s="370" t="s">
        <v>25</v>
      </c>
      <c r="D59" s="415">
        <f>INDEX([5]MZ!D11:BK11,1,5*T!$A$4-4)</f>
        <v>8.0433333333333312</v>
      </c>
      <c r="E59" s="440">
        <f>INDEX([5]MZ!E11:BL11,1,5*T!$A$4-4)</f>
        <v>15</v>
      </c>
      <c r="F59" s="402">
        <f>INDEX([5]MZ!F11:BM11,1,5*T!$A$4-4)</f>
        <v>1.1000000000000001</v>
      </c>
      <c r="G59" s="438">
        <f t="shared" si="4"/>
        <v>-2.196666666666669</v>
      </c>
      <c r="H59" s="443">
        <f>INDEX([6]MZ!D11:BK11,1,5*T!$A$4-4)</f>
        <v>10.24</v>
      </c>
      <c r="I59" s="441">
        <f>INDEX([6]MZ!E11:BL11,1,5*T!$A$4-4)</f>
        <v>13.9</v>
      </c>
      <c r="J59" s="404">
        <f>INDEX([6]MZ!F11:BM11,1,5*T!$A$4-4)</f>
        <v>3.7</v>
      </c>
    </row>
    <row r="60" spans="1:10" ht="12" customHeight="1" x14ac:dyDescent="0.2">
      <c r="A60" s="274"/>
      <c r="B60" s="274"/>
      <c r="C60" s="370" t="s">
        <v>3</v>
      </c>
      <c r="D60" s="415">
        <f>INDEX([5]MZ!D12:BK12,1,5*T!$A$4-4)</f>
        <v>9.7066666666666706</v>
      </c>
      <c r="E60" s="440">
        <f>INDEX([5]MZ!E12:BL12,1,5*T!$A$4-4)</f>
        <v>17.3</v>
      </c>
      <c r="F60" s="402">
        <f>INDEX([5]MZ!F12:BM12,1,5*T!$A$4-4)</f>
        <v>2.1</v>
      </c>
      <c r="G60" s="438">
        <f t="shared" si="4"/>
        <v>-2.2933333333333312</v>
      </c>
      <c r="H60" s="443">
        <f>INDEX([6]MZ!D12:BK12,1,5*T!$A$4-4)</f>
        <v>12.000000000000002</v>
      </c>
      <c r="I60" s="441">
        <f>INDEX([6]MZ!E12:BL12,1,5*T!$A$4-4)</f>
        <v>15.7</v>
      </c>
      <c r="J60" s="404">
        <f>INDEX([6]MZ!F12:BM12,1,5*T!$A$4-4)</f>
        <v>5.8</v>
      </c>
    </row>
    <row r="61" spans="1:10" ht="12" customHeight="1" x14ac:dyDescent="0.2">
      <c r="A61" s="274"/>
      <c r="B61" s="274"/>
      <c r="C61" s="370" t="s">
        <v>26</v>
      </c>
      <c r="D61" s="415">
        <f>INDEX([5]MZ!D13:BK13,1,5*T!$A$4-4)</f>
        <v>8.5900000000000016</v>
      </c>
      <c r="E61" s="440">
        <f>INDEX([5]MZ!E13:BL13,1,5*T!$A$4-4)</f>
        <v>15.6</v>
      </c>
      <c r="F61" s="402">
        <f>INDEX([5]MZ!F13:BM13,1,5*T!$A$4-4)</f>
        <v>1.5</v>
      </c>
      <c r="G61" s="438">
        <f t="shared" si="4"/>
        <v>-2</v>
      </c>
      <c r="H61" s="443">
        <f>INDEX([6]MZ!D13:BK13,1,5*T!$A$4-4)</f>
        <v>10.590000000000002</v>
      </c>
      <c r="I61" s="441">
        <f>INDEX([6]MZ!E13:BL13,1,5*T!$A$4-4)</f>
        <v>15.1</v>
      </c>
      <c r="J61" s="404">
        <f>INDEX([6]MZ!F13:BM13,1,5*T!$A$4-4)</f>
        <v>5</v>
      </c>
    </row>
    <row r="62" spans="1:10" ht="12" customHeight="1" x14ac:dyDescent="0.2">
      <c r="A62" s="274"/>
      <c r="B62" s="274"/>
      <c r="C62" s="370" t="s">
        <v>27</v>
      </c>
      <c r="D62" s="415">
        <f>INDEX([5]MZ!D14:BK14,1,5*T!$A$4-4)</f>
        <v>8.5266666666666655</v>
      </c>
      <c r="E62" s="440">
        <f>INDEX([5]MZ!E14:BL14,1,5*T!$A$4-4)</f>
        <v>15.8</v>
      </c>
      <c r="F62" s="402">
        <f>INDEX([5]MZ!F14:BM14,1,5*T!$A$4-4)</f>
        <v>1.4</v>
      </c>
      <c r="G62" s="438">
        <f t="shared" si="4"/>
        <v>-2.1933333333333387</v>
      </c>
      <c r="H62" s="443">
        <f>INDEX([6]MZ!D14:BK14,1,5*T!$A$4-4)</f>
        <v>10.720000000000004</v>
      </c>
      <c r="I62" s="441">
        <f>INDEX([6]MZ!E14:BL14,1,5*T!$A$4-4)</f>
        <v>14.6</v>
      </c>
      <c r="J62" s="404">
        <f>INDEX([6]MZ!F14:BM14,1,5*T!$A$4-4)</f>
        <v>4.4000000000000004</v>
      </c>
    </row>
    <row r="63" spans="1:10" ht="12" customHeight="1" x14ac:dyDescent="0.2">
      <c r="A63" s="274"/>
      <c r="B63" s="274"/>
      <c r="C63" s="370" t="s">
        <v>28</v>
      </c>
      <c r="D63" s="415">
        <f>INDEX([5]MZ!D15:BK15,1,5*T!$A$4-4)</f>
        <v>7.5200000000000005</v>
      </c>
      <c r="E63" s="440">
        <f>INDEX([5]MZ!E15:BL15,1,5*T!$A$4-4)</f>
        <v>15.2</v>
      </c>
      <c r="F63" s="402">
        <f>INDEX([5]MZ!F15:BM15,1,5*T!$A$4-4)</f>
        <v>0.2</v>
      </c>
      <c r="G63" s="438">
        <f t="shared" si="4"/>
        <v>-1.8933333333333318</v>
      </c>
      <c r="H63" s="443">
        <f>INDEX([6]MZ!D15:BK15,1,5*T!$A$4-4)</f>
        <v>9.4133333333333322</v>
      </c>
      <c r="I63" s="441">
        <f>INDEX([6]MZ!E15:BL15,1,5*T!$A$4-4)</f>
        <v>14.7</v>
      </c>
      <c r="J63" s="404">
        <f>INDEX([6]MZ!F15:BM15,1,5*T!$A$4-4)</f>
        <v>2.8</v>
      </c>
    </row>
    <row r="64" spans="1:10" ht="12" customHeight="1" x14ac:dyDescent="0.2">
      <c r="A64" s="274"/>
      <c r="B64" s="274"/>
      <c r="C64" s="370" t="s">
        <v>29</v>
      </c>
      <c r="D64" s="415">
        <f>INDEX([5]MZ!D16:BK16,1,5*T!$A$4-4)</f>
        <v>8.0300000000000011</v>
      </c>
      <c r="E64" s="440">
        <f>INDEX([5]MZ!E16:BL16,1,5*T!$A$4-4)</f>
        <v>17.2</v>
      </c>
      <c r="F64" s="402">
        <f>INDEX([5]MZ!F16:BM16,1,5*T!$A$4-4)</f>
        <v>0.6</v>
      </c>
      <c r="G64" s="438">
        <f t="shared" si="4"/>
        <v>-1.7033333333333314</v>
      </c>
      <c r="H64" s="443">
        <f>INDEX([6]MZ!D16:BK16,1,5*T!$A$4-4)</f>
        <v>9.7333333333333325</v>
      </c>
      <c r="I64" s="441">
        <f>INDEX([6]MZ!E16:BL16,1,5*T!$A$4-4)</f>
        <v>15</v>
      </c>
      <c r="J64" s="404">
        <f>INDEX([6]MZ!F16:BM16,1,5*T!$A$4-4)</f>
        <v>3.2</v>
      </c>
    </row>
    <row r="65" spans="1:10" ht="12" customHeight="1" x14ac:dyDescent="0.2">
      <c r="A65" s="433"/>
      <c r="B65" s="433"/>
      <c r="C65" s="371" t="s">
        <v>2</v>
      </c>
      <c r="D65" s="416">
        <f>INDEX([5]MZ!D17:BK17,1,5*T!$A$4-4)</f>
        <v>8.2200000000000006</v>
      </c>
      <c r="E65" s="442">
        <f>INDEX([5]MZ!E17:BL17,1,5*T!$A$4-4)</f>
        <v>15.5</v>
      </c>
      <c r="F65" s="406">
        <f>INDEX([5]MZ!F17:BM17,1,5*T!$A$4-4)</f>
        <v>1</v>
      </c>
      <c r="G65" s="439">
        <f t="shared" si="4"/>
        <v>-1.8033333333333328</v>
      </c>
      <c r="H65" s="423">
        <f>INDEX([6]MZ!D17:BK17,1,5*T!$A$4-4)</f>
        <v>10.023333333333333</v>
      </c>
      <c r="I65" s="442">
        <f>INDEX([6]MZ!E17:BL17,1,5*T!$A$4-4)</f>
        <v>14.3</v>
      </c>
      <c r="J65" s="408">
        <f>INDEX([6]MZ!F17:BM17,1,5*T!$A$4-4)</f>
        <v>3.8</v>
      </c>
    </row>
    <row r="66" spans="1:10" ht="12" customHeight="1" x14ac:dyDescent="0.2">
      <c r="A66" s="292"/>
      <c r="B66" s="268"/>
      <c r="C66" s="257"/>
      <c r="D66" s="417"/>
      <c r="E66" s="436"/>
      <c r="F66" s="396"/>
      <c r="G66" s="379"/>
      <c r="H66" s="424"/>
      <c r="I66" s="436"/>
      <c r="J66" s="393"/>
    </row>
    <row r="67" spans="1:10" ht="12" customHeight="1" x14ac:dyDescent="0.2">
      <c r="A67" s="830"/>
      <c r="B67" s="830"/>
      <c r="C67" s="830"/>
      <c r="D67" s="418"/>
      <c r="E67" s="356"/>
      <c r="F67" s="397"/>
      <c r="G67" s="320"/>
      <c r="H67" s="425"/>
      <c r="I67" s="437"/>
      <c r="J67" s="174"/>
    </row>
    <row r="68" spans="1:10" ht="12" customHeight="1" x14ac:dyDescent="0.2"/>
    <row r="69" spans="1:10" ht="12" customHeight="1" x14ac:dyDescent="0.2"/>
    <row r="70" spans="1:10" ht="12" customHeight="1" x14ac:dyDescent="0.2">
      <c r="A70" s="274"/>
      <c r="B70" s="274"/>
      <c r="C70" s="274"/>
      <c r="D70" s="274"/>
      <c r="E70" s="274"/>
      <c r="F70" s="274"/>
      <c r="G70" s="274"/>
      <c r="H70" s="274"/>
      <c r="I70" s="274"/>
      <c r="J70" s="274"/>
    </row>
    <row r="71" spans="1:10" ht="12" customHeight="1" x14ac:dyDescent="0.2">
      <c r="A71" s="274"/>
      <c r="B71" s="274"/>
      <c r="C71" s="274"/>
      <c r="D71" s="274"/>
      <c r="E71" s="274"/>
      <c r="F71" s="274"/>
      <c r="G71" s="274"/>
      <c r="H71" s="274"/>
      <c r="I71" s="274"/>
      <c r="J71" s="274"/>
    </row>
    <row r="72" spans="1:10" ht="12" customHeight="1" x14ac:dyDescent="0.2">
      <c r="A72" s="274"/>
      <c r="B72" s="274"/>
      <c r="C72" s="274"/>
      <c r="D72" s="274"/>
      <c r="E72" s="274"/>
      <c r="F72" s="274"/>
      <c r="G72" s="274"/>
      <c r="H72" s="274"/>
      <c r="I72" s="274"/>
      <c r="J72" s="274"/>
    </row>
    <row r="73" spans="1:10" ht="12" customHeight="1" x14ac:dyDescent="0.2">
      <c r="A73" s="274"/>
      <c r="B73" s="274"/>
      <c r="C73" s="274"/>
      <c r="D73" s="274"/>
      <c r="E73" s="274"/>
      <c r="F73" s="274"/>
      <c r="G73" s="274"/>
      <c r="H73" s="274"/>
      <c r="I73" s="274"/>
      <c r="J73" s="274"/>
    </row>
    <row r="74" spans="1:10" ht="12" customHeight="1" x14ac:dyDescent="0.2"/>
    <row r="75" spans="1:10" ht="12" customHeight="1" x14ac:dyDescent="0.2"/>
    <row r="76" spans="1:10" ht="12" customHeight="1" x14ac:dyDescent="0.2"/>
    <row r="77" spans="1:10" ht="12" customHeight="1" x14ac:dyDescent="0.2"/>
    <row r="78" spans="1:10" ht="12" customHeight="1" x14ac:dyDescent="0.2"/>
    <row r="79" spans="1:10" ht="12" customHeight="1" x14ac:dyDescent="0.2"/>
    <row r="80" spans="1:1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</sheetData>
  <mergeCells count="15">
    <mergeCell ref="A10:B10"/>
    <mergeCell ref="A29:C29"/>
    <mergeCell ref="I1:J1"/>
    <mergeCell ref="A3:J3"/>
    <mergeCell ref="G6:G9"/>
    <mergeCell ref="D8:E8"/>
    <mergeCell ref="H8:I8"/>
    <mergeCell ref="C4:D4"/>
    <mergeCell ref="A67:C67"/>
    <mergeCell ref="G45:G48"/>
    <mergeCell ref="D47:E47"/>
    <mergeCell ref="H47:I47"/>
    <mergeCell ref="A31:J31"/>
    <mergeCell ref="A50:B50"/>
    <mergeCell ref="D32:E3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S50"/>
  <sheetViews>
    <sheetView view="pageBreakPreview" zoomScaleNormal="100" zoomScaleSheetLayoutView="100" workbookViewId="0">
      <selection activeCell="C1" sqref="C1"/>
    </sheetView>
  </sheetViews>
  <sheetFormatPr defaultRowHeight="12.75" x14ac:dyDescent="0.2"/>
  <cols>
    <col min="1" max="2" width="7.28515625" style="4" customWidth="1"/>
    <col min="3" max="5" width="8.7109375" style="4" customWidth="1"/>
    <col min="6" max="16" width="8.28515625" style="4" customWidth="1"/>
    <col min="17" max="16384" width="9.140625" style="4"/>
  </cols>
  <sheetData>
    <row r="1" spans="1:19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56" t="s">
        <v>53</v>
      </c>
      <c r="P1" s="856"/>
      <c r="R1" s="783"/>
      <c r="S1" s="176"/>
    </row>
    <row r="2" spans="1:19" s="3" customFormat="1" ht="15.75" x14ac:dyDescent="0.25">
      <c r="A2" s="857" t="s">
        <v>187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R2" s="783"/>
      <c r="S2" s="176"/>
    </row>
    <row r="3" spans="1:19" ht="15.75" customHeight="1" x14ac:dyDescent="0.25">
      <c r="A3" s="873" t="str">
        <f>T!$G$19</f>
        <v>Duben</v>
      </c>
      <c r="B3" s="874"/>
      <c r="C3" s="874"/>
      <c r="D3" s="874"/>
      <c r="E3" s="874"/>
      <c r="F3" s="874"/>
      <c r="G3" s="874"/>
      <c r="H3" s="874"/>
      <c r="I3" s="871">
        <f>T!$I$21</f>
        <v>2015</v>
      </c>
      <c r="J3" s="872"/>
      <c r="K3" s="872"/>
      <c r="L3" s="872"/>
      <c r="M3" s="872"/>
      <c r="N3" s="872"/>
      <c r="O3" s="872"/>
      <c r="P3" s="872"/>
      <c r="R3" s="783"/>
      <c r="S3" s="176"/>
    </row>
    <row r="4" spans="1:19" ht="13.5" customHeight="1" x14ac:dyDescent="0.25">
      <c r="A4" s="178"/>
      <c r="B4" s="178"/>
      <c r="C4" s="179"/>
      <c r="D4" s="180"/>
      <c r="E4" s="178"/>
      <c r="F4" s="135"/>
      <c r="G4" s="135"/>
      <c r="H4" s="135"/>
      <c r="I4" s="136"/>
      <c r="J4" s="136"/>
      <c r="K4" s="136"/>
      <c r="L4" s="136"/>
      <c r="M4" s="136"/>
      <c r="N4" s="136"/>
      <c r="O4" s="136"/>
      <c r="P4" s="136"/>
      <c r="R4" s="783"/>
      <c r="S4" s="176"/>
    </row>
    <row r="5" spans="1:19" ht="12" customHeight="1" x14ac:dyDescent="0.2">
      <c r="A5" s="865"/>
      <c r="B5" s="865"/>
      <c r="C5" s="866" t="s">
        <v>93</v>
      </c>
      <c r="D5" s="867"/>
      <c r="E5" s="869" t="s">
        <v>94</v>
      </c>
      <c r="F5" s="7"/>
      <c r="G5" s="7"/>
      <c r="H5" s="91"/>
      <c r="I5" s="91"/>
      <c r="J5" s="91"/>
      <c r="K5" s="91"/>
      <c r="L5" s="91"/>
      <c r="M5" s="91"/>
      <c r="N5" s="91"/>
      <c r="O5" s="91"/>
      <c r="P5" s="91"/>
      <c r="R5" s="783"/>
      <c r="S5" s="176"/>
    </row>
    <row r="6" spans="1:19" ht="12" customHeight="1" x14ac:dyDescent="0.2">
      <c r="A6" s="7"/>
      <c r="B6" s="7"/>
      <c r="C6" s="868"/>
      <c r="D6" s="867"/>
      <c r="E6" s="869"/>
      <c r="F6" s="7"/>
      <c r="G6" s="648"/>
      <c r="H6" s="648"/>
      <c r="I6" s="648"/>
      <c r="J6" s="648"/>
      <c r="K6" s="650">
        <v>0</v>
      </c>
      <c r="L6" s="649" t="s">
        <v>200</v>
      </c>
      <c r="M6" s="649"/>
      <c r="N6" s="786" t="e">
        <f>IF(ISNA(K37),NA(),IF(K37+1&lt;=CEILING($C$40/1000,1),K37+1,NA()))</f>
        <v>#N/A</v>
      </c>
      <c r="O6" s="649" t="s">
        <v>200</v>
      </c>
      <c r="P6" s="649"/>
      <c r="R6" s="783"/>
      <c r="S6" s="176"/>
    </row>
    <row r="7" spans="1:19" ht="13.5" customHeight="1" thickBot="1" x14ac:dyDescent="0.25">
      <c r="A7" s="870" t="s">
        <v>81</v>
      </c>
      <c r="B7" s="870"/>
      <c r="C7" s="107" t="s">
        <v>15</v>
      </c>
      <c r="D7" s="108" t="s">
        <v>1</v>
      </c>
      <c r="E7" s="109" t="s">
        <v>14</v>
      </c>
      <c r="F7" s="7"/>
      <c r="G7" s="648"/>
      <c r="H7" s="650"/>
      <c r="I7" s="649" t="s">
        <v>201</v>
      </c>
      <c r="J7" s="649" t="s">
        <v>52</v>
      </c>
      <c r="K7" s="784">
        <f>CEILING(C41/1000,1)</f>
        <v>13</v>
      </c>
      <c r="L7" s="651">
        <f t="shared" ref="L7:L21" si="0">COUNTIFS($I$8:$I$38,"&gt;"&amp;K6,$I$8:$I$38,"&lt;="&amp;K7,$I$8:$I$38,"&gt;=0")</f>
        <v>2</v>
      </c>
      <c r="M7" s="787"/>
      <c r="N7" s="786" t="e">
        <f>IF(ISNA(N6),NA(),IF(N6+1&lt;=CEILING($C$40/1000,1),N6+1,NA()))</f>
        <v>#N/A</v>
      </c>
      <c r="O7" s="651">
        <f t="shared" ref="O7:O38" si="1">COUNTIFS($I$8:$I$38,"&gt;"&amp;N6,$I$8:$I$38,"&lt;="&amp;N7,$I$8:$I$38,"&gt;=0")</f>
        <v>0</v>
      </c>
      <c r="P7" s="787"/>
      <c r="R7" s="783"/>
      <c r="S7" s="176"/>
    </row>
    <row r="8" spans="1:19" ht="12" customHeight="1" x14ac:dyDescent="0.2">
      <c r="A8" s="104">
        <f>IF(ROW(A8)-7&lt;=DAY(DATE($I$3,T!$A$4+1,1)-1),INDEX([7]ČR!A18:A383,DATE(2016,T!$A$4,1)-DATE(2016,1,1)+1,1),"")</f>
        <v>42095</v>
      </c>
      <c r="B8" s="647" t="str">
        <f>IF(ROW(A8)-7&lt;=DAY(DATE($I$3,T!$A$4+1,1)-1),INDEX([7]ČR!B18:B383,DATE(2016,T!$A$4,1)-DATE(2016,1,1)+1,1),"")</f>
        <v>středa</v>
      </c>
      <c r="C8" s="101">
        <f>IF(ROW(A8)-7&lt;=DAY(DATE($I$3,T!$A$4+1,1)-1),INDEX([7]ČR!D18:D383,DATE(2016,T!$A$4,1)-DATE(2016,1,1)+1,1)/1000,"")</f>
        <v>30677.245431457621</v>
      </c>
      <c r="D8" s="105">
        <f>IF(ROW(A8)-7&lt;=DAY(DATE($I$3,T!$A$4+1,1)-1),INDEX([7]ČR!E18:E383,DATE(2016,T!$A$4,1)-DATE(2016,1,1)+1,1)/1000,"")</f>
        <v>326318.51224000001</v>
      </c>
      <c r="E8" s="106">
        <f>IF(ROW(A8)-7&lt;=DAY(DATE($I$3,T!$A$4+1,1)-1),INDEX([5]PT!AF16:AF381,DATE(2016,T!$A$4,1)-DATE(2016,1,1)+1,1),"")</f>
        <v>2.2000000000000002</v>
      </c>
      <c r="F8" s="7"/>
      <c r="G8" s="648"/>
      <c r="H8" s="784">
        <f>IF(ISNUMBER(A8),A8,NA())</f>
        <v>42095</v>
      </c>
      <c r="I8" s="652">
        <f>IF(ISNUMBER(A8),C8/1000,NA())</f>
        <v>30.677245431457621</v>
      </c>
      <c r="J8" s="653">
        <f>IF(ISNUMBER(A8),E8,NA())</f>
        <v>2.2000000000000002</v>
      </c>
      <c r="K8" s="786">
        <f>IF(ISNA(K7),NA(),IF(K7+1&lt;=CEILING($C$40/1000,1),K7+1,NA()))</f>
        <v>14</v>
      </c>
      <c r="L8" s="651">
        <f t="shared" si="0"/>
        <v>1</v>
      </c>
      <c r="M8" s="787"/>
      <c r="N8" s="786" t="e">
        <f t="shared" ref="N8:N38" si="2">IF(ISNA(N7),NA(),IF(N7+1&lt;=CEILING($C$40/1000,1),N7+1,NA()))</f>
        <v>#N/A</v>
      </c>
      <c r="O8" s="651">
        <f t="shared" si="1"/>
        <v>0</v>
      </c>
      <c r="P8" s="787"/>
      <c r="R8" s="783"/>
      <c r="S8" s="176"/>
    </row>
    <row r="9" spans="1:19" ht="12" customHeight="1" x14ac:dyDescent="0.2">
      <c r="A9" s="104">
        <f>IF(ROW(A9)-7&lt;=DAY(DATE($I$3,T!$A$4+1,1)-1),INDEX([7]ČR!A19:A384,DATE(2016,T!$A$4,1)-DATE(2016,1,1)+1,1),"")</f>
        <v>42096</v>
      </c>
      <c r="B9" s="647" t="str">
        <f>IF(ROW(A9)-7&lt;=DAY(DATE($I$3,T!$A$4+1,1)-1),INDEX([7]ČR!B19:B384,DATE(2016,T!$A$4,1)-DATE(2016,1,1)+1,1),"")</f>
        <v>čtvrtek</v>
      </c>
      <c r="C9" s="101">
        <f>IF(ROW(A9)-7&lt;=DAY(DATE($I$3,T!$A$4+1,1)-1),INDEX([7]ČR!D19:D384,DATE(2016,T!$A$4,1)-DATE(2016,1,1)+1,1)/1000,"")</f>
        <v>32462.720565170937</v>
      </c>
      <c r="D9" s="105">
        <f>IF(ROW(A9)-7&lt;=DAY(DATE($I$3,T!$A$4+1,1)-1),INDEX([7]ČR!E19:E384,DATE(2016,T!$A$4,1)-DATE(2016,1,1)+1,1)/1000,"")</f>
        <v>345306.82224000001</v>
      </c>
      <c r="E9" s="106">
        <f>IF(ROW(A9)-7&lt;=DAY(DATE($I$3,T!$A$4+1,1)-1),INDEX([5]PT!AF17:AF382,DATE(2016,T!$A$4,1)-DATE(2016,1,1)+1,1),"")</f>
        <v>1.3</v>
      </c>
      <c r="F9" s="7"/>
      <c r="G9" s="648"/>
      <c r="H9" s="784">
        <f t="shared" ref="H9:H38" si="3">IF(ISNUMBER(A9),A9,NA())</f>
        <v>42096</v>
      </c>
      <c r="I9" s="652">
        <f t="shared" ref="I9:I38" si="4">IF(ISNUMBER(A9),C9/1000,NA())</f>
        <v>32.46272056517094</v>
      </c>
      <c r="J9" s="653">
        <f t="shared" ref="J9:J38" si="5">IF(ISNUMBER(A9),E9,NA())</f>
        <v>1.3</v>
      </c>
      <c r="K9" s="786">
        <f t="shared" ref="K9:K38" si="6">IF(ISNA(K8),NA(),IF(K8+1&lt;=CEILING($C$40/1000,1),K8+1,NA()))</f>
        <v>15</v>
      </c>
      <c r="L9" s="651">
        <f t="shared" si="0"/>
        <v>0</v>
      </c>
      <c r="M9" s="787"/>
      <c r="N9" s="786" t="e">
        <f t="shared" si="2"/>
        <v>#N/A</v>
      </c>
      <c r="O9" s="651">
        <f t="shared" si="1"/>
        <v>0</v>
      </c>
      <c r="P9" s="787"/>
      <c r="R9" s="783"/>
      <c r="S9" s="176"/>
    </row>
    <row r="10" spans="1:19" ht="12" customHeight="1" x14ac:dyDescent="0.2">
      <c r="A10" s="104">
        <f>IF(ROW(A10)-7&lt;=DAY(DATE($I$3,T!$A$4+1,1)-1),INDEX([7]ČR!A20:A385,DATE(2016,T!$A$4,1)-DATE(2016,1,1)+1,1),"")</f>
        <v>42097</v>
      </c>
      <c r="B10" s="647" t="str">
        <f>IF(ROW(A10)-7&lt;=DAY(DATE($I$3,T!$A$4+1,1)-1),INDEX([7]ČR!B20:B385,DATE(2016,T!$A$4,1)-DATE(2016,1,1)+1,1),"")</f>
        <v>pátek</v>
      </c>
      <c r="C10" s="101">
        <f>IF(ROW(A10)-7&lt;=DAY(DATE($I$3,T!$A$4+1,1)-1),INDEX([7]ČR!D20:D385,DATE(2016,T!$A$4,1)-DATE(2016,1,1)+1,1)/1000,"")</f>
        <v>30588.397627558079</v>
      </c>
      <c r="D10" s="105">
        <f>IF(ROW(A10)-7&lt;=DAY(DATE($I$3,T!$A$4+1,1)-1),INDEX([7]ČR!E20:E385,DATE(2016,T!$A$4,1)-DATE(2016,1,1)+1,1)/1000,"")</f>
        <v>325374.30424000003</v>
      </c>
      <c r="E10" s="106">
        <f>IF(ROW(A10)-7&lt;=DAY(DATE($I$3,T!$A$4+1,1)-1),INDEX([5]PT!AF18:AF383,DATE(2016,T!$A$4,1)-DATE(2016,1,1)+1,1),"")</f>
        <v>1.8</v>
      </c>
      <c r="F10" s="7"/>
      <c r="G10" s="648"/>
      <c r="H10" s="784">
        <f t="shared" si="3"/>
        <v>42097</v>
      </c>
      <c r="I10" s="652">
        <f t="shared" si="4"/>
        <v>30.588397627558081</v>
      </c>
      <c r="J10" s="653">
        <f t="shared" si="5"/>
        <v>1.8</v>
      </c>
      <c r="K10" s="786">
        <f t="shared" si="6"/>
        <v>16</v>
      </c>
      <c r="L10" s="651">
        <f t="shared" si="0"/>
        <v>3</v>
      </c>
      <c r="M10" s="787"/>
      <c r="N10" s="786" t="e">
        <f t="shared" si="2"/>
        <v>#N/A</v>
      </c>
      <c r="O10" s="651">
        <f t="shared" si="1"/>
        <v>0</v>
      </c>
      <c r="P10" s="787"/>
      <c r="R10" s="783"/>
      <c r="S10" s="176"/>
    </row>
    <row r="11" spans="1:19" ht="12" customHeight="1" x14ac:dyDescent="0.2">
      <c r="A11" s="104">
        <f>IF(ROW(A11)-7&lt;=DAY(DATE($I$3,T!$A$4+1,1)-1),INDEX([7]ČR!A21:A386,DATE(2016,T!$A$4,1)-DATE(2016,1,1)+1,1),"")</f>
        <v>42098</v>
      </c>
      <c r="B11" s="647" t="str">
        <f>IF(ROW(A11)-7&lt;=DAY(DATE($I$3,T!$A$4+1,1)-1),INDEX([7]ČR!B21:B386,DATE(2016,T!$A$4,1)-DATE(2016,1,1)+1,1),"")</f>
        <v>sobota</v>
      </c>
      <c r="C11" s="101">
        <f>IF(ROW(A11)-7&lt;=DAY(DATE($I$3,T!$A$4+1,1)-1),INDEX([7]ČR!D21:D386,DATE(2016,T!$A$4,1)-DATE(2016,1,1)+1,1)/1000,"")</f>
        <v>26488.452883092406</v>
      </c>
      <c r="D11" s="105">
        <f>IF(ROW(A11)-7&lt;=DAY(DATE($I$3,T!$A$4+1,1)-1),INDEX([7]ČR!E21:E386,DATE(2016,T!$A$4,1)-DATE(2016,1,1)+1,1)/1000,"")</f>
        <v>281777.16324000002</v>
      </c>
      <c r="E11" s="106">
        <f>IF(ROW(A11)-7&lt;=DAY(DATE($I$3,T!$A$4+1,1)-1),INDEX([5]PT!AF19:AF384,DATE(2016,T!$A$4,1)-DATE(2016,1,1)+1,1),"")</f>
        <v>1.6</v>
      </c>
      <c r="F11" s="7"/>
      <c r="G11" s="648"/>
      <c r="H11" s="784">
        <f t="shared" si="3"/>
        <v>42098</v>
      </c>
      <c r="I11" s="652">
        <f t="shared" si="4"/>
        <v>26.488452883092407</v>
      </c>
      <c r="J11" s="653">
        <f t="shared" si="5"/>
        <v>1.6</v>
      </c>
      <c r="K11" s="786">
        <f t="shared" si="6"/>
        <v>17</v>
      </c>
      <c r="L11" s="651">
        <f t="shared" si="0"/>
        <v>2</v>
      </c>
      <c r="M11" s="787"/>
      <c r="N11" s="786" t="e">
        <f t="shared" si="2"/>
        <v>#N/A</v>
      </c>
      <c r="O11" s="651">
        <f t="shared" si="1"/>
        <v>0</v>
      </c>
      <c r="P11" s="787"/>
      <c r="R11" s="783"/>
      <c r="S11" s="176"/>
    </row>
    <row r="12" spans="1:19" ht="12" customHeight="1" x14ac:dyDescent="0.2">
      <c r="A12" s="104">
        <f>IF(ROW(A12)-7&lt;=DAY(DATE($I$3,T!$A$4+1,1)-1),INDEX([7]ČR!A22:A387,DATE(2016,T!$A$4,1)-DATE(2016,1,1)+1,1),"")</f>
        <v>42099</v>
      </c>
      <c r="B12" s="647" t="str">
        <f>IF(ROW(A12)-7&lt;=DAY(DATE($I$3,T!$A$4+1,1)-1),INDEX([7]ČR!B22:B387,DATE(2016,T!$A$4,1)-DATE(2016,1,1)+1,1),"")</f>
        <v>neděle</v>
      </c>
      <c r="C12" s="101">
        <f>IF(ROW(A12)-7&lt;=DAY(DATE($I$3,T!$A$4+1,1)-1),INDEX([7]ČR!D22:D387,DATE(2016,T!$A$4,1)-DATE(2016,1,1)+1,1)/1000,"")</f>
        <v>26800.25393911163</v>
      </c>
      <c r="D12" s="105">
        <f>IF(ROW(A12)-7&lt;=DAY(DATE($I$3,T!$A$4+1,1)-1),INDEX([7]ČR!E22:E387,DATE(2016,T!$A$4,1)-DATE(2016,1,1)+1,1)/1000,"")</f>
        <v>285090.06724</v>
      </c>
      <c r="E12" s="106">
        <f>IF(ROW(A12)-7&lt;=DAY(DATE($I$3,T!$A$4+1,1)-1),INDEX([5]PT!AF20:AF385,DATE(2016,T!$A$4,1)-DATE(2016,1,1)+1,1),"")</f>
        <v>1.7</v>
      </c>
      <c r="F12" s="7"/>
      <c r="G12" s="648"/>
      <c r="H12" s="784">
        <f t="shared" si="3"/>
        <v>42099</v>
      </c>
      <c r="I12" s="652">
        <f t="shared" si="4"/>
        <v>26.800253939111631</v>
      </c>
      <c r="J12" s="653">
        <f t="shared" si="5"/>
        <v>1.7</v>
      </c>
      <c r="K12" s="786">
        <f t="shared" si="6"/>
        <v>18</v>
      </c>
      <c r="L12" s="651">
        <f t="shared" si="0"/>
        <v>2</v>
      </c>
      <c r="M12" s="787"/>
      <c r="N12" s="786" t="e">
        <f t="shared" si="2"/>
        <v>#N/A</v>
      </c>
      <c r="O12" s="651">
        <f t="shared" si="1"/>
        <v>0</v>
      </c>
      <c r="P12" s="787"/>
      <c r="R12" s="783"/>
      <c r="S12" s="176"/>
    </row>
    <row r="13" spans="1:19" ht="12" customHeight="1" x14ac:dyDescent="0.2">
      <c r="A13" s="104">
        <f>IF(ROW(A13)-7&lt;=DAY(DATE($I$3,T!$A$4+1,1)-1),INDEX([7]ČR!A23:A388,DATE(2016,T!$A$4,1)-DATE(2016,1,1)+1,1),"")</f>
        <v>42100</v>
      </c>
      <c r="B13" s="647" t="str">
        <f>IF(ROW(A13)-7&lt;=DAY(DATE($I$3,T!$A$4+1,1)-1),INDEX([7]ČR!B23:B388,DATE(2016,T!$A$4,1)-DATE(2016,1,1)+1,1),"")</f>
        <v>pondělí</v>
      </c>
      <c r="C13" s="101">
        <f>IF(ROW(A13)-7&lt;=DAY(DATE($I$3,T!$A$4+1,1)-1),INDEX([7]ČR!D23:D388,DATE(2016,T!$A$4,1)-DATE(2016,1,1)+1,1)/1000,"")</f>
        <v>28979.467533714494</v>
      </c>
      <c r="D13" s="105">
        <f>IF(ROW(A13)-7&lt;=DAY(DATE($I$3,T!$A$4+1,1)-1),INDEX([7]ČR!E23:E388,DATE(2016,T!$A$4,1)-DATE(2016,1,1)+1,1)/1000,"")</f>
        <v>308263.37224</v>
      </c>
      <c r="E13" s="106">
        <f>IF(ROW(A13)-7&lt;=DAY(DATE($I$3,T!$A$4+1,1)-1),INDEX([5]PT!AF21:AF386,DATE(2016,T!$A$4,1)-DATE(2016,1,1)+1,1),"")</f>
        <v>1</v>
      </c>
      <c r="F13" s="7"/>
      <c r="G13" s="648"/>
      <c r="H13" s="784">
        <f t="shared" si="3"/>
        <v>42100</v>
      </c>
      <c r="I13" s="652">
        <f t="shared" si="4"/>
        <v>28.979467533714494</v>
      </c>
      <c r="J13" s="653">
        <f t="shared" si="5"/>
        <v>1</v>
      </c>
      <c r="K13" s="786">
        <f t="shared" si="6"/>
        <v>19</v>
      </c>
      <c r="L13" s="651">
        <f t="shared" si="0"/>
        <v>6</v>
      </c>
      <c r="M13" s="787"/>
      <c r="N13" s="786" t="e">
        <f t="shared" si="2"/>
        <v>#N/A</v>
      </c>
      <c r="O13" s="651">
        <f t="shared" si="1"/>
        <v>0</v>
      </c>
      <c r="P13" s="787"/>
      <c r="R13" s="783"/>
      <c r="S13" s="176"/>
    </row>
    <row r="14" spans="1:19" ht="12" customHeight="1" x14ac:dyDescent="0.2">
      <c r="A14" s="104">
        <f>IF(ROW(A14)-7&lt;=DAY(DATE($I$3,T!$A$4+1,1)-1),INDEX([7]ČR!A24:A389,DATE(2016,T!$A$4,1)-DATE(2016,1,1)+1,1),"")</f>
        <v>42101</v>
      </c>
      <c r="B14" s="647" t="str">
        <f>IF(ROW(A14)-7&lt;=DAY(DATE($I$3,T!$A$4+1,1)-1),INDEX([7]ČR!B24:B389,DATE(2016,T!$A$4,1)-DATE(2016,1,1)+1,1),"")</f>
        <v>úterý</v>
      </c>
      <c r="C14" s="101">
        <f>IF(ROW(A14)-7&lt;=DAY(DATE($I$3,T!$A$4+1,1)-1),INDEX([7]ČR!D24:D389,DATE(2016,T!$A$4,1)-DATE(2016,1,1)+1,1)/1000,"")</f>
        <v>29118.400870849975</v>
      </c>
      <c r="D14" s="105">
        <f>IF(ROW(A14)-7&lt;=DAY(DATE($I$3,T!$A$4+1,1)-1),INDEX([7]ČR!E24:E389,DATE(2016,T!$A$4,1)-DATE(2016,1,1)+1,1)/1000,"")</f>
        <v>309746.06923999998</v>
      </c>
      <c r="E14" s="106">
        <f>IF(ROW(A14)-7&lt;=DAY(DATE($I$3,T!$A$4+1,1)-1),INDEX([5]PT!AF22:AF387,DATE(2016,T!$A$4,1)-DATE(2016,1,1)+1,1),"")</f>
        <v>4.3</v>
      </c>
      <c r="F14" s="7"/>
      <c r="G14" s="648"/>
      <c r="H14" s="784">
        <f t="shared" si="3"/>
        <v>42101</v>
      </c>
      <c r="I14" s="652">
        <f t="shared" si="4"/>
        <v>29.118400870849975</v>
      </c>
      <c r="J14" s="653">
        <f t="shared" si="5"/>
        <v>4.3</v>
      </c>
      <c r="K14" s="786">
        <f t="shared" si="6"/>
        <v>20</v>
      </c>
      <c r="L14" s="651">
        <f t="shared" si="0"/>
        <v>2</v>
      </c>
      <c r="M14" s="787"/>
      <c r="N14" s="786" t="e">
        <f t="shared" si="2"/>
        <v>#N/A</v>
      </c>
      <c r="O14" s="651">
        <f t="shared" si="1"/>
        <v>0</v>
      </c>
      <c r="P14" s="787"/>
      <c r="R14" s="783"/>
      <c r="S14" s="176"/>
    </row>
    <row r="15" spans="1:19" ht="12" customHeight="1" x14ac:dyDescent="0.2">
      <c r="A15" s="104">
        <f>IF(ROW(A15)-7&lt;=DAY(DATE($I$3,T!$A$4+1,1)-1),INDEX([7]ČR!A25:A390,DATE(2016,T!$A$4,1)-DATE(2016,1,1)+1,1),"")</f>
        <v>42102</v>
      </c>
      <c r="B15" s="647" t="str">
        <f>IF(ROW(A15)-7&lt;=DAY(DATE($I$3,T!$A$4+1,1)-1),INDEX([7]ČR!B25:B390,DATE(2016,T!$A$4,1)-DATE(2016,1,1)+1,1),"")</f>
        <v>středa</v>
      </c>
      <c r="C15" s="101">
        <f>IF(ROW(A15)-7&lt;=DAY(DATE($I$3,T!$A$4+1,1)-1),INDEX([7]ČR!D25:D390,DATE(2016,T!$A$4,1)-DATE(2016,1,1)+1,1)/1000,"")</f>
        <v>29123.342332419892</v>
      </c>
      <c r="D15" s="105">
        <f>IF(ROW(A15)-7&lt;=DAY(DATE($I$3,T!$A$4+1,1)-1),INDEX([7]ČR!E25:E390,DATE(2016,T!$A$4,1)-DATE(2016,1,1)+1,1)/1000,"")</f>
        <v>309802.43823999999</v>
      </c>
      <c r="E15" s="106">
        <f>IF(ROW(A15)-7&lt;=DAY(DATE($I$3,T!$A$4+1,1)-1),INDEX([5]PT!AF23:AF388,DATE(2016,T!$A$4,1)-DATE(2016,1,1)+1,1),"")</f>
        <v>6.2</v>
      </c>
      <c r="F15" s="7"/>
      <c r="G15" s="648"/>
      <c r="H15" s="784">
        <f t="shared" si="3"/>
        <v>42102</v>
      </c>
      <c r="I15" s="652">
        <f t="shared" si="4"/>
        <v>29.123342332419892</v>
      </c>
      <c r="J15" s="653">
        <f t="shared" si="5"/>
        <v>6.2</v>
      </c>
      <c r="K15" s="786">
        <f t="shared" si="6"/>
        <v>21</v>
      </c>
      <c r="L15" s="651">
        <f t="shared" si="0"/>
        <v>2</v>
      </c>
      <c r="M15" s="787"/>
      <c r="N15" s="786" t="e">
        <f t="shared" si="2"/>
        <v>#N/A</v>
      </c>
      <c r="O15" s="651">
        <f t="shared" si="1"/>
        <v>0</v>
      </c>
      <c r="P15" s="787"/>
      <c r="R15" s="783"/>
      <c r="S15" s="176"/>
    </row>
    <row r="16" spans="1:19" ht="12" customHeight="1" x14ac:dyDescent="0.2">
      <c r="A16" s="104">
        <f>IF(ROW(A16)-7&lt;=DAY(DATE($I$3,T!$A$4+1,1)-1),INDEX([7]ČR!A26:A391,DATE(2016,T!$A$4,1)-DATE(2016,1,1)+1,1),"")</f>
        <v>42103</v>
      </c>
      <c r="B16" s="647" t="str">
        <f>IF(ROW(A16)-7&lt;=DAY(DATE($I$3,T!$A$4+1,1)-1),INDEX([7]ČR!B26:B391,DATE(2016,T!$A$4,1)-DATE(2016,1,1)+1,1),"")</f>
        <v>čtvrtek</v>
      </c>
      <c r="C16" s="101">
        <f>IF(ROW(A16)-7&lt;=DAY(DATE($I$3,T!$A$4+1,1)-1),INDEX([7]ČR!D26:D391,DATE(2016,T!$A$4,1)-DATE(2016,1,1)+1,1)/1000,"")</f>
        <v>24524.154010039347</v>
      </c>
      <c r="D16" s="105">
        <f>IF(ROW(A16)-7&lt;=DAY(DATE($I$3,T!$A$4+1,1)-1),INDEX([7]ČR!E26:E391,DATE(2016,T!$A$4,1)-DATE(2016,1,1)+1,1)/1000,"")</f>
        <v>260896.66024</v>
      </c>
      <c r="E16" s="106">
        <f>IF(ROW(A16)-7&lt;=DAY(DATE($I$3,T!$A$4+1,1)-1),INDEX([5]PT!AF24:AF389,DATE(2016,T!$A$4,1)-DATE(2016,1,1)+1,1),"")</f>
        <v>8.1</v>
      </c>
      <c r="F16" s="7"/>
      <c r="G16" s="648"/>
      <c r="H16" s="784">
        <f t="shared" si="3"/>
        <v>42103</v>
      </c>
      <c r="I16" s="652">
        <f t="shared" si="4"/>
        <v>24.524154010039346</v>
      </c>
      <c r="J16" s="653">
        <f t="shared" si="5"/>
        <v>8.1</v>
      </c>
      <c r="K16" s="786">
        <f t="shared" si="6"/>
        <v>22</v>
      </c>
      <c r="L16" s="651">
        <f t="shared" si="0"/>
        <v>1</v>
      </c>
      <c r="M16" s="787"/>
      <c r="N16" s="786" t="e">
        <f t="shared" si="2"/>
        <v>#N/A</v>
      </c>
      <c r="O16" s="651">
        <f t="shared" si="1"/>
        <v>0</v>
      </c>
      <c r="P16" s="787"/>
      <c r="R16" s="783"/>
      <c r="S16" s="176"/>
    </row>
    <row r="17" spans="1:19" ht="12" customHeight="1" x14ac:dyDescent="0.2">
      <c r="A17" s="104">
        <f>IF(ROW(A17)-7&lt;=DAY(DATE($I$3,T!$A$4+1,1)-1),INDEX([7]ČR!A27:A392,DATE(2016,T!$A$4,1)-DATE(2016,1,1)+1,1),"")</f>
        <v>42104</v>
      </c>
      <c r="B17" s="647" t="str">
        <f>IF(ROW(A17)-7&lt;=DAY(DATE($I$3,T!$A$4+1,1)-1),INDEX([7]ČR!B27:B392,DATE(2016,T!$A$4,1)-DATE(2016,1,1)+1,1),"")</f>
        <v>pátek</v>
      </c>
      <c r="C17" s="101">
        <f>IF(ROW(A17)-7&lt;=DAY(DATE($I$3,T!$A$4+1,1)-1),INDEX([7]ČR!D27:D392,DATE(2016,T!$A$4,1)-DATE(2016,1,1)+1,1)/1000,"")</f>
        <v>20355.808033921316</v>
      </c>
      <c r="D17" s="105">
        <f>IF(ROW(A17)-7&lt;=DAY(DATE($I$3,T!$A$4+1,1)-1),INDEX([7]ČR!E27:E392,DATE(2016,T!$A$4,1)-DATE(2016,1,1)+1,1)/1000,"")</f>
        <v>216571.57024</v>
      </c>
      <c r="E17" s="106">
        <f>IF(ROW(A17)-7&lt;=DAY(DATE($I$3,T!$A$4+1,1)-1),INDEX([5]PT!AF25:AF390,DATE(2016,T!$A$4,1)-DATE(2016,1,1)+1,1),"")</f>
        <v>9.9</v>
      </c>
      <c r="F17" s="7"/>
      <c r="G17" s="648"/>
      <c r="H17" s="784">
        <f t="shared" si="3"/>
        <v>42104</v>
      </c>
      <c r="I17" s="652">
        <f t="shared" si="4"/>
        <v>20.355808033921317</v>
      </c>
      <c r="J17" s="653">
        <f t="shared" si="5"/>
        <v>9.9</v>
      </c>
      <c r="K17" s="786">
        <f t="shared" si="6"/>
        <v>23</v>
      </c>
      <c r="L17" s="651">
        <f t="shared" si="0"/>
        <v>0</v>
      </c>
      <c r="M17" s="787"/>
      <c r="N17" s="786" t="e">
        <f t="shared" si="2"/>
        <v>#N/A</v>
      </c>
      <c r="O17" s="651">
        <f t="shared" si="1"/>
        <v>0</v>
      </c>
      <c r="P17" s="787"/>
      <c r="R17" s="783"/>
      <c r="S17" s="176"/>
    </row>
    <row r="18" spans="1:19" ht="12" customHeight="1" x14ac:dyDescent="0.2">
      <c r="A18" s="104">
        <f>IF(ROW(A18)-7&lt;=DAY(DATE($I$3,T!$A$4+1,1)-1),INDEX([7]ČR!A28:A393,DATE(2016,T!$A$4,1)-DATE(2016,1,1)+1,1),"")</f>
        <v>42105</v>
      </c>
      <c r="B18" s="647" t="str">
        <f>IF(ROW(A18)-7&lt;=DAY(DATE($I$3,T!$A$4+1,1)-1),INDEX([7]ČR!B28:B393,DATE(2016,T!$A$4,1)-DATE(2016,1,1)+1,1),"")</f>
        <v>sobota</v>
      </c>
      <c r="C18" s="101">
        <f>IF(ROW(A18)-7&lt;=DAY(DATE($I$3,T!$A$4+1,1)-1),INDEX([7]ČR!D28:D393,DATE(2016,T!$A$4,1)-DATE(2016,1,1)+1,1)/1000,"")</f>
        <v>15817.888690539146</v>
      </c>
      <c r="D18" s="105">
        <f>IF(ROW(A18)-7&lt;=DAY(DATE($I$3,T!$A$4+1,1)-1),INDEX([7]ČR!E28:E393,DATE(2016,T!$A$4,1)-DATE(2016,1,1)+1,1)/1000,"")</f>
        <v>168310.14224000002</v>
      </c>
      <c r="E18" s="106">
        <f>IF(ROW(A18)-7&lt;=DAY(DATE($I$3,T!$A$4+1,1)-1),INDEX([5]PT!AF26:AF391,DATE(2016,T!$A$4,1)-DATE(2016,1,1)+1,1),"")</f>
        <v>12</v>
      </c>
      <c r="F18" s="7"/>
      <c r="G18" s="648"/>
      <c r="H18" s="784">
        <f t="shared" si="3"/>
        <v>42105</v>
      </c>
      <c r="I18" s="652">
        <f t="shared" si="4"/>
        <v>15.817888690539146</v>
      </c>
      <c r="J18" s="653">
        <f t="shared" si="5"/>
        <v>12</v>
      </c>
      <c r="K18" s="786">
        <f t="shared" si="6"/>
        <v>24</v>
      </c>
      <c r="L18" s="651">
        <f t="shared" si="0"/>
        <v>0</v>
      </c>
      <c r="M18" s="787"/>
      <c r="N18" s="786" t="e">
        <f t="shared" si="2"/>
        <v>#N/A</v>
      </c>
      <c r="O18" s="651">
        <f t="shared" si="1"/>
        <v>0</v>
      </c>
      <c r="P18" s="787"/>
      <c r="R18" s="783"/>
      <c r="S18" s="176"/>
    </row>
    <row r="19" spans="1:19" ht="12" customHeight="1" x14ac:dyDescent="0.2">
      <c r="A19" s="104">
        <f>IF(ROW(A19)-7&lt;=DAY(DATE($I$3,T!$A$4+1,1)-1),INDEX([7]ČR!A29:A394,DATE(2016,T!$A$4,1)-DATE(2016,1,1)+1,1),"")</f>
        <v>42106</v>
      </c>
      <c r="B19" s="647" t="str">
        <f>IF(ROW(A19)-7&lt;=DAY(DATE($I$3,T!$A$4+1,1)-1),INDEX([7]ČR!B29:B394,DATE(2016,T!$A$4,1)-DATE(2016,1,1)+1,1),"")</f>
        <v>neděle</v>
      </c>
      <c r="C19" s="101">
        <f>IF(ROW(A19)-7&lt;=DAY(DATE($I$3,T!$A$4+1,1)-1),INDEX([7]ČR!D29:D394,DATE(2016,T!$A$4,1)-DATE(2016,1,1)+1,1)/1000,"")</f>
        <v>16178.831481831636</v>
      </c>
      <c r="D19" s="105">
        <f>IF(ROW(A19)-7&lt;=DAY(DATE($I$3,T!$A$4+1,1)-1),INDEX([7]ČR!E29:E394,DATE(2016,T!$A$4,1)-DATE(2016,1,1)+1,1)/1000,"")</f>
        <v>172139.55724000002</v>
      </c>
      <c r="E19" s="106">
        <f>IF(ROW(A19)-7&lt;=DAY(DATE($I$3,T!$A$4+1,1)-1),INDEX([5]PT!AF27:AF392,DATE(2016,T!$A$4,1)-DATE(2016,1,1)+1,1),"")</f>
        <v>10.8</v>
      </c>
      <c r="F19" s="7"/>
      <c r="G19" s="648"/>
      <c r="H19" s="784">
        <f t="shared" si="3"/>
        <v>42106</v>
      </c>
      <c r="I19" s="652">
        <f t="shared" si="4"/>
        <v>16.178831481831637</v>
      </c>
      <c r="J19" s="653">
        <f t="shared" si="5"/>
        <v>10.8</v>
      </c>
      <c r="K19" s="786">
        <f t="shared" si="6"/>
        <v>25</v>
      </c>
      <c r="L19" s="651">
        <f t="shared" si="0"/>
        <v>1</v>
      </c>
      <c r="M19" s="787"/>
      <c r="N19" s="786" t="e">
        <f t="shared" si="2"/>
        <v>#N/A</v>
      </c>
      <c r="O19" s="651">
        <f t="shared" si="1"/>
        <v>0</v>
      </c>
      <c r="P19" s="787"/>
      <c r="R19" s="783"/>
      <c r="S19" s="176"/>
    </row>
    <row r="20" spans="1:19" ht="12" customHeight="1" x14ac:dyDescent="0.2">
      <c r="A20" s="104">
        <f>IF(ROW(A20)-7&lt;=DAY(DATE($I$3,T!$A$4+1,1)-1),INDEX([7]ČR!A30:A395,DATE(2016,T!$A$4,1)-DATE(2016,1,1)+1,1),"")</f>
        <v>42107</v>
      </c>
      <c r="B20" s="647" t="str">
        <f>IF(ROW(A20)-7&lt;=DAY(DATE($I$3,T!$A$4+1,1)-1),INDEX([7]ČR!B30:B395,DATE(2016,T!$A$4,1)-DATE(2016,1,1)+1,1),"")</f>
        <v>pondělí</v>
      </c>
      <c r="C20" s="101">
        <f>IF(ROW(A20)-7&lt;=DAY(DATE($I$3,T!$A$4+1,1)-1),INDEX([7]ČR!D30:D395,DATE(2016,T!$A$4,1)-DATE(2016,1,1)+1,1)/1000,"")</f>
        <v>21028.907737844631</v>
      </c>
      <c r="D20" s="105">
        <f>IF(ROW(A20)-7&lt;=DAY(DATE($I$3,T!$A$4+1,1)-1),INDEX([7]ČR!E30:E395,DATE(2016,T!$A$4,1)-DATE(2016,1,1)+1,1)/1000,"")</f>
        <v>223728.87724</v>
      </c>
      <c r="E20" s="106">
        <f>IF(ROW(A20)-7&lt;=DAY(DATE($I$3,T!$A$4+1,1)-1),INDEX([5]PT!AF28:AF393,DATE(2016,T!$A$4,1)-DATE(2016,1,1)+1,1),"")</f>
        <v>8.5</v>
      </c>
      <c r="F20" s="7"/>
      <c r="G20" s="648"/>
      <c r="H20" s="784">
        <f t="shared" si="3"/>
        <v>42107</v>
      </c>
      <c r="I20" s="652">
        <f t="shared" si="4"/>
        <v>21.02890773784463</v>
      </c>
      <c r="J20" s="653">
        <f t="shared" si="5"/>
        <v>8.5</v>
      </c>
      <c r="K20" s="786">
        <f t="shared" si="6"/>
        <v>26</v>
      </c>
      <c r="L20" s="651">
        <f t="shared" si="0"/>
        <v>0</v>
      </c>
      <c r="M20" s="787"/>
      <c r="N20" s="786" t="e">
        <f t="shared" si="2"/>
        <v>#N/A</v>
      </c>
      <c r="O20" s="651">
        <f t="shared" si="1"/>
        <v>0</v>
      </c>
      <c r="P20" s="787"/>
      <c r="R20" s="783"/>
      <c r="S20" s="176"/>
    </row>
    <row r="21" spans="1:19" ht="12" customHeight="1" x14ac:dyDescent="0.2">
      <c r="A21" s="104">
        <f>IF(ROW(A21)-7&lt;=DAY(DATE($I$3,T!$A$4+1,1)-1),INDEX([7]ČR!A31:A396,DATE(2016,T!$A$4,1)-DATE(2016,1,1)+1,1),"")</f>
        <v>42108</v>
      </c>
      <c r="B21" s="647" t="str">
        <f>IF(ROW(A21)-7&lt;=DAY(DATE($I$3,T!$A$4+1,1)-1),INDEX([7]ČR!B31:B396,DATE(2016,T!$A$4,1)-DATE(2016,1,1)+1,1),"")</f>
        <v>úterý</v>
      </c>
      <c r="C21" s="101">
        <f>IF(ROW(A21)-7&lt;=DAY(DATE($I$3,T!$A$4+1,1)-1),INDEX([7]ČR!D31:D396,DATE(2016,T!$A$4,1)-DATE(2016,1,1)+1,1)/1000,"")</f>
        <v>20307.713809890178</v>
      </c>
      <c r="D21" s="105">
        <f>IF(ROW(A21)-7&lt;=DAY(DATE($I$3,T!$A$4+1,1)-1),INDEX([7]ČR!E31:E396,DATE(2016,T!$A$4,1)-DATE(2016,1,1)+1,1)/1000,"")</f>
        <v>216057.13924000002</v>
      </c>
      <c r="E21" s="106">
        <f>IF(ROW(A21)-7&lt;=DAY(DATE($I$3,T!$A$4+1,1)-1),INDEX([5]PT!AF29:AF394,DATE(2016,T!$A$4,1)-DATE(2016,1,1)+1,1),"")</f>
        <v>8.9</v>
      </c>
      <c r="F21" s="7"/>
      <c r="G21" s="648"/>
      <c r="H21" s="784">
        <f t="shared" si="3"/>
        <v>42108</v>
      </c>
      <c r="I21" s="652">
        <f t="shared" si="4"/>
        <v>20.307713809890178</v>
      </c>
      <c r="J21" s="653">
        <f t="shared" si="5"/>
        <v>8.9</v>
      </c>
      <c r="K21" s="786">
        <f t="shared" si="6"/>
        <v>27</v>
      </c>
      <c r="L21" s="651">
        <f t="shared" si="0"/>
        <v>2</v>
      </c>
      <c r="M21" s="787"/>
      <c r="N21" s="786" t="e">
        <f t="shared" si="2"/>
        <v>#N/A</v>
      </c>
      <c r="O21" s="651">
        <f t="shared" si="1"/>
        <v>0</v>
      </c>
      <c r="P21" s="787"/>
      <c r="R21" s="783"/>
      <c r="S21" s="176"/>
    </row>
    <row r="22" spans="1:19" ht="12" customHeight="1" x14ac:dyDescent="0.2">
      <c r="A22" s="104">
        <f>IF(ROW(A22)-7&lt;=DAY(DATE($I$3,T!$A$4+1,1)-1),INDEX([7]ČR!A32:A397,DATE(2016,T!$A$4,1)-DATE(2016,1,1)+1,1),"")</f>
        <v>42109</v>
      </c>
      <c r="B22" s="647" t="str">
        <f>IF(ROW(A22)-7&lt;=DAY(DATE($I$3,T!$A$4+1,1)-1),INDEX([7]ČR!B32:B397,DATE(2016,T!$A$4,1)-DATE(2016,1,1)+1,1),"")</f>
        <v>středa</v>
      </c>
      <c r="C22" s="101">
        <f>IF(ROW(A22)-7&lt;=DAY(DATE($I$3,T!$A$4+1,1)-1),INDEX([7]ČR!D32:D397,DATE(2016,T!$A$4,1)-DATE(2016,1,1)+1,1)/1000,"")</f>
        <v>16590.87884665493</v>
      </c>
      <c r="D22" s="105">
        <f>IF(ROW(A22)-7&lt;=DAY(DATE($I$3,T!$A$4+1,1)-1),INDEX([7]ČR!E32:E397,DATE(2016,T!$A$4,1)-DATE(2016,1,1)+1,1)/1000,"")</f>
        <v>176533.73224000001</v>
      </c>
      <c r="E22" s="106">
        <f>IF(ROW(A22)-7&lt;=DAY(DATE($I$3,T!$A$4+1,1)-1),INDEX([5]PT!AF30:AF395,DATE(2016,T!$A$4,1)-DATE(2016,1,1)+1,1),"")</f>
        <v>14.2</v>
      </c>
      <c r="F22" s="7"/>
      <c r="G22" s="648"/>
      <c r="H22" s="784">
        <f t="shared" si="3"/>
        <v>42109</v>
      </c>
      <c r="I22" s="652">
        <f t="shared" si="4"/>
        <v>16.590878846654931</v>
      </c>
      <c r="J22" s="653">
        <f t="shared" si="5"/>
        <v>14.2</v>
      </c>
      <c r="K22" s="786">
        <f t="shared" si="6"/>
        <v>28</v>
      </c>
      <c r="L22" s="651">
        <f>COUNTIFS($I$8:$I$38,"&gt;"&amp;K21,$I$8:$I$38,"&lt;="&amp;K22,$I$8:$I$38,"&gt;=0")</f>
        <v>0</v>
      </c>
      <c r="M22" s="787"/>
      <c r="N22" s="786" t="e">
        <f t="shared" si="2"/>
        <v>#N/A</v>
      </c>
      <c r="O22" s="651">
        <f t="shared" si="1"/>
        <v>0</v>
      </c>
      <c r="P22" s="787"/>
      <c r="R22" s="783"/>
      <c r="S22" s="176"/>
    </row>
    <row r="23" spans="1:19" ht="12" customHeight="1" x14ac:dyDescent="0.2">
      <c r="A23" s="104">
        <f>IF(ROW(A23)-7&lt;=DAY(DATE($I$3,T!$A$4+1,1)-1),INDEX([7]ČR!A33:A398,DATE(2016,T!$A$4,1)-DATE(2016,1,1)+1,1),"")</f>
        <v>42110</v>
      </c>
      <c r="B23" s="647" t="str">
        <f>IF(ROW(A23)-7&lt;=DAY(DATE($I$3,T!$A$4+1,1)-1),INDEX([7]ČR!B33:B398,DATE(2016,T!$A$4,1)-DATE(2016,1,1)+1,1),"")</f>
        <v>čtvrtek</v>
      </c>
      <c r="C23" s="101">
        <f>IF(ROW(A23)-7&lt;=DAY(DATE($I$3,T!$A$4+1,1)-1),INDEX([7]ČR!D33:D398,DATE(2016,T!$A$4,1)-DATE(2016,1,1)+1,1)/1000,"")</f>
        <v>15768.29477193891</v>
      </c>
      <c r="D23" s="105">
        <f>IF(ROW(A23)-7&lt;=DAY(DATE($I$3,T!$A$4+1,1)-1),INDEX([7]ČR!E33:E398,DATE(2016,T!$A$4,1)-DATE(2016,1,1)+1,1)/1000,"")</f>
        <v>167787.09324000002</v>
      </c>
      <c r="E23" s="106">
        <f>IF(ROW(A23)-7&lt;=DAY(DATE($I$3,T!$A$4+1,1)-1),INDEX([5]PT!AF31:AF396,DATE(2016,T!$A$4,1)-DATE(2016,1,1)+1,1),"")</f>
        <v>14.8</v>
      </c>
      <c r="F23" s="7"/>
      <c r="G23" s="648"/>
      <c r="H23" s="784">
        <f t="shared" si="3"/>
        <v>42110</v>
      </c>
      <c r="I23" s="652">
        <f t="shared" si="4"/>
        <v>15.76829477193891</v>
      </c>
      <c r="J23" s="653">
        <f t="shared" si="5"/>
        <v>14.8</v>
      </c>
      <c r="K23" s="786">
        <f t="shared" si="6"/>
        <v>29</v>
      </c>
      <c r="L23" s="651">
        <f t="shared" ref="L23:L38" si="7">COUNTIFS($I$8:$I$38,"&gt;"&amp;K22,$I$8:$I$38,"&lt;="&amp;K23,$I$8:$I$38,"&gt;=0")</f>
        <v>1</v>
      </c>
      <c r="M23" s="787"/>
      <c r="N23" s="786" t="e">
        <f t="shared" si="2"/>
        <v>#N/A</v>
      </c>
      <c r="O23" s="651">
        <f t="shared" si="1"/>
        <v>0</v>
      </c>
      <c r="P23" s="787"/>
      <c r="R23" s="783"/>
      <c r="S23" s="176"/>
    </row>
    <row r="24" spans="1:19" ht="12" customHeight="1" x14ac:dyDescent="0.2">
      <c r="A24" s="104">
        <f>IF(ROW(A24)-7&lt;=DAY(DATE($I$3,T!$A$4+1,1)-1),INDEX([7]ČR!A34:A399,DATE(2016,T!$A$4,1)-DATE(2016,1,1)+1,1),"")</f>
        <v>42111</v>
      </c>
      <c r="B24" s="647" t="str">
        <f>IF(ROW(A24)-7&lt;=DAY(DATE($I$3,T!$A$4+1,1)-1),INDEX([7]ČR!B34:B399,DATE(2016,T!$A$4,1)-DATE(2016,1,1)+1,1),"")</f>
        <v>pátek</v>
      </c>
      <c r="C24" s="101">
        <f>IF(ROW(A24)-7&lt;=DAY(DATE($I$3,T!$A$4+1,1)-1),INDEX([7]ČR!D34:D399,DATE(2016,T!$A$4,1)-DATE(2016,1,1)+1,1)/1000,"")</f>
        <v>18568.833461656315</v>
      </c>
      <c r="D24" s="105">
        <f>IF(ROW(A24)-7&lt;=DAY(DATE($I$3,T!$A$4+1,1)-1),INDEX([7]ČR!E34:E399,DATE(2016,T!$A$4,1)-DATE(2016,1,1)+1,1)/1000,"")</f>
        <v>197571.75924000001</v>
      </c>
      <c r="E24" s="106">
        <f>IF(ROW(A24)-7&lt;=DAY(DATE($I$3,T!$A$4+1,1)-1),INDEX([5]PT!AF32:AF397,DATE(2016,T!$A$4,1)-DATE(2016,1,1)+1,1),"")</f>
        <v>8.1</v>
      </c>
      <c r="F24" s="7"/>
      <c r="G24" s="648"/>
      <c r="H24" s="784">
        <f t="shared" si="3"/>
        <v>42111</v>
      </c>
      <c r="I24" s="652">
        <f t="shared" si="4"/>
        <v>18.568833461656315</v>
      </c>
      <c r="J24" s="653">
        <f t="shared" si="5"/>
        <v>8.1</v>
      </c>
      <c r="K24" s="786">
        <f t="shared" si="6"/>
        <v>30</v>
      </c>
      <c r="L24" s="651">
        <f t="shared" si="7"/>
        <v>2</v>
      </c>
      <c r="M24" s="787"/>
      <c r="N24" s="786" t="e">
        <f t="shared" si="2"/>
        <v>#N/A</v>
      </c>
      <c r="O24" s="651">
        <f t="shared" si="1"/>
        <v>0</v>
      </c>
      <c r="P24" s="787"/>
      <c r="R24" s="783"/>
      <c r="S24" s="176"/>
    </row>
    <row r="25" spans="1:19" ht="12" customHeight="1" x14ac:dyDescent="0.2">
      <c r="A25" s="104">
        <f>IF(ROW(A25)-7&lt;=DAY(DATE($I$3,T!$A$4+1,1)-1),INDEX([7]ČR!A35:A400,DATE(2016,T!$A$4,1)-DATE(2016,1,1)+1,1),"")</f>
        <v>42112</v>
      </c>
      <c r="B25" s="647" t="str">
        <f>IF(ROW(A25)-7&lt;=DAY(DATE($I$3,T!$A$4+1,1)-1),INDEX([7]ČR!B35:B400,DATE(2016,T!$A$4,1)-DATE(2016,1,1)+1,1),"")</f>
        <v>sobota</v>
      </c>
      <c r="C25" s="101">
        <f>IF(ROW(A25)-7&lt;=DAY(DATE($I$3,T!$A$4+1,1)-1),INDEX([7]ČR!D35:D400,DATE(2016,T!$A$4,1)-DATE(2016,1,1)+1,1)/1000,"")</f>
        <v>19614.571040879648</v>
      </c>
      <c r="D25" s="105">
        <f>IF(ROW(A25)-7&lt;=DAY(DATE($I$3,T!$A$4+1,1)-1),INDEX([7]ČR!E35:E400,DATE(2016,T!$A$4,1)-DATE(2016,1,1)+1,1)/1000,"")</f>
        <v>208691.01124000002</v>
      </c>
      <c r="E25" s="106">
        <f>IF(ROW(A25)-7&lt;=DAY(DATE($I$3,T!$A$4+1,1)-1),INDEX([5]PT!AF33:AF398,DATE(2016,T!$A$4,1)-DATE(2016,1,1)+1,1),"")</f>
        <v>3.9</v>
      </c>
      <c r="F25" s="7"/>
      <c r="G25" s="648"/>
      <c r="H25" s="784">
        <f t="shared" si="3"/>
        <v>42112</v>
      </c>
      <c r="I25" s="652">
        <f t="shared" si="4"/>
        <v>19.614571040879646</v>
      </c>
      <c r="J25" s="653">
        <f t="shared" si="5"/>
        <v>3.9</v>
      </c>
      <c r="K25" s="786">
        <f t="shared" si="6"/>
        <v>31</v>
      </c>
      <c r="L25" s="651">
        <f t="shared" si="7"/>
        <v>2</v>
      </c>
      <c r="M25" s="787"/>
      <c r="N25" s="786" t="e">
        <f t="shared" si="2"/>
        <v>#N/A</v>
      </c>
      <c r="O25" s="651">
        <f t="shared" si="1"/>
        <v>0</v>
      </c>
      <c r="P25" s="787"/>
      <c r="R25" s="783"/>
      <c r="S25" s="176"/>
    </row>
    <row r="26" spans="1:19" ht="12" customHeight="1" x14ac:dyDescent="0.2">
      <c r="A26" s="104">
        <f>IF(ROW(A26)-7&lt;=DAY(DATE($I$3,T!$A$4+1,1)-1),INDEX([7]ČR!A36:A401,DATE(2016,T!$A$4,1)-DATE(2016,1,1)+1,1),"")</f>
        <v>42113</v>
      </c>
      <c r="B26" s="647" t="str">
        <f>IF(ROW(A26)-7&lt;=DAY(DATE($I$3,T!$A$4+1,1)-1),INDEX([7]ČR!B36:B401,DATE(2016,T!$A$4,1)-DATE(2016,1,1)+1,1),"")</f>
        <v>neděle</v>
      </c>
      <c r="C26" s="101">
        <f>IF(ROW(A26)-7&lt;=DAY(DATE($I$3,T!$A$4+1,1)-1),INDEX([7]ČR!D36:D401,DATE(2016,T!$A$4,1)-DATE(2016,1,1)+1,1)/1000,"")</f>
        <v>18656.931840735113</v>
      </c>
      <c r="D26" s="105">
        <f>IF(ROW(A26)-7&lt;=DAY(DATE($I$3,T!$A$4+1,1)-1),INDEX([7]ČR!E36:E401,DATE(2016,T!$A$4,1)-DATE(2016,1,1)+1,1)/1000,"")</f>
        <v>198509.14724000002</v>
      </c>
      <c r="E26" s="106">
        <f>IF(ROW(A26)-7&lt;=DAY(DATE($I$3,T!$A$4+1,1)-1),INDEX([5]PT!AF34:AF399,DATE(2016,T!$A$4,1)-DATE(2016,1,1)+1,1),"")</f>
        <v>6.4</v>
      </c>
      <c r="F26" s="7"/>
      <c r="G26" s="648"/>
      <c r="H26" s="784">
        <f t="shared" si="3"/>
        <v>42113</v>
      </c>
      <c r="I26" s="652">
        <f t="shared" si="4"/>
        <v>18.656931840735112</v>
      </c>
      <c r="J26" s="653">
        <f t="shared" si="5"/>
        <v>6.4</v>
      </c>
      <c r="K26" s="786">
        <f t="shared" si="6"/>
        <v>32</v>
      </c>
      <c r="L26" s="651">
        <f t="shared" si="7"/>
        <v>0</v>
      </c>
      <c r="M26" s="787"/>
      <c r="N26" s="786" t="e">
        <f t="shared" si="2"/>
        <v>#N/A</v>
      </c>
      <c r="O26" s="651">
        <f t="shared" si="1"/>
        <v>0</v>
      </c>
      <c r="P26" s="787"/>
      <c r="R26" s="783"/>
      <c r="S26" s="176"/>
    </row>
    <row r="27" spans="1:19" ht="12" customHeight="1" x14ac:dyDescent="0.2">
      <c r="A27" s="104">
        <f>IF(ROW(A27)-7&lt;=DAY(DATE($I$3,T!$A$4+1,1)-1),INDEX([7]ČR!A37:A402,DATE(2016,T!$A$4,1)-DATE(2016,1,1)+1,1),"")</f>
        <v>42114</v>
      </c>
      <c r="B27" s="647" t="str">
        <f>IF(ROW(A27)-7&lt;=DAY(DATE($I$3,T!$A$4+1,1)-1),INDEX([7]ČR!B37:B402,DATE(2016,T!$A$4,1)-DATE(2016,1,1)+1,1),"")</f>
        <v>pondělí</v>
      </c>
      <c r="C27" s="101">
        <f>IF(ROW(A27)-7&lt;=DAY(DATE($I$3,T!$A$4+1,1)-1),INDEX([7]ČR!D37:D402,DATE(2016,T!$A$4,1)-DATE(2016,1,1)+1,1)/1000,"")</f>
        <v>19563.47139001399</v>
      </c>
      <c r="D27" s="105">
        <f>IF(ROW(A27)-7&lt;=DAY(DATE($I$3,T!$A$4+1,1)-1),INDEX([7]ČR!E37:E402,DATE(2016,T!$A$4,1)-DATE(2016,1,1)+1,1)/1000,"")</f>
        <v>208148.62724</v>
      </c>
      <c r="E27" s="106">
        <f>IF(ROW(A27)-7&lt;=DAY(DATE($I$3,T!$A$4+1,1)-1),INDEX([5]PT!AF35:AF400,DATE(2016,T!$A$4,1)-DATE(2016,1,1)+1,1),"")</f>
        <v>10.4</v>
      </c>
      <c r="F27" s="7"/>
      <c r="G27" s="648"/>
      <c r="H27" s="784">
        <f t="shared" si="3"/>
        <v>42114</v>
      </c>
      <c r="I27" s="652">
        <f t="shared" si="4"/>
        <v>19.563471390013991</v>
      </c>
      <c r="J27" s="653">
        <f t="shared" si="5"/>
        <v>10.4</v>
      </c>
      <c r="K27" s="786">
        <f t="shared" si="6"/>
        <v>33</v>
      </c>
      <c r="L27" s="651">
        <f t="shared" si="7"/>
        <v>1</v>
      </c>
      <c r="M27" s="787"/>
      <c r="N27" s="786" t="e">
        <f t="shared" si="2"/>
        <v>#N/A</v>
      </c>
      <c r="O27" s="651">
        <f t="shared" si="1"/>
        <v>0</v>
      </c>
      <c r="P27" s="787"/>
      <c r="R27" s="783"/>
      <c r="S27" s="176"/>
    </row>
    <row r="28" spans="1:19" ht="12" customHeight="1" x14ac:dyDescent="0.2">
      <c r="A28" s="104">
        <f>IF(ROW(A28)-7&lt;=DAY(DATE($I$3,T!$A$4+1,1)-1),INDEX([7]ČR!A38:A403,DATE(2016,T!$A$4,1)-DATE(2016,1,1)+1,1),"")</f>
        <v>42115</v>
      </c>
      <c r="B28" s="647" t="str">
        <f>IF(ROW(A28)-7&lt;=DAY(DATE($I$3,T!$A$4+1,1)-1),INDEX([7]ČR!B38:B403,DATE(2016,T!$A$4,1)-DATE(2016,1,1)+1,1),"")</f>
        <v>úterý</v>
      </c>
      <c r="C28" s="101">
        <f>IF(ROW(A28)-7&lt;=DAY(DATE($I$3,T!$A$4+1,1)-1),INDEX([7]ČR!D38:D403,DATE(2016,T!$A$4,1)-DATE(2016,1,1)+1,1)/1000,"")</f>
        <v>18079.23956225083</v>
      </c>
      <c r="D28" s="105">
        <f>IF(ROW(A28)-7&lt;=DAY(DATE($I$3,T!$A$4+1,1)-1),INDEX([7]ČR!E38:E403,DATE(2016,T!$A$4,1)-DATE(2016,1,1)+1,1)/1000,"")</f>
        <v>192363.67324</v>
      </c>
      <c r="E28" s="106">
        <f>IF(ROW(A28)-7&lt;=DAY(DATE($I$3,T!$A$4+1,1)-1),INDEX([5]PT!AF36:AF401,DATE(2016,T!$A$4,1)-DATE(2016,1,1)+1,1),"")</f>
        <v>12</v>
      </c>
      <c r="F28" s="7"/>
      <c r="G28" s="648"/>
      <c r="H28" s="784">
        <f t="shared" si="3"/>
        <v>42115</v>
      </c>
      <c r="I28" s="652">
        <f t="shared" si="4"/>
        <v>18.07923956225083</v>
      </c>
      <c r="J28" s="653">
        <f t="shared" si="5"/>
        <v>12</v>
      </c>
      <c r="K28" s="786" t="e">
        <f t="shared" si="6"/>
        <v>#N/A</v>
      </c>
      <c r="L28" s="651">
        <f t="shared" si="7"/>
        <v>0</v>
      </c>
      <c r="M28" s="787"/>
      <c r="N28" s="786" t="e">
        <f t="shared" si="2"/>
        <v>#N/A</v>
      </c>
      <c r="O28" s="651">
        <f t="shared" si="1"/>
        <v>0</v>
      </c>
      <c r="P28" s="787"/>
      <c r="R28" s="783"/>
      <c r="S28" s="176"/>
    </row>
    <row r="29" spans="1:19" ht="12" customHeight="1" x14ac:dyDescent="0.2">
      <c r="A29" s="104">
        <f>IF(ROW(A29)-7&lt;=DAY(DATE($I$3,T!$A$4+1,1)-1),INDEX([7]ČR!A39:A404,DATE(2016,T!$A$4,1)-DATE(2016,1,1)+1,1),"")</f>
        <v>42116</v>
      </c>
      <c r="B29" s="647" t="str">
        <f>IF(ROW(A29)-7&lt;=DAY(DATE($I$3,T!$A$4+1,1)-1),INDEX([7]ČR!B39:B404,DATE(2016,T!$A$4,1)-DATE(2016,1,1)+1,1),"")</f>
        <v>středa</v>
      </c>
      <c r="C29" s="101">
        <f>IF(ROW(A29)-7&lt;=DAY(DATE($I$3,T!$A$4+1,1)-1),INDEX([7]ČR!D39:D404,DATE(2016,T!$A$4,1)-DATE(2016,1,1)+1,1)/1000,"")</f>
        <v>18076.820425424012</v>
      </c>
      <c r="D29" s="105">
        <f>IF(ROW(A29)-7&lt;=DAY(DATE($I$3,T!$A$4+1,1)-1),INDEX([7]ČR!E39:E404,DATE(2016,T!$A$4,1)-DATE(2016,1,1)+1,1)/1000,"")</f>
        <v>192336.17224000001</v>
      </c>
      <c r="E29" s="106">
        <f>IF(ROW(A29)-7&lt;=DAY(DATE($I$3,T!$A$4+1,1)-1),INDEX([5]PT!AF37:AF402,DATE(2016,T!$A$4,1)-DATE(2016,1,1)+1,1),"")</f>
        <v>10</v>
      </c>
      <c r="F29" s="7"/>
      <c r="G29" s="648"/>
      <c r="H29" s="784">
        <f t="shared" si="3"/>
        <v>42116</v>
      </c>
      <c r="I29" s="652">
        <f t="shared" si="4"/>
        <v>18.07682042542401</v>
      </c>
      <c r="J29" s="653">
        <f t="shared" si="5"/>
        <v>10</v>
      </c>
      <c r="K29" s="786" t="e">
        <f t="shared" si="6"/>
        <v>#N/A</v>
      </c>
      <c r="L29" s="651">
        <f t="shared" si="7"/>
        <v>0</v>
      </c>
      <c r="M29" s="787"/>
      <c r="N29" s="786" t="e">
        <f t="shared" si="2"/>
        <v>#N/A</v>
      </c>
      <c r="O29" s="651">
        <f t="shared" si="1"/>
        <v>0</v>
      </c>
      <c r="P29" s="787"/>
      <c r="R29" s="783"/>
      <c r="S29" s="176"/>
    </row>
    <row r="30" spans="1:19" ht="12" customHeight="1" x14ac:dyDescent="0.2">
      <c r="A30" s="104">
        <f>IF(ROW(A30)-7&lt;=DAY(DATE($I$3,T!$A$4+1,1)-1),INDEX([7]ČR!A40:A405,DATE(2016,T!$A$4,1)-DATE(2016,1,1)+1,1),"")</f>
        <v>42117</v>
      </c>
      <c r="B30" s="647" t="str">
        <f>IF(ROW(A30)-7&lt;=DAY(DATE($I$3,T!$A$4+1,1)-1),INDEX([7]ČR!B40:B405,DATE(2016,T!$A$4,1)-DATE(2016,1,1)+1,1),"")</f>
        <v>čtvrtek</v>
      </c>
      <c r="C30" s="101">
        <f>IF(ROW(A30)-7&lt;=DAY(DATE($I$3,T!$A$4+1,1)-1),INDEX([7]ČR!D40:D405,DATE(2016,T!$A$4,1)-DATE(2016,1,1)+1,1)/1000,"")</f>
        <v>17194.628472384942</v>
      </c>
      <c r="D30" s="105">
        <f>IF(ROW(A30)-7&lt;=DAY(DATE($I$3,T!$A$4+1,1)-1),INDEX([7]ČR!E40:E405,DATE(2016,T!$A$4,1)-DATE(2016,1,1)+1,1)/1000,"")</f>
        <v>182954.28524</v>
      </c>
      <c r="E30" s="106">
        <f>IF(ROW(A30)-7&lt;=DAY(DATE($I$3,T!$A$4+1,1)-1),INDEX([5]PT!AF38:AF403,DATE(2016,T!$A$4,1)-DATE(2016,1,1)+1,1),"")</f>
        <v>10.6</v>
      </c>
      <c r="F30" s="7"/>
      <c r="G30" s="648"/>
      <c r="H30" s="784">
        <f t="shared" si="3"/>
        <v>42117</v>
      </c>
      <c r="I30" s="652">
        <f t="shared" si="4"/>
        <v>17.194628472384942</v>
      </c>
      <c r="J30" s="653">
        <f t="shared" si="5"/>
        <v>10.6</v>
      </c>
      <c r="K30" s="786" t="e">
        <f t="shared" si="6"/>
        <v>#N/A</v>
      </c>
      <c r="L30" s="651">
        <f t="shared" si="7"/>
        <v>0</v>
      </c>
      <c r="M30" s="787"/>
      <c r="N30" s="786" t="e">
        <f t="shared" si="2"/>
        <v>#N/A</v>
      </c>
      <c r="O30" s="651">
        <f t="shared" si="1"/>
        <v>0</v>
      </c>
      <c r="P30" s="787"/>
      <c r="R30" s="783"/>
      <c r="S30" s="176"/>
    </row>
    <row r="31" spans="1:19" ht="12" customHeight="1" x14ac:dyDescent="0.2">
      <c r="A31" s="104">
        <f>IF(ROW(A31)-7&lt;=DAY(DATE($I$3,T!$A$4+1,1)-1),INDEX([7]ČR!A41:A406,DATE(2016,T!$A$4,1)-DATE(2016,1,1)+1,1),"")</f>
        <v>42118</v>
      </c>
      <c r="B31" s="647" t="str">
        <f>IF(ROW(A31)-7&lt;=DAY(DATE($I$3,T!$A$4+1,1)-1),INDEX([7]ČR!B41:B406,DATE(2016,T!$A$4,1)-DATE(2016,1,1)+1,1),"")</f>
        <v>pátek</v>
      </c>
      <c r="C31" s="101">
        <f>IF(ROW(A31)-7&lt;=DAY(DATE($I$3,T!$A$4+1,1)-1),INDEX([7]ČR!D41:D406,DATE(2016,T!$A$4,1)-DATE(2016,1,1)+1,1)/1000,"")</f>
        <v>15382.705185504732</v>
      </c>
      <c r="D31" s="105">
        <f>IF(ROW(A31)-7&lt;=DAY(DATE($I$3,T!$A$4+1,1)-1),INDEX([7]ČR!E41:E406,DATE(2016,T!$A$4,1)-DATE(2016,1,1)+1,1)/1000,"")</f>
        <v>163694.18924000001</v>
      </c>
      <c r="E31" s="106">
        <f>IF(ROW(A31)-7&lt;=DAY(DATE($I$3,T!$A$4+1,1)-1),INDEX([5]PT!AF39:AF404,DATE(2016,T!$A$4,1)-DATE(2016,1,1)+1,1),"")</f>
        <v>11.1</v>
      </c>
      <c r="F31" s="7"/>
      <c r="G31" s="648"/>
      <c r="H31" s="784">
        <f t="shared" si="3"/>
        <v>42118</v>
      </c>
      <c r="I31" s="652">
        <f t="shared" si="4"/>
        <v>15.382705185504731</v>
      </c>
      <c r="J31" s="653">
        <f t="shared" si="5"/>
        <v>11.1</v>
      </c>
      <c r="K31" s="786" t="e">
        <f t="shared" si="6"/>
        <v>#N/A</v>
      </c>
      <c r="L31" s="651">
        <f t="shared" si="7"/>
        <v>0</v>
      </c>
      <c r="M31" s="787"/>
      <c r="N31" s="786" t="e">
        <f t="shared" si="2"/>
        <v>#N/A</v>
      </c>
      <c r="O31" s="651">
        <f t="shared" si="1"/>
        <v>0</v>
      </c>
      <c r="P31" s="787"/>
      <c r="R31" s="783"/>
      <c r="S31" s="176"/>
    </row>
    <row r="32" spans="1:19" ht="12" customHeight="1" x14ac:dyDescent="0.2">
      <c r="A32" s="104">
        <f>IF(ROW(A32)-7&lt;=DAY(DATE($I$3,T!$A$4+1,1)-1),INDEX([7]ČR!A42:A407,DATE(2016,T!$A$4,1)-DATE(2016,1,1)+1,1),"")</f>
        <v>42119</v>
      </c>
      <c r="B32" s="647" t="str">
        <f>IF(ROW(A32)-7&lt;=DAY(DATE($I$3,T!$A$4+1,1)-1),INDEX([7]ČR!B42:B407,DATE(2016,T!$A$4,1)-DATE(2016,1,1)+1,1),"")</f>
        <v>sobota</v>
      </c>
      <c r="C32" s="101">
        <f>IF(ROW(A32)-7&lt;=DAY(DATE($I$3,T!$A$4+1,1)-1),INDEX([7]ČR!D42:D407,DATE(2016,T!$A$4,1)-DATE(2016,1,1)+1,1)/1000,"")</f>
        <v>12336.617288364372</v>
      </c>
      <c r="D32" s="105">
        <f>IF(ROW(A32)-7&lt;=DAY(DATE($I$3,T!$A$4+1,1)-1),INDEX([7]ČR!E42:E407,DATE(2016,T!$A$4,1)-DATE(2016,1,1)+1,1)/1000,"")</f>
        <v>131301.57723999998</v>
      </c>
      <c r="E32" s="106">
        <f>IF(ROW(A32)-7&lt;=DAY(DATE($I$3,T!$A$4+1,1)-1),INDEX([5]PT!AF40:AF405,DATE(2016,T!$A$4,1)-DATE(2016,1,1)+1,1),"")</f>
        <v>14.6</v>
      </c>
      <c r="F32" s="7"/>
      <c r="G32" s="648"/>
      <c r="H32" s="784">
        <f t="shared" si="3"/>
        <v>42119</v>
      </c>
      <c r="I32" s="652">
        <f t="shared" si="4"/>
        <v>12.336617288364373</v>
      </c>
      <c r="J32" s="653">
        <f t="shared" si="5"/>
        <v>14.6</v>
      </c>
      <c r="K32" s="786" t="e">
        <f t="shared" si="6"/>
        <v>#N/A</v>
      </c>
      <c r="L32" s="651">
        <f t="shared" si="7"/>
        <v>0</v>
      </c>
      <c r="M32" s="787"/>
      <c r="N32" s="786" t="e">
        <f t="shared" si="2"/>
        <v>#N/A</v>
      </c>
      <c r="O32" s="651">
        <f t="shared" si="1"/>
        <v>0</v>
      </c>
      <c r="P32" s="787"/>
    </row>
    <row r="33" spans="1:16" ht="12" customHeight="1" x14ac:dyDescent="0.2">
      <c r="A33" s="104">
        <f>IF(ROW(A33)-7&lt;=DAY(DATE($I$3,T!$A$4+1,1)-1),INDEX([7]ČR!A43:A408,DATE(2016,T!$A$4,1)-DATE(2016,1,1)+1,1),"")</f>
        <v>42120</v>
      </c>
      <c r="B33" s="647" t="str">
        <f>IF(ROW(A33)-7&lt;=DAY(DATE($I$3,T!$A$4+1,1)-1),INDEX([7]ČR!B43:B408,DATE(2016,T!$A$4,1)-DATE(2016,1,1)+1,1),"")</f>
        <v>neděle</v>
      </c>
      <c r="C33" s="101">
        <f>IF(ROW(A33)-7&lt;=DAY(DATE($I$3,T!$A$4+1,1)-1),INDEX([7]ČR!D43:D408,DATE(2016,T!$A$4,1)-DATE(2016,1,1)+1,1)/1000,"")</f>
        <v>12659.586495655698</v>
      </c>
      <c r="D33" s="105">
        <f>IF(ROW(A33)-7&lt;=DAY(DATE($I$3,T!$A$4+1,1)-1),INDEX([7]ČR!E43:E408,DATE(2016,T!$A$4,1)-DATE(2016,1,1)+1,1)/1000,"")</f>
        <v>134732.35024</v>
      </c>
      <c r="E33" s="106">
        <f>IF(ROW(A33)-7&lt;=DAY(DATE($I$3,T!$A$4+1,1)-1),INDEX([5]PT!AF41:AF406,DATE(2016,T!$A$4,1)-DATE(2016,1,1)+1,1),"")</f>
        <v>13.5</v>
      </c>
      <c r="F33" s="7"/>
      <c r="G33" s="648"/>
      <c r="H33" s="784">
        <f t="shared" si="3"/>
        <v>42120</v>
      </c>
      <c r="I33" s="652">
        <f t="shared" si="4"/>
        <v>12.659586495655699</v>
      </c>
      <c r="J33" s="653">
        <f t="shared" si="5"/>
        <v>13.5</v>
      </c>
      <c r="K33" s="786" t="e">
        <f t="shared" si="6"/>
        <v>#N/A</v>
      </c>
      <c r="L33" s="651">
        <f t="shared" si="7"/>
        <v>0</v>
      </c>
      <c r="M33" s="787"/>
      <c r="N33" s="786" t="e">
        <f t="shared" si="2"/>
        <v>#N/A</v>
      </c>
      <c r="O33" s="651">
        <f t="shared" si="1"/>
        <v>0</v>
      </c>
      <c r="P33" s="787"/>
    </row>
    <row r="34" spans="1:16" ht="12" customHeight="1" x14ac:dyDescent="0.2">
      <c r="A34" s="104">
        <f>IF(ROW(A34)-7&lt;=DAY(DATE($I$3,T!$A$4+1,1)-1),INDEX([7]ČR!A44:A409,DATE(2016,T!$A$4,1)-DATE(2016,1,1)+1,1),"")</f>
        <v>42121</v>
      </c>
      <c r="B34" s="647" t="str">
        <f>IF(ROW(A34)-7&lt;=DAY(DATE($I$3,T!$A$4+1,1)-1),INDEX([7]ČR!B44:B409,DATE(2016,T!$A$4,1)-DATE(2016,1,1)+1,1),"")</f>
        <v>pondělí</v>
      </c>
      <c r="C34" s="101">
        <f>IF(ROW(A34)-7&lt;=DAY(DATE($I$3,T!$A$4+1,1)-1),INDEX([7]ČR!D44:D409,DATE(2016,T!$A$4,1)-DATE(2016,1,1)+1,1)/1000,"")</f>
        <v>13818.581100658112</v>
      </c>
      <c r="D34" s="105">
        <f>IF(ROW(A34)-7&lt;=DAY(DATE($I$3,T!$A$4+1,1)-1),INDEX([7]ČR!E44:E409,DATE(2016,T!$A$4,1)-DATE(2016,1,1)+1,1)/1000,"")</f>
        <v>147053.22424000001</v>
      </c>
      <c r="E34" s="106">
        <f>IF(ROW(A34)-7&lt;=DAY(DATE($I$3,T!$A$4+1,1)-1),INDEX([5]PT!AF42:AF407,DATE(2016,T!$A$4,1)-DATE(2016,1,1)+1,1),"")</f>
        <v>15.5</v>
      </c>
      <c r="F34" s="7"/>
      <c r="G34" s="648"/>
      <c r="H34" s="784">
        <f t="shared" si="3"/>
        <v>42121</v>
      </c>
      <c r="I34" s="652">
        <f t="shared" si="4"/>
        <v>13.818581100658111</v>
      </c>
      <c r="J34" s="653">
        <f t="shared" si="5"/>
        <v>15.5</v>
      </c>
      <c r="K34" s="786" t="e">
        <f t="shared" si="6"/>
        <v>#N/A</v>
      </c>
      <c r="L34" s="651">
        <f t="shared" si="7"/>
        <v>0</v>
      </c>
      <c r="M34" s="787"/>
      <c r="N34" s="786" t="e">
        <f t="shared" si="2"/>
        <v>#N/A</v>
      </c>
      <c r="O34" s="651">
        <f t="shared" si="1"/>
        <v>0</v>
      </c>
      <c r="P34" s="787"/>
    </row>
    <row r="35" spans="1:16" ht="12" customHeight="1" x14ac:dyDescent="0.2">
      <c r="A35" s="104">
        <f>IF(ROW(A35)-7&lt;=DAY(DATE($I$3,T!$A$4+1,1)-1),INDEX([7]ČR!A45:A410,DATE(2016,T!$A$4,1)-DATE(2016,1,1)+1,1),"")</f>
        <v>42122</v>
      </c>
      <c r="B35" s="647" t="str">
        <f>IF(ROW(A35)-7&lt;=DAY(DATE($I$3,T!$A$4+1,1)-1),INDEX([7]ČR!B45:B410,DATE(2016,T!$A$4,1)-DATE(2016,1,1)+1,1),"")</f>
        <v>úterý</v>
      </c>
      <c r="C35" s="101">
        <f>IF(ROW(A35)-7&lt;=DAY(DATE($I$3,T!$A$4+1,1)-1),INDEX([7]ČR!D45:D410,DATE(2016,T!$A$4,1)-DATE(2016,1,1)+1,1)/1000,"")</f>
        <v>18711.239256020552</v>
      </c>
      <c r="D35" s="105">
        <f>IF(ROW(A35)-7&lt;=DAY(DATE($I$3,T!$A$4+1,1)-1),INDEX([7]ČR!E45:E410,DATE(2016,T!$A$4,1)-DATE(2016,1,1)+1,1)/1000,"")</f>
        <v>199082.11724000002</v>
      </c>
      <c r="E35" s="106">
        <f>IF(ROW(A35)-7&lt;=DAY(DATE($I$3,T!$A$4+1,1)-1),INDEX([5]PT!AF43:AF408,DATE(2016,T!$A$4,1)-DATE(2016,1,1)+1,1),"")</f>
        <v>7.3</v>
      </c>
      <c r="F35" s="7"/>
      <c r="G35" s="648"/>
      <c r="H35" s="784">
        <f t="shared" si="3"/>
        <v>42122</v>
      </c>
      <c r="I35" s="652">
        <f t="shared" si="4"/>
        <v>18.711239256020551</v>
      </c>
      <c r="J35" s="653">
        <f t="shared" si="5"/>
        <v>7.3</v>
      </c>
      <c r="K35" s="786" t="e">
        <f t="shared" si="6"/>
        <v>#N/A</v>
      </c>
      <c r="L35" s="651">
        <f t="shared" si="7"/>
        <v>0</v>
      </c>
      <c r="M35" s="787"/>
      <c r="N35" s="786" t="e">
        <f t="shared" si="2"/>
        <v>#N/A</v>
      </c>
      <c r="O35" s="651">
        <f t="shared" si="1"/>
        <v>0</v>
      </c>
      <c r="P35" s="787"/>
    </row>
    <row r="36" spans="1:16" ht="12" customHeight="1" x14ac:dyDescent="0.2">
      <c r="A36" s="104">
        <f>IF(ROW(A36)-7&lt;=DAY(DATE($I$3,T!$A$4+1,1)-1),INDEX([7]ČR!A46:A411,DATE(2016,T!$A$4,1)-DATE(2016,1,1)+1,1),"")</f>
        <v>42123</v>
      </c>
      <c r="B36" s="647" t="str">
        <f>IF(ROW(A36)-7&lt;=DAY(DATE($I$3,T!$A$4+1,1)-1),INDEX([7]ČR!B46:B411,DATE(2016,T!$A$4,1)-DATE(2016,1,1)+1,1),"")</f>
        <v>středa</v>
      </c>
      <c r="C36" s="101">
        <f>IF(ROW(A36)-7&lt;=DAY(DATE($I$3,T!$A$4+1,1)-1),INDEX([7]ČR!D46:D411,DATE(2016,T!$A$4,1)-DATE(2016,1,1)+1,1)/1000,"")</f>
        <v>18289.834007546062</v>
      </c>
      <c r="D36" s="105">
        <f>IF(ROW(A36)-7&lt;=DAY(DATE($I$3,T!$A$4+1,1)-1),INDEX([7]ČR!E46:E411,DATE(2016,T!$A$4,1)-DATE(2016,1,1)+1,1)/1000,"")</f>
        <v>194603.92124</v>
      </c>
      <c r="E36" s="106">
        <f>IF(ROW(A36)-7&lt;=DAY(DATE($I$3,T!$A$4+1,1)-1),INDEX([5]PT!AF44:AF409,DATE(2016,T!$A$4,1)-DATE(2016,1,1)+1,1),"")</f>
        <v>7.1</v>
      </c>
      <c r="F36" s="7"/>
      <c r="G36" s="648"/>
      <c r="H36" s="784">
        <f t="shared" si="3"/>
        <v>42123</v>
      </c>
      <c r="I36" s="652">
        <f t="shared" si="4"/>
        <v>18.289834007546062</v>
      </c>
      <c r="J36" s="653">
        <f t="shared" si="5"/>
        <v>7.1</v>
      </c>
      <c r="K36" s="786" t="e">
        <f t="shared" si="6"/>
        <v>#N/A</v>
      </c>
      <c r="L36" s="651">
        <f t="shared" si="7"/>
        <v>0</v>
      </c>
      <c r="M36" s="787"/>
      <c r="N36" s="786" t="e">
        <f t="shared" si="2"/>
        <v>#N/A</v>
      </c>
      <c r="O36" s="651">
        <f t="shared" si="1"/>
        <v>0</v>
      </c>
      <c r="P36" s="787"/>
    </row>
    <row r="37" spans="1:16" ht="12" customHeight="1" x14ac:dyDescent="0.2">
      <c r="A37" s="104">
        <f>IF(ROW(A37)-7&lt;=DAY(DATE($I$3,T!$A$4+1,1)-1),INDEX([7]ČR!A47:A412,DATE(2016,T!$A$4,1)-DATE(2016,1,1)+1,1),"")</f>
        <v>42124</v>
      </c>
      <c r="B37" s="647" t="str">
        <f>IF(ROW(A37)-7&lt;=DAY(DATE($I$3,T!$A$4+1,1)-1),INDEX([7]ČR!B47:B412,DATE(2016,T!$A$4,1)-DATE(2016,1,1)+1,1),"")</f>
        <v>čtvrtek</v>
      </c>
      <c r="C37" s="101">
        <f>IF(ROW(A37)-7&lt;=DAY(DATE($I$3,T!$A$4+1,1)-1),INDEX([7]ČR!D47:D412,DATE(2016,T!$A$4,1)-DATE(2016,1,1)+1,1)/1000,"")</f>
        <v>17044.748050783794</v>
      </c>
      <c r="D37" s="105">
        <f>IF(ROW(A37)-7&lt;=DAY(DATE($I$3,T!$A$4+1,1)-1),INDEX([7]ČR!E47:E412,DATE(2016,T!$A$4,1)-DATE(2016,1,1)+1,1)/1000,"")</f>
        <v>181363.12424</v>
      </c>
      <c r="E37" s="106">
        <f>IF(ROW(A37)-7&lt;=DAY(DATE($I$3,T!$A$4+1,1)-1),INDEX([5]PT!AF45:AF410,DATE(2016,T!$A$4,1)-DATE(2016,1,1)+1,1),"")</f>
        <v>8.8000000000000007</v>
      </c>
      <c r="F37" s="7"/>
      <c r="G37" s="648"/>
      <c r="H37" s="784">
        <f t="shared" si="3"/>
        <v>42124</v>
      </c>
      <c r="I37" s="652">
        <f t="shared" si="4"/>
        <v>17.044748050783795</v>
      </c>
      <c r="J37" s="653">
        <f t="shared" si="5"/>
        <v>8.8000000000000007</v>
      </c>
      <c r="K37" s="786" t="e">
        <f t="shared" si="6"/>
        <v>#N/A</v>
      </c>
      <c r="L37" s="651">
        <f t="shared" si="7"/>
        <v>0</v>
      </c>
      <c r="M37" s="787"/>
      <c r="N37" s="786" t="e">
        <f t="shared" si="2"/>
        <v>#N/A</v>
      </c>
      <c r="O37" s="651">
        <f t="shared" si="1"/>
        <v>0</v>
      </c>
      <c r="P37" s="787"/>
    </row>
    <row r="38" spans="1:16" ht="12" customHeight="1" x14ac:dyDescent="0.2">
      <c r="A38" s="104" t="str">
        <f>IF(ROW(A38)-7&lt;=DAY(DATE($I$3,T!$A$4+1,1)-1),INDEX([7]ČR!A48:A413,DATE(2016,T!$A$4,1)-DATE(2016,1,1)+1,1),"")</f>
        <v/>
      </c>
      <c r="B38" s="647" t="str">
        <f>IF(ROW(A38)-7&lt;=DAY(DATE($I$3,T!$A$4+1,1)-1),INDEX([7]ČR!B48:B413,DATE(2016,T!$A$4,1)-DATE(2016,1,1)+1,1),"")</f>
        <v/>
      </c>
      <c r="C38" s="101" t="str">
        <f>IF(ROW(A38)-7&lt;=DAY(DATE($I$3,T!$A$4+1,1)-1),INDEX([7]ČR!D48:D413,DATE(2016,T!$A$4,1)-DATE(2016,1,1)+1,1)/1000,"")</f>
        <v/>
      </c>
      <c r="D38" s="105" t="str">
        <f>IF(ROW(A38)-7&lt;=DAY(DATE($I$3,T!$A$4+1,1)-1),INDEX([7]ČR!E48:E413,DATE(2016,T!$A$4,1)-DATE(2016,1,1)+1,1)/1000,"")</f>
        <v/>
      </c>
      <c r="E38" s="106" t="str">
        <f>IF(ROW(A38)-7&lt;=DAY(DATE($I$3,T!$A$4+1,1)-1),INDEX([5]PT!AF46:AF411,DATE(2016,T!$A$4,1)-DATE(2016,1,1)+1,1),"")</f>
        <v/>
      </c>
      <c r="F38" s="7"/>
      <c r="G38" s="648"/>
      <c r="H38" s="784" t="e">
        <f t="shared" si="3"/>
        <v>#N/A</v>
      </c>
      <c r="I38" s="652" t="e">
        <f t="shared" si="4"/>
        <v>#N/A</v>
      </c>
      <c r="J38" s="653" t="e">
        <f t="shared" si="5"/>
        <v>#N/A</v>
      </c>
      <c r="K38" s="786" t="e">
        <f t="shared" si="6"/>
        <v>#N/A</v>
      </c>
      <c r="L38" s="651">
        <f t="shared" si="7"/>
        <v>0</v>
      </c>
      <c r="M38" s="787"/>
      <c r="N38" s="786" t="e">
        <f t="shared" si="2"/>
        <v>#N/A</v>
      </c>
      <c r="O38" s="651">
        <f t="shared" si="1"/>
        <v>0</v>
      </c>
      <c r="P38" s="787"/>
    </row>
    <row r="39" spans="1:16" ht="12" customHeight="1" x14ac:dyDescent="0.2">
      <c r="A39" s="859" t="s">
        <v>2</v>
      </c>
      <c r="B39" s="860"/>
      <c r="C39" s="748">
        <f>SUM(C8:C38)</f>
        <v>622808.56614391319</v>
      </c>
      <c r="D39" s="749">
        <f>SUM(D8:D38)</f>
        <v>6626108.7001999989</v>
      </c>
      <c r="E39" s="750">
        <f>AVERAGE(E8:E38)</f>
        <v>8.2200000000000006</v>
      </c>
      <c r="F39" s="7"/>
      <c r="G39" s="858"/>
      <c r="H39" s="91"/>
      <c r="I39" s="785"/>
      <c r="J39" s="91"/>
      <c r="K39" s="91"/>
      <c r="L39" s="91"/>
      <c r="M39" s="91"/>
      <c r="N39" s="91"/>
      <c r="O39" s="91"/>
      <c r="P39" s="91"/>
    </row>
    <row r="40" spans="1:16" ht="12" customHeight="1" x14ac:dyDescent="0.2">
      <c r="A40" s="861" t="s">
        <v>45</v>
      </c>
      <c r="B40" s="862"/>
      <c r="C40" s="102">
        <f>MAX(C8:C38)</f>
        <v>32462.720565170937</v>
      </c>
      <c r="D40" s="8">
        <f>MAX(D8:D38)</f>
        <v>345306.82224000001</v>
      </c>
      <c r="E40" s="43">
        <f>VLOOKUP(C40,$C$8:$E$38,3,FALSE)</f>
        <v>1.3</v>
      </c>
      <c r="F40" s="7"/>
      <c r="G40" s="858"/>
      <c r="H40" s="91"/>
      <c r="I40" s="91"/>
      <c r="J40" s="91"/>
      <c r="K40" s="91"/>
      <c r="L40" s="91"/>
      <c r="M40" s="91"/>
      <c r="N40" s="91"/>
      <c r="O40" s="91"/>
      <c r="P40" s="91"/>
    </row>
    <row r="41" spans="1:16" ht="12" customHeight="1" x14ac:dyDescent="0.2">
      <c r="A41" s="861" t="s">
        <v>46</v>
      </c>
      <c r="B41" s="862"/>
      <c r="C41" s="102">
        <f>MIN(C8:C38)</f>
        <v>12336.617288364372</v>
      </c>
      <c r="D41" s="8">
        <f>MIN(D8:D38)</f>
        <v>131301.57723999998</v>
      </c>
      <c r="E41" s="43">
        <f>VLOOKUP(C41,$C$8:$E$38,3,FALSE)</f>
        <v>14.6</v>
      </c>
      <c r="F41" s="7"/>
      <c r="G41" s="858"/>
      <c r="H41" s="91"/>
      <c r="I41" s="91"/>
      <c r="J41" s="91"/>
      <c r="K41" s="91"/>
      <c r="L41" s="91"/>
      <c r="M41" s="91"/>
      <c r="N41" s="91"/>
      <c r="O41" s="91"/>
      <c r="P41" s="91"/>
    </row>
    <row r="42" spans="1:16" ht="12" customHeight="1" x14ac:dyDescent="0.2">
      <c r="A42" s="863" t="s">
        <v>44</v>
      </c>
      <c r="B42" s="864"/>
      <c r="C42" s="103">
        <f>AVERAGE(C8:C38)</f>
        <v>20760.28553813044</v>
      </c>
      <c r="D42" s="44">
        <f>AVERAGE(D8:D38)</f>
        <v>220870.29000666662</v>
      </c>
      <c r="E42" s="45">
        <f>AVERAGE(E8:E38)</f>
        <v>8.2200000000000006</v>
      </c>
      <c r="F42" s="7"/>
      <c r="G42" s="858"/>
      <c r="H42" s="91"/>
      <c r="I42" s="91"/>
      <c r="J42" s="91"/>
      <c r="K42" s="91"/>
      <c r="L42" s="91"/>
      <c r="M42" s="91"/>
      <c r="N42" s="91"/>
      <c r="O42" s="91"/>
      <c r="P42" s="91"/>
    </row>
    <row r="43" spans="1:16" ht="12" customHeight="1" x14ac:dyDescent="0.2">
      <c r="A43" s="2"/>
      <c r="F43" s="61"/>
      <c r="G43" s="61"/>
    </row>
    <row r="46" spans="1:16" x14ac:dyDescent="0.2">
      <c r="C46" s="67"/>
      <c r="D46" s="67"/>
    </row>
    <row r="47" spans="1:16" x14ac:dyDescent="0.2">
      <c r="C47" s="1"/>
      <c r="D47" s="61"/>
    </row>
    <row r="48" spans="1:16" x14ac:dyDescent="0.2">
      <c r="C48" s="61"/>
      <c r="D48" s="61"/>
      <c r="E48" s="61"/>
    </row>
    <row r="49" spans="3:5" x14ac:dyDescent="0.2">
      <c r="C49" s="61"/>
      <c r="D49" s="61"/>
      <c r="E49" s="61"/>
    </row>
    <row r="50" spans="3:5" x14ac:dyDescent="0.2">
      <c r="C50" s="61"/>
      <c r="D50" s="61"/>
    </row>
  </sheetData>
  <sortState ref="S1:S31">
    <sortCondition descending="1" ref="S1"/>
  </sortState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Q51"/>
  <sheetViews>
    <sheetView view="pageBreakPreview" zoomScaleNormal="100" zoomScaleSheetLayoutView="100" workbookViewId="0">
      <selection activeCell="C1" sqref="C1"/>
    </sheetView>
  </sheetViews>
  <sheetFormatPr defaultRowHeight="12.75" x14ac:dyDescent="0.2"/>
  <cols>
    <col min="1" max="1" width="18" style="17" customWidth="1"/>
    <col min="2" max="2" width="15" style="17" customWidth="1"/>
    <col min="3" max="3" width="6.4257812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1" t="s">
        <v>75</v>
      </c>
      <c r="P1" s="821"/>
    </row>
    <row r="2" spans="1:17" ht="15.95" customHeight="1" x14ac:dyDescent="0.25">
      <c r="A2" s="877" t="s">
        <v>189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17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17" ht="14.1" customHeight="1" x14ac:dyDescent="0.2">
      <c r="D4" s="497"/>
      <c r="E4" s="497"/>
      <c r="F4" s="497"/>
      <c r="G4" s="497"/>
      <c r="P4" s="594"/>
    </row>
    <row r="5" spans="1:17" ht="18" customHeight="1" x14ac:dyDescent="0.2">
      <c r="A5" s="515"/>
      <c r="B5" s="516"/>
      <c r="C5" s="517"/>
      <c r="D5" s="500" t="s">
        <v>13</v>
      </c>
      <c r="E5" s="500" t="s">
        <v>58</v>
      </c>
      <c r="F5" s="518" t="s">
        <v>59</v>
      </c>
      <c r="G5" s="500" t="s">
        <v>60</v>
      </c>
      <c r="H5" s="500" t="s">
        <v>61</v>
      </c>
      <c r="I5" s="518" t="s">
        <v>62</v>
      </c>
      <c r="J5" s="500" t="s">
        <v>63</v>
      </c>
      <c r="K5" s="500" t="s">
        <v>64</v>
      </c>
      <c r="L5" s="518" t="s">
        <v>65</v>
      </c>
      <c r="M5" s="500" t="s">
        <v>66</v>
      </c>
      <c r="N5" s="500" t="s">
        <v>67</v>
      </c>
      <c r="O5" s="500" t="s">
        <v>68</v>
      </c>
      <c r="P5" s="588" t="s">
        <v>2</v>
      </c>
      <c r="Q5" s="13"/>
    </row>
    <row r="6" spans="1:17" ht="9.9499999999999993" customHeight="1" x14ac:dyDescent="0.2">
      <c r="A6" s="879" t="s">
        <v>253</v>
      </c>
      <c r="B6" s="519"/>
      <c r="C6" s="520"/>
      <c r="D6" s="499"/>
      <c r="E6" s="499"/>
      <c r="F6" s="521"/>
      <c r="G6" s="499"/>
      <c r="H6" s="499"/>
      <c r="I6" s="521"/>
      <c r="J6" s="499"/>
      <c r="K6" s="499"/>
      <c r="L6" s="521"/>
      <c r="M6" s="499"/>
      <c r="N6" s="499"/>
      <c r="O6" s="499"/>
      <c r="P6" s="589"/>
      <c r="Q6" s="13"/>
    </row>
    <row r="7" spans="1:17" ht="18" customHeight="1" x14ac:dyDescent="0.2">
      <c r="A7" s="875"/>
      <c r="B7" s="564" t="str">
        <f>"spotřeba "&amp;$A$3</f>
        <v>spotřeba 2015</v>
      </c>
      <c r="C7" s="566" t="s">
        <v>250</v>
      </c>
      <c r="D7" s="522">
        <f>IF(T!$A$4&gt;='[8]Podklady MZ'!D$2,'[8]Podklady MZ'!D12,"")</f>
        <v>1081.280644710429</v>
      </c>
      <c r="E7" s="523">
        <f>IF(T!$A$4&gt;='[8]Podklady MZ'!E$2,'[8]Podklady MZ'!E12,"")</f>
        <v>989.86689164730865</v>
      </c>
      <c r="F7" s="524">
        <f>IF(T!$A$4&gt;='[8]Podklady MZ'!F$2,'[8]Podklady MZ'!F12,"")</f>
        <v>865.53252041105134</v>
      </c>
      <c r="G7" s="523">
        <f>IF(T!$A$4&gt;='[8]Podklady MZ'!G$2,'[8]Podklady MZ'!G12,"")</f>
        <v>622.80856614391325</v>
      </c>
      <c r="H7" s="522" t="str">
        <f>IF(T!$A$4&gt;='[8]Podklady MZ'!H$2,'[8]Podklady MZ'!H12,"")</f>
        <v/>
      </c>
      <c r="I7" s="525" t="str">
        <f>IF(T!$A$4&gt;='[8]Podklady MZ'!I$2,'[8]Podklady MZ'!I12,"")</f>
        <v/>
      </c>
      <c r="J7" s="522" t="str">
        <f>IF(T!$A$4&gt;='[8]Podklady MZ'!J$2,'[8]Podklady MZ'!J12,"")</f>
        <v/>
      </c>
      <c r="K7" s="522" t="str">
        <f>IF(T!$A$4&gt;='[8]Podklady MZ'!K$2,'[8]Podklady MZ'!K12,"")</f>
        <v/>
      </c>
      <c r="L7" s="525" t="str">
        <f>IF(T!$A$4&gt;='[8]Podklady MZ'!L$2,'[8]Podklady MZ'!L12,"")</f>
        <v/>
      </c>
      <c r="M7" s="522" t="str">
        <f>IF(T!$A$4&gt;='[8]Podklady MZ'!M$2,'[8]Podklady MZ'!M12,"")</f>
        <v/>
      </c>
      <c r="N7" s="522" t="str">
        <f>IF(T!$A$4&gt;='[8]Podklady MZ'!N$2,'[8]Podklady MZ'!N12,"")</f>
        <v/>
      </c>
      <c r="O7" s="522" t="str">
        <f>IF(T!$A$4&gt;='[8]Podklady MZ'!O$2,'[8]Podklady MZ'!O12,"")</f>
        <v/>
      </c>
      <c r="P7" s="595">
        <f>SUM(D7:O7)</f>
        <v>3559.4886229127019</v>
      </c>
    </row>
    <row r="8" spans="1:17" ht="18" customHeight="1" x14ac:dyDescent="0.2">
      <c r="A8" s="875"/>
      <c r="B8" s="564" t="str">
        <f>"spotřeba "&amp;$A$3</f>
        <v>spotřeba 2015</v>
      </c>
      <c r="C8" s="566" t="s">
        <v>303</v>
      </c>
      <c r="D8" s="523">
        <f>IF(T!$A$4&gt;='[8]Podklady MZ'!D$2,'[8]Podklady MZ'!D13,)</f>
        <v>11492.757934199999</v>
      </c>
      <c r="E8" s="523">
        <f>IF(T!$A$4&gt;='[8]Podklady MZ'!E$2,'[8]Podklady MZ'!E13,"")</f>
        <v>10525.401338</v>
      </c>
      <c r="F8" s="524">
        <f>IF(T!$A$4&gt;='[8]Podklady MZ'!F$2,'[8]Podklady MZ'!F13,"")</f>
        <v>9201.9026437999983</v>
      </c>
      <c r="G8" s="523">
        <f>IF(T!$A$4&gt;='[8]Podklady MZ'!G$2,'[8]Podklady MZ'!G13,"")</f>
        <v>6626.1087002000022</v>
      </c>
      <c r="H8" s="522" t="str">
        <f>IF(T!$A$4&gt;='[8]Podklady MZ'!H$2,'[8]Podklady MZ'!H13,"")</f>
        <v/>
      </c>
      <c r="I8" s="525" t="str">
        <f>IF(T!$A$4&gt;='[8]Podklady MZ'!I$2,'[8]Podklady MZ'!I13,"")</f>
        <v/>
      </c>
      <c r="J8" s="522" t="str">
        <f>IF(T!$A$4&gt;='[8]Podklady MZ'!J$2,'[8]Podklady MZ'!J13,"")</f>
        <v/>
      </c>
      <c r="K8" s="522" t="str">
        <f>IF(T!$A$4&gt;='[8]Podklady MZ'!K$2,'[8]Podklady MZ'!K13,"")</f>
        <v/>
      </c>
      <c r="L8" s="525" t="str">
        <f>IF(T!$A$4&gt;='[8]Podklady MZ'!L$2,'[8]Podklady MZ'!L13,"")</f>
        <v/>
      </c>
      <c r="M8" s="522" t="str">
        <f>IF(T!$A$4&gt;='[8]Podklady MZ'!M$2,'[8]Podklady MZ'!M13,"")</f>
        <v/>
      </c>
      <c r="N8" s="522" t="str">
        <f>IF(T!$A$4&gt;='[8]Podklady MZ'!N$2,'[8]Podklady MZ'!N13,"")</f>
        <v/>
      </c>
      <c r="O8" s="522" t="str">
        <f>IF(T!$A$4&gt;='[8]Podklady MZ'!O$2,'[8]Podklady MZ'!O13,"")</f>
        <v/>
      </c>
      <c r="P8" s="595">
        <f t="shared" ref="P8:P18" si="0">SUM(D8:O8)</f>
        <v>37846.170616200005</v>
      </c>
    </row>
    <row r="9" spans="1:17" ht="18" customHeight="1" x14ac:dyDescent="0.2">
      <c r="A9" s="875"/>
      <c r="B9" s="565" t="s">
        <v>249</v>
      </c>
      <c r="C9" s="567" t="s">
        <v>251</v>
      </c>
      <c r="D9" s="654">
        <f>IF(T!$A$4&gt;='[8]Podklady MZ'!D$2,'[8]Podklady MZ'!D14,)</f>
        <v>1.3175830293298696E-2</v>
      </c>
      <c r="E9" s="654">
        <f>IF(T!$A$4&gt;='[8]Podklady MZ'!E$2,'[8]Podklady MZ'!E14,"")</f>
        <v>0.10582116745661807</v>
      </c>
      <c r="F9" s="655">
        <f>IF(T!$A$4&gt;='[8]Podklady MZ'!F$2,'[8]Podklady MZ'!F14,"")</f>
        <v>0.15642829965663532</v>
      </c>
      <c r="G9" s="654">
        <f>IF(T!$A$4&gt;='[8]Podklady MZ'!G$2,'[8]Podklady MZ'!G14,"")</f>
        <v>0.16633369318363966</v>
      </c>
      <c r="H9" s="656" t="str">
        <f>IF(T!$A$4&gt;='[8]Podklady MZ'!H$2,'[8]Podklady MZ'!H14,"")</f>
        <v/>
      </c>
      <c r="I9" s="657" t="str">
        <f>IF(T!$A$4&gt;='[8]Podklady MZ'!I$2,'[8]Podklady MZ'!I14,"")</f>
        <v/>
      </c>
      <c r="J9" s="656" t="str">
        <f>IF(T!$A$4&gt;='[8]Podklady MZ'!J$2,'[8]Podklady MZ'!J14,"")</f>
        <v/>
      </c>
      <c r="K9" s="656" t="str">
        <f>IF(T!$A$4&gt;='[8]Podklady MZ'!K$2,'[8]Podklady MZ'!K14,"")</f>
        <v/>
      </c>
      <c r="L9" s="657" t="str">
        <f>IF(T!$A$4&gt;='[8]Podklady MZ'!L$2,'[8]Podklady MZ'!L14,"")</f>
        <v/>
      </c>
      <c r="M9" s="656" t="str">
        <f>IF(T!$A$4&gt;='[8]Podklady MZ'!M$2,'[8]Podklady MZ'!M14,"")</f>
        <v/>
      </c>
      <c r="N9" s="656" t="str">
        <f>IF(T!$A$4&gt;='[8]Podklady MZ'!N$2,'[8]Podklady MZ'!N14,"")</f>
        <v/>
      </c>
      <c r="O9" s="656" t="str">
        <f>IF(T!$A$4&gt;='[8]Podklady MZ'!O$2,'[8]Podklady MZ'!O14,"")</f>
        <v/>
      </c>
      <c r="P9" s="658">
        <f>(P7-P10)/P10</f>
        <v>9.6981547177618158E-2</v>
      </c>
    </row>
    <row r="10" spans="1:17" ht="18" customHeight="1" x14ac:dyDescent="0.2">
      <c r="A10" s="875"/>
      <c r="B10" s="98" t="str">
        <f>"spotřeba "&amp;$A$3-1</f>
        <v>spotřeba 2014</v>
      </c>
      <c r="C10" s="568" t="s">
        <v>250</v>
      </c>
      <c r="D10" s="526">
        <f>IF(T!$A$4&gt;='[8]Podklady MZ'!D$2,'[8]Podklady MZ'!D15,)</f>
        <v>1067.2191463523316</v>
      </c>
      <c r="E10" s="526">
        <f>IF(T!$A$4&gt;='[8]Podklady MZ'!E$2,'[8]Podklady MZ'!E15,"")</f>
        <v>895.14192780736551</v>
      </c>
      <c r="F10" s="527">
        <f>IF(T!$A$4&gt;='[8]Podklady MZ'!F$2,'[8]Podklady MZ'!F15,"")</f>
        <v>748.4532509867181</v>
      </c>
      <c r="G10" s="526">
        <f>IF(T!$A$4&gt;='[8]Podklady MZ'!G$2,'[8]Podklady MZ'!G15,"")</f>
        <v>533.98831722325269</v>
      </c>
      <c r="H10" s="528" t="str">
        <f>IF(T!$A$4&gt;='[8]Podklady MZ'!H$2,'[8]Podklady MZ'!H15,"")</f>
        <v/>
      </c>
      <c r="I10" s="529" t="str">
        <f>IF(T!$A$4&gt;='[8]Podklady MZ'!I$2,'[8]Podklady MZ'!I15,"")</f>
        <v/>
      </c>
      <c r="J10" s="528" t="str">
        <f>IF(T!$A$4&gt;='[8]Podklady MZ'!J$2,'[8]Podklady MZ'!J15,"")</f>
        <v/>
      </c>
      <c r="K10" s="528" t="str">
        <f>IF(T!$A$4&gt;='[8]Podklady MZ'!K$2,'[8]Podklady MZ'!K15,"")</f>
        <v/>
      </c>
      <c r="L10" s="529" t="str">
        <f>IF(T!$A$4&gt;='[8]Podklady MZ'!L$2,'[8]Podklady MZ'!L15,"")</f>
        <v/>
      </c>
      <c r="M10" s="528" t="str">
        <f>IF(T!$A$4&gt;='[8]Podklady MZ'!M$2,'[8]Podklady MZ'!M15,"")</f>
        <v/>
      </c>
      <c r="N10" s="528" t="str">
        <f>IF(T!$A$4&gt;='[8]Podklady MZ'!N$2,'[8]Podklady MZ'!N15,"")</f>
        <v/>
      </c>
      <c r="O10" s="528" t="str">
        <f>IF(T!$A$4&gt;='[8]Podklady MZ'!O$2,'[8]Podklady MZ'!O15,"")</f>
        <v/>
      </c>
      <c r="P10" s="590">
        <f t="shared" si="0"/>
        <v>3244.8026423696679</v>
      </c>
    </row>
    <row r="11" spans="1:17" ht="18" customHeight="1" x14ac:dyDescent="0.2">
      <c r="A11" s="875"/>
      <c r="B11" s="98" t="str">
        <f>"spotřeba "&amp;$A$3-1</f>
        <v>spotřeba 2014</v>
      </c>
      <c r="C11" s="568" t="s">
        <v>303</v>
      </c>
      <c r="D11" s="526">
        <f>IF(T!$A$4&gt;='[8]Podklady MZ'!D$2,'[8]Podklady MZ'!D16,)</f>
        <v>11367.914916170237</v>
      </c>
      <c r="E11" s="526">
        <f>IF(T!$A$4&gt;='[8]Podklady MZ'!E$2,'[8]Podklady MZ'!E16,"")</f>
        <v>9518.248077734268</v>
      </c>
      <c r="F11" s="527">
        <f>IF(T!$A$4&gt;='[8]Podklady MZ'!F$2,'[8]Podklady MZ'!F16,"")</f>
        <v>7950.662373387202</v>
      </c>
      <c r="G11" s="526">
        <f>IF(T!$A$4&gt;='[8]Podklady MZ'!G$2,'[8]Podklady MZ'!G16,"")</f>
        <v>5679.1835705189296</v>
      </c>
      <c r="H11" s="528" t="str">
        <f>IF(T!$A$4&gt;='[8]Podklady MZ'!H$2,'[8]Podklady MZ'!H16,"")</f>
        <v/>
      </c>
      <c r="I11" s="529" t="str">
        <f>IF(T!$A$4&gt;='[8]Podklady MZ'!I$2,'[8]Podklady MZ'!I16,"")</f>
        <v/>
      </c>
      <c r="J11" s="528" t="str">
        <f>IF(T!$A$4&gt;='[8]Podklady MZ'!J$2,'[8]Podklady MZ'!J16,"")</f>
        <v/>
      </c>
      <c r="K11" s="528" t="str">
        <f>IF(T!$A$4&gt;='[8]Podklady MZ'!K$2,'[8]Podklady MZ'!K16,"")</f>
        <v/>
      </c>
      <c r="L11" s="529" t="str">
        <f>IF(T!$A$4&gt;='[8]Podklady MZ'!L$2,'[8]Podklady MZ'!L16,"")</f>
        <v/>
      </c>
      <c r="M11" s="528" t="str">
        <f>IF(T!$A$4&gt;='[8]Podklady MZ'!M$2,'[8]Podklady MZ'!M16,"")</f>
        <v/>
      </c>
      <c r="N11" s="528" t="str">
        <f>IF(T!$A$4&gt;='[8]Podklady MZ'!N$2,'[8]Podklady MZ'!N16,"")</f>
        <v/>
      </c>
      <c r="O11" s="528" t="str">
        <f>IF(T!$A$4&gt;='[8]Podklady MZ'!O$2,'[8]Podklady MZ'!O16,"")</f>
        <v/>
      </c>
      <c r="P11" s="590">
        <f t="shared" si="0"/>
        <v>34516.008937810635</v>
      </c>
    </row>
    <row r="12" spans="1:17" ht="9.9499999999999993" customHeight="1" x14ac:dyDescent="0.2">
      <c r="A12" s="876"/>
      <c r="B12" s="511"/>
      <c r="C12" s="531"/>
      <c r="D12" s="532"/>
      <c r="E12" s="532"/>
      <c r="F12" s="533"/>
      <c r="G12" s="532"/>
      <c r="H12" s="534"/>
      <c r="I12" s="535"/>
      <c r="J12" s="534"/>
      <c r="K12" s="534"/>
      <c r="L12" s="535"/>
      <c r="M12" s="534"/>
      <c r="N12" s="534"/>
      <c r="O12" s="534"/>
      <c r="P12" s="591"/>
    </row>
    <row r="13" spans="1:17" ht="9.9499999999999993" customHeight="1" x14ac:dyDescent="0.2">
      <c r="A13" s="879" t="s">
        <v>254</v>
      </c>
      <c r="B13" s="512"/>
      <c r="C13" s="536"/>
      <c r="D13" s="526"/>
      <c r="E13" s="526"/>
      <c r="F13" s="527"/>
      <c r="G13" s="526"/>
      <c r="H13" s="528"/>
      <c r="I13" s="529"/>
      <c r="J13" s="528"/>
      <c r="K13" s="528"/>
      <c r="L13" s="529"/>
      <c r="M13" s="528"/>
      <c r="N13" s="528"/>
      <c r="O13" s="528"/>
      <c r="P13" s="590"/>
    </row>
    <row r="14" spans="1:17" ht="18" customHeight="1" x14ac:dyDescent="0.2">
      <c r="A14" s="875"/>
      <c r="B14" s="564" t="str">
        <f>"spotřeba "&amp;$A$3</f>
        <v>spotřeba 2015</v>
      </c>
      <c r="C14" s="566" t="s">
        <v>250</v>
      </c>
      <c r="D14" s="522">
        <f>IF(T!$A$4&gt;='[8]Podklady MZ'!D$2,'[8]Podklady MZ'!D19,"")</f>
        <v>1162.3827182199684</v>
      </c>
      <c r="E14" s="523">
        <f>IF(T!$A$4&gt;='[8]Podklady MZ'!E$2,'[8]Podklady MZ'!E19,"")</f>
        <v>1022.8621044614633</v>
      </c>
      <c r="F14" s="524">
        <f>IF(T!$A$4&gt;='[8]Podklady MZ'!F$2,'[8]Podklady MZ'!F19,"")</f>
        <v>901.33118683539692</v>
      </c>
      <c r="G14" s="523">
        <f>IF(T!$A$4&gt;='[8]Podklady MZ'!G$2,'[8]Podklady MZ'!G19,"")</f>
        <v>647.29636373718301</v>
      </c>
      <c r="H14" s="522" t="str">
        <f>IF(T!$A$4&gt;='[8]Podklady MZ'!H$2,'[8]Podklady MZ'!H19,"")</f>
        <v/>
      </c>
      <c r="I14" s="525" t="str">
        <f>IF(T!$A$4&gt;='[8]Podklady MZ'!I$2,'[8]Podklady MZ'!I19,"")</f>
        <v/>
      </c>
      <c r="J14" s="522" t="str">
        <f>IF(T!$A$4&gt;='[8]Podklady MZ'!J$2,'[8]Podklady MZ'!J19,"")</f>
        <v/>
      </c>
      <c r="K14" s="522" t="str">
        <f>IF(T!$A$4&gt;='[8]Podklady MZ'!K$2,'[8]Podklady MZ'!K19,"")</f>
        <v/>
      </c>
      <c r="L14" s="525" t="str">
        <f>IF(T!$A$4&gt;='[8]Podklady MZ'!L$2,'[8]Podklady MZ'!L19,"")</f>
        <v/>
      </c>
      <c r="M14" s="522" t="str">
        <f>IF(T!$A$4&gt;='[8]Podklady MZ'!M$2,'[8]Podklady MZ'!M19,"")</f>
        <v/>
      </c>
      <c r="N14" s="522" t="str">
        <f>IF(T!$A$4&gt;='[8]Podklady MZ'!N$2,'[8]Podklady MZ'!N19,"")</f>
        <v/>
      </c>
      <c r="O14" s="522" t="str">
        <f>IF(T!$A$4&gt;='[8]Podklady MZ'!O$2,'[8]Podklady MZ'!O19,"")</f>
        <v/>
      </c>
      <c r="P14" s="595">
        <f t="shared" si="0"/>
        <v>3733.872373254012</v>
      </c>
    </row>
    <row r="15" spans="1:17" ht="18" customHeight="1" x14ac:dyDescent="0.2">
      <c r="A15" s="875"/>
      <c r="B15" s="564" t="str">
        <f>"spotřeba "&amp;$A$3</f>
        <v>spotřeba 2015</v>
      </c>
      <c r="C15" s="566" t="s">
        <v>303</v>
      </c>
      <c r="D15" s="523">
        <f>IF(T!$A$4&gt;='[8]Podklady MZ'!D$2,'[8]Podklady MZ'!D20,"")</f>
        <v>12354.778819681072</v>
      </c>
      <c r="E15" s="523">
        <f>IF(T!$A$4&gt;='[8]Podklady MZ'!E$2,'[8]Podklady MZ'!E20,"")</f>
        <v>10876.244325104813</v>
      </c>
      <c r="F15" s="524">
        <f>IF(T!$A$4&gt;='[8]Podklady MZ'!F$2,'[8]Podklady MZ'!F20,"")</f>
        <v>9582.4959033788018</v>
      </c>
      <c r="G15" s="523">
        <f>IF(T!$A$4&gt;='[8]Podklady MZ'!G$2,'[8]Podklady MZ'!G20,"")</f>
        <v>6886.6362804260079</v>
      </c>
      <c r="H15" s="522" t="str">
        <f>IF(T!$A$4&gt;='[8]Podklady MZ'!H$2,'[8]Podklady MZ'!H20,"")</f>
        <v/>
      </c>
      <c r="I15" s="525" t="str">
        <f>IF(T!$A$4&gt;='[8]Podklady MZ'!I$2,'[8]Podklady MZ'!I20,"")</f>
        <v/>
      </c>
      <c r="J15" s="522" t="str">
        <f>IF(T!$A$4&gt;='[8]Podklady MZ'!J$2,'[8]Podklady MZ'!J20,"")</f>
        <v/>
      </c>
      <c r="K15" s="522" t="str">
        <f>IF(T!$A$4&gt;='[8]Podklady MZ'!K$2,'[8]Podklady MZ'!K20,"")</f>
        <v/>
      </c>
      <c r="L15" s="525" t="str">
        <f>IF(T!$A$4&gt;='[8]Podklady MZ'!L$2,'[8]Podklady MZ'!L20,"")</f>
        <v/>
      </c>
      <c r="M15" s="522" t="str">
        <f>IF(T!$A$4&gt;='[8]Podklady MZ'!M$2,'[8]Podklady MZ'!M20,"")</f>
        <v/>
      </c>
      <c r="N15" s="522" t="str">
        <f>IF(T!$A$4&gt;='[8]Podklady MZ'!N$2,'[8]Podklady MZ'!N20,"")</f>
        <v/>
      </c>
      <c r="O15" s="522" t="str">
        <f>IF(T!$A$4&gt;='[8]Podklady MZ'!O$2,'[8]Podklady MZ'!O20,"")</f>
        <v/>
      </c>
      <c r="P15" s="595">
        <f t="shared" si="0"/>
        <v>39700.155328590692</v>
      </c>
    </row>
    <row r="16" spans="1:17" ht="18" customHeight="1" x14ac:dyDescent="0.2">
      <c r="A16" s="875"/>
      <c r="B16" s="565" t="s">
        <v>249</v>
      </c>
      <c r="C16" s="567" t="s">
        <v>251</v>
      </c>
      <c r="D16" s="654">
        <f>IF(T!$A$4&gt;='[8]Podklady MZ'!D$2,'[8]Podklady MZ'!D21,"")</f>
        <v>-2.2563307146523652E-2</v>
      </c>
      <c r="E16" s="654">
        <f>IF(T!$A$4&gt;='[8]Podklady MZ'!E$2,'[8]Podklady MZ'!E21,"")</f>
        <v>-2.2117681991601066E-3</v>
      </c>
      <c r="F16" s="655">
        <f>IF(T!$A$4&gt;='[8]Podklady MZ'!F$2,'[8]Podklady MZ'!F21,"")</f>
        <v>5.4560177645998326E-2</v>
      </c>
      <c r="G16" s="654">
        <f>IF(T!$A$4&gt;='[8]Podklady MZ'!G$2,'[8]Podklady MZ'!G21,"")</f>
        <v>5.8169090312173891E-2</v>
      </c>
      <c r="H16" s="656" t="str">
        <f>IF(T!$A$4&gt;='[8]Podklady MZ'!H$2,'[8]Podklady MZ'!H21,"")</f>
        <v/>
      </c>
      <c r="I16" s="657" t="str">
        <f>IF(T!$A$4&gt;='[8]Podklady MZ'!I$2,'[8]Podklady MZ'!I21,"")</f>
        <v/>
      </c>
      <c r="J16" s="656" t="str">
        <f>IF(T!$A$4&gt;='[8]Podklady MZ'!J$2,'[8]Podklady MZ'!J21,"")</f>
        <v/>
      </c>
      <c r="K16" s="656" t="str">
        <f>IF(T!$A$4&gt;='[8]Podklady MZ'!K$2,'[8]Podklady MZ'!K21,"")</f>
        <v/>
      </c>
      <c r="L16" s="657" t="str">
        <f>IF(T!$A$4&gt;='[8]Podklady MZ'!L$2,'[8]Podklady MZ'!L21,"")</f>
        <v/>
      </c>
      <c r="M16" s="656" t="str">
        <f>IF(T!$A$4&gt;='[8]Podklady MZ'!M$2,'[8]Podklady MZ'!M21,"")</f>
        <v/>
      </c>
      <c r="N16" s="656" t="str">
        <f>IF(T!$A$4&gt;='[8]Podklady MZ'!N$2,'[8]Podklady MZ'!N21,"")</f>
        <v/>
      </c>
      <c r="O16" s="656" t="str">
        <f>IF(T!$A$4&gt;='[8]Podklady MZ'!O$2,'[8]Podklady MZ'!O21,"")</f>
        <v/>
      </c>
      <c r="P16" s="658">
        <f>(P14-P17)/P17</f>
        <v>1.4430551020854214E-2</v>
      </c>
    </row>
    <row r="17" spans="1:16" ht="18" customHeight="1" x14ac:dyDescent="0.2">
      <c r="A17" s="875"/>
      <c r="B17" s="98" t="str">
        <f>"spotřeba "&amp;$A$3-1</f>
        <v>spotřeba 2014</v>
      </c>
      <c r="C17" s="568" t="s">
        <v>250</v>
      </c>
      <c r="D17" s="526">
        <f>IF(T!$A$4&gt;='[8]Podklady MZ'!D$2,'[8]Podklady MZ'!D22,"")</f>
        <v>1189.2153494121144</v>
      </c>
      <c r="E17" s="526">
        <f>IF(T!$A$4&gt;='[8]Podklady MZ'!E$2,'[8]Podklady MZ'!E22,"")</f>
        <v>1025.1294531860426</v>
      </c>
      <c r="F17" s="527">
        <f>IF(T!$A$4&gt;='[8]Podklady MZ'!F$2,'[8]Podklady MZ'!F22,"")</f>
        <v>854.69867527840756</v>
      </c>
      <c r="G17" s="526">
        <f>IF(T!$A$4&gt;='[8]Podklady MZ'!G$2,'[8]Podklady MZ'!G22,"")</f>
        <v>611.71354338673984</v>
      </c>
      <c r="H17" s="528" t="str">
        <f>IF(T!$A$4&gt;='[8]Podklady MZ'!H$2,'[8]Podklady MZ'!H22,"")</f>
        <v/>
      </c>
      <c r="I17" s="529" t="str">
        <f>IF(T!$A$4&gt;='[8]Podklady MZ'!I$2,'[8]Podklady MZ'!I22,"")</f>
        <v/>
      </c>
      <c r="J17" s="528" t="str">
        <f>IF(T!$A$4&gt;='[8]Podklady MZ'!J$2,'[8]Podklady MZ'!J22,"")</f>
        <v/>
      </c>
      <c r="K17" s="528" t="str">
        <f>IF(T!$A$4&gt;='[8]Podklady MZ'!K$2,'[8]Podklady MZ'!K22,"")</f>
        <v/>
      </c>
      <c r="L17" s="529" t="str">
        <f>IF(T!$A$4&gt;='[8]Podklady MZ'!L$2,'[8]Podklady MZ'!L22,"")</f>
        <v/>
      </c>
      <c r="M17" s="528" t="str">
        <f>IF(T!$A$4&gt;='[8]Podklady MZ'!M$2,'[8]Podklady MZ'!M22,"")</f>
        <v/>
      </c>
      <c r="N17" s="528" t="str">
        <f>IF(T!$A$4&gt;='[8]Podklady MZ'!N$2,'[8]Podklady MZ'!N22,"")</f>
        <v/>
      </c>
      <c r="O17" s="528" t="str">
        <f>IF(T!$A$4&gt;='[8]Podklady MZ'!O$2,'[8]Podklady MZ'!O22,"")</f>
        <v/>
      </c>
      <c r="P17" s="590">
        <f t="shared" si="0"/>
        <v>3680.7570212633045</v>
      </c>
    </row>
    <row r="18" spans="1:16" ht="18" customHeight="1" x14ac:dyDescent="0.2">
      <c r="A18" s="875"/>
      <c r="B18" s="98" t="str">
        <f>"spotřeba "&amp;$A$3-1</f>
        <v>spotřeba 2014</v>
      </c>
      <c r="C18" s="568" t="s">
        <v>303</v>
      </c>
      <c r="D18" s="526">
        <f>IF(T!$A$4&gt;='[8]Podklady MZ'!D$2,'[8]Podklady MZ'!D23,"")</f>
        <v>12667.408926479648</v>
      </c>
      <c r="E18" s="526">
        <f>IF(T!$A$4&gt;='[8]Podklady MZ'!E$2,'[8]Podklady MZ'!E23,"")</f>
        <v>10900.431104724707</v>
      </c>
      <c r="F18" s="527">
        <f>IF(T!$A$4&gt;='[8]Podklady MZ'!F$2,'[8]Podklady MZ'!F23,"")</f>
        <v>9079.2845407607147</v>
      </c>
      <c r="G18" s="526">
        <f>IF(T!$A$4&gt;='[8]Podklady MZ'!G$2,'[8]Podklady MZ'!G23,"")</f>
        <v>6505.8304536062005</v>
      </c>
      <c r="H18" s="528" t="str">
        <f>IF(T!$A$4&gt;='[8]Podklady MZ'!H$2,'[8]Podklady MZ'!H23,"")</f>
        <v/>
      </c>
      <c r="I18" s="529" t="str">
        <f>IF(T!$A$4&gt;='[8]Podklady MZ'!I$2,'[8]Podklady MZ'!I23,"")</f>
        <v/>
      </c>
      <c r="J18" s="528" t="str">
        <f>IF(T!$A$4&gt;='[8]Podklady MZ'!J$2,'[8]Podklady MZ'!J23,"")</f>
        <v/>
      </c>
      <c r="K18" s="528" t="str">
        <f>IF(T!$A$4&gt;='[8]Podklady MZ'!K$2,'[8]Podklady MZ'!K23,"")</f>
        <v/>
      </c>
      <c r="L18" s="529" t="str">
        <f>IF(T!$A$4&gt;='[8]Podklady MZ'!L$2,'[8]Podklady MZ'!L23,"")</f>
        <v/>
      </c>
      <c r="M18" s="528" t="str">
        <f>IF(T!$A$4&gt;='[8]Podklady MZ'!M$2,'[8]Podklady MZ'!M23,"")</f>
        <v/>
      </c>
      <c r="N18" s="528" t="str">
        <f>IF(T!$A$4&gt;='[8]Podklady MZ'!N$2,'[8]Podklady MZ'!N23,"")</f>
        <v/>
      </c>
      <c r="O18" s="528" t="str">
        <f>IF(T!$A$4&gt;='[8]Podklady MZ'!O$2,'[8]Podklady MZ'!O23,"")</f>
        <v/>
      </c>
      <c r="P18" s="590">
        <f t="shared" si="0"/>
        <v>39152.955025571267</v>
      </c>
    </row>
    <row r="19" spans="1:16" ht="9.9499999999999993" customHeight="1" x14ac:dyDescent="0.2">
      <c r="A19" s="876"/>
      <c r="B19" s="511"/>
      <c r="C19" s="531"/>
      <c r="D19" s="532"/>
      <c r="E19" s="532"/>
      <c r="F19" s="533"/>
      <c r="G19" s="532"/>
      <c r="H19" s="534"/>
      <c r="I19" s="535"/>
      <c r="J19" s="534"/>
      <c r="K19" s="534"/>
      <c r="L19" s="535"/>
      <c r="M19" s="534"/>
      <c r="N19" s="534"/>
      <c r="O19" s="534"/>
      <c r="P19" s="591"/>
    </row>
    <row r="20" spans="1:16" ht="9.9499999999999993" customHeight="1" x14ac:dyDescent="0.2">
      <c r="A20" s="503"/>
      <c r="B20" s="513"/>
      <c r="C20" s="537"/>
      <c r="D20" s="538"/>
      <c r="E20" s="538"/>
      <c r="F20" s="538"/>
      <c r="G20" s="539"/>
      <c r="H20" s="540"/>
      <c r="I20" s="541"/>
      <c r="J20" s="540"/>
      <c r="K20" s="540"/>
      <c r="L20" s="540"/>
      <c r="M20" s="542"/>
      <c r="N20" s="540"/>
      <c r="O20" s="540"/>
      <c r="P20" s="590"/>
    </row>
    <row r="21" spans="1:16" ht="18" customHeight="1" x14ac:dyDescent="0.2">
      <c r="A21" s="875" t="str">
        <f>"Denní 
skutečná spotřeba 
zemního plynu 
"&amp;$A$3</f>
        <v>Denní 
skutečná spotřeba 
zemního plynu 
2015</v>
      </c>
      <c r="B21" s="98" t="str">
        <f>"max. spotřeba "&amp;$A$3</f>
        <v>max. spotřeba 2015</v>
      </c>
      <c r="C21" s="568" t="s">
        <v>250</v>
      </c>
      <c r="D21" s="662">
        <f>IF(T!$A$4&gt;='[8]Podklady MZ'!D$2,'[8]Podklady MZ'!D26,"")</f>
        <v>41.345389040398715</v>
      </c>
      <c r="E21" s="662">
        <f>IF(T!$A$4&gt;='[8]Podklady MZ'!E$2,'[8]Podklady MZ'!E26,"")</f>
        <v>42.621557004484409</v>
      </c>
      <c r="F21" s="662">
        <f>IF(T!$A$4&gt;='[8]Podklady MZ'!F$2,'[8]Podklady MZ'!F26,"")</f>
        <v>33.669323046807904</v>
      </c>
      <c r="G21" s="663">
        <f>IF(T!$A$4&gt;='[8]Podklady MZ'!G$2,'[8]Podklady MZ'!G26,"")</f>
        <v>32.46272056517094</v>
      </c>
      <c r="H21" s="664" t="str">
        <f>IF(T!$A$4&gt;='[8]Podklady MZ'!H$2,'[8]Podklady MZ'!H26,"")</f>
        <v/>
      </c>
      <c r="I21" s="665" t="str">
        <f>IF(T!$A$4&gt;='[8]Podklady MZ'!I$2,'[8]Podklady MZ'!I26,"")</f>
        <v/>
      </c>
      <c r="J21" s="664" t="str">
        <f>IF(T!$A$4&gt;='[8]Podklady MZ'!J$2,'[8]Podklady MZ'!J26,"")</f>
        <v/>
      </c>
      <c r="K21" s="664" t="str">
        <f>IF(T!$A$4&gt;='[8]Podklady MZ'!K$2,'[8]Podklady MZ'!K26,"")</f>
        <v/>
      </c>
      <c r="L21" s="664" t="str">
        <f>IF(T!$A$4&gt;='[8]Podklady MZ'!L$2,'[8]Podklady MZ'!L26,"")</f>
        <v/>
      </c>
      <c r="M21" s="666" t="str">
        <f>IF(T!$A$4&gt;='[8]Podklady MZ'!M$2,'[8]Podklady MZ'!M26,"")</f>
        <v/>
      </c>
      <c r="N21" s="664" t="str">
        <f>IF(T!$A$4&gt;='[8]Podklady MZ'!N$2,'[8]Podklady MZ'!N26,"")</f>
        <v/>
      </c>
      <c r="O21" s="664" t="str">
        <f>IF(T!$A$4&gt;='[8]Podklady MZ'!O$2,'[8]Podklady MZ'!O26,"")</f>
        <v/>
      </c>
      <c r="P21" s="671" t="str">
        <f>IF(T!$A$4&gt;='[8]Podklady MZ'!P$2,'[8]Podklady MZ'!P26,"")</f>
        <v/>
      </c>
    </row>
    <row r="22" spans="1:16" ht="18" customHeight="1" x14ac:dyDescent="0.2">
      <c r="A22" s="875"/>
      <c r="B22" s="98" t="str">
        <f>"max. spotřeba "&amp;$A$3</f>
        <v>max. spotřeba 2015</v>
      </c>
      <c r="C22" s="568" t="s">
        <v>303</v>
      </c>
      <c r="D22" s="662">
        <f>IF(T!$A$4&gt;='[8]Podklady MZ'!D$2,'[8]Podklady MZ'!D27,"")</f>
        <v>439.44407081290325</v>
      </c>
      <c r="E22" s="662">
        <f>IF(T!$A$4&gt;='[8]Podklady MZ'!E$2,'[8]Podklady MZ'!E27,"")</f>
        <v>453.14177378571429</v>
      </c>
      <c r="F22" s="662">
        <f>IF(T!$A$4&gt;='[8]Podklady MZ'!F$2,'[8]Podklady MZ'!F27,"")</f>
        <v>357.93155186451617</v>
      </c>
      <c r="G22" s="663">
        <f>IF(T!$A$4&gt;='[8]Podklady MZ'!G$2,'[8]Podklady MZ'!G27,"")</f>
        <v>345.30682224000003</v>
      </c>
      <c r="H22" s="664" t="str">
        <f>IF(T!$A$4&gt;='[8]Podklady MZ'!H$2,'[8]Podklady MZ'!H27,"")</f>
        <v/>
      </c>
      <c r="I22" s="665" t="str">
        <f>IF(T!$A$4&gt;='[8]Podklady MZ'!I$2,'[8]Podklady MZ'!I27,"")</f>
        <v/>
      </c>
      <c r="J22" s="664" t="str">
        <f>IF(T!$A$4&gt;='[8]Podklady MZ'!J$2,'[8]Podklady MZ'!J27,"")</f>
        <v/>
      </c>
      <c r="K22" s="664" t="str">
        <f>IF(T!$A$4&gt;='[8]Podklady MZ'!K$2,'[8]Podklady MZ'!K27,"")</f>
        <v/>
      </c>
      <c r="L22" s="664" t="str">
        <f>IF(T!$A$4&gt;='[8]Podklady MZ'!L$2,'[8]Podklady MZ'!L27,"")</f>
        <v/>
      </c>
      <c r="M22" s="666" t="str">
        <f>IF(T!$A$4&gt;='[8]Podklady MZ'!M$2,'[8]Podklady MZ'!M27,"")</f>
        <v/>
      </c>
      <c r="N22" s="664" t="str">
        <f>IF(T!$A$4&gt;='[8]Podklady MZ'!N$2,'[8]Podklady MZ'!N27,"")</f>
        <v/>
      </c>
      <c r="O22" s="664" t="str">
        <f>IF(T!$A$4&gt;='[8]Podklady MZ'!O$2,'[8]Podklady MZ'!O27,"")</f>
        <v/>
      </c>
      <c r="P22" s="671" t="str">
        <f>IF(T!$A$4&gt;='[8]Podklady MZ'!P$2,'[8]Podklady MZ'!P27,"")</f>
        <v/>
      </c>
    </row>
    <row r="23" spans="1:16" ht="18" customHeight="1" x14ac:dyDescent="0.2">
      <c r="A23" s="875"/>
      <c r="B23" s="575" t="s">
        <v>42</v>
      </c>
      <c r="C23" s="573" t="s">
        <v>252</v>
      </c>
      <c r="D23" s="547">
        <f>IF(T!$A$4&gt;='[8]Podklady MZ'!D$2,'[8]Podklady MZ'!D28,"")</f>
        <v>-3.6</v>
      </c>
      <c r="E23" s="547">
        <f>IF(T!$A$4&gt;='[8]Podklady MZ'!E$2,'[8]Podklady MZ'!E28,"")</f>
        <v>-3.4</v>
      </c>
      <c r="F23" s="547">
        <f>IF(T!$A$4&gt;='[8]Podklady MZ'!F$2,'[8]Podklady MZ'!F28,"")</f>
        <v>1</v>
      </c>
      <c r="G23" s="548">
        <f>IF(T!$A$4&gt;='[8]Podklady MZ'!G$2,'[8]Podklady MZ'!G28,"")</f>
        <v>1.3</v>
      </c>
      <c r="H23" s="549" t="str">
        <f>IF(T!$A$4&gt;='[8]Podklady MZ'!H$2,'[8]Podklady MZ'!H28,"")</f>
        <v/>
      </c>
      <c r="I23" s="550" t="str">
        <f>IF(T!$A$4&gt;='[8]Podklady MZ'!I$2,'[8]Podklady MZ'!I28,"")</f>
        <v/>
      </c>
      <c r="J23" s="549" t="str">
        <f>IF(T!$A$4&gt;='[8]Podklady MZ'!J$2,'[8]Podklady MZ'!J28,"")</f>
        <v/>
      </c>
      <c r="K23" s="549" t="str">
        <f>IF(T!$A$4&gt;='[8]Podklady MZ'!K$2,'[8]Podklady MZ'!K28,"")</f>
        <v/>
      </c>
      <c r="L23" s="549" t="str">
        <f>IF(T!$A$4&gt;='[8]Podklady MZ'!L$2,'[8]Podklady MZ'!L28,"")</f>
        <v/>
      </c>
      <c r="M23" s="11" t="str">
        <f>IF(T!$A$4&gt;='[8]Podklady MZ'!M$2,'[8]Podklady MZ'!M28,"")</f>
        <v/>
      </c>
      <c r="N23" s="549" t="str">
        <f>IF(T!$A$4&gt;='[8]Podklady MZ'!N$2,'[8]Podklady MZ'!N28,"")</f>
        <v/>
      </c>
      <c r="O23" s="549" t="str">
        <f>IF(T!$A$4&gt;='[8]Podklady MZ'!O$2,'[8]Podklady MZ'!O28,"")</f>
        <v/>
      </c>
      <c r="P23" s="591" t="str">
        <f>IF(T!$A$4&gt;='[8]Podklady MZ'!P$2,'[8]Podklady MZ'!P28,"")</f>
        <v/>
      </c>
    </row>
    <row r="24" spans="1:16" ht="18" customHeight="1" x14ac:dyDescent="0.2">
      <c r="A24" s="875"/>
      <c r="B24" s="98" t="str">
        <f>"min. spotřeba "&amp;$A$3</f>
        <v>min. spotřeba 2015</v>
      </c>
      <c r="C24" s="568" t="s">
        <v>250</v>
      </c>
      <c r="D24" s="662">
        <f>IF(T!$A$4&gt;='[8]Podklady MZ'!D$2,'[8]Podklady MZ'!D29,"")</f>
        <v>26.684387110760138</v>
      </c>
      <c r="E24" s="662">
        <f>IF(T!$A$4&gt;='[8]Podklady MZ'!E$2,'[8]Podklady MZ'!E29,"")</f>
        <v>29.662131335351482</v>
      </c>
      <c r="F24" s="662">
        <f>IF(T!$A$4&gt;='[8]Podklady MZ'!F$2,'[8]Podklady MZ'!F29,"")</f>
        <v>22.43004746355092</v>
      </c>
      <c r="G24" s="663">
        <f>IF(T!$A$4&gt;='[8]Podklady MZ'!G$2,'[8]Podklady MZ'!G29,"")</f>
        <v>12.336617288364373</v>
      </c>
      <c r="H24" s="664" t="str">
        <f>IF(T!$A$4&gt;='[8]Podklady MZ'!H$2,'[8]Podklady MZ'!H29,"")</f>
        <v/>
      </c>
      <c r="I24" s="665" t="str">
        <f>IF(T!$A$4&gt;='[8]Podklady MZ'!I$2,'[8]Podklady MZ'!I29,"")</f>
        <v/>
      </c>
      <c r="J24" s="664" t="str">
        <f>IF(T!$A$4&gt;='[8]Podklady MZ'!J$2,'[8]Podklady MZ'!J29,"")</f>
        <v/>
      </c>
      <c r="K24" s="664" t="str">
        <f>IF(T!$A$4&gt;='[8]Podklady MZ'!K$2,'[8]Podklady MZ'!K29,"")</f>
        <v/>
      </c>
      <c r="L24" s="664" t="str">
        <f>IF(T!$A$4&gt;='[8]Podklady MZ'!L$2,'[8]Podklady MZ'!L29,"")</f>
        <v/>
      </c>
      <c r="M24" s="666" t="str">
        <f>IF(T!$A$4&gt;='[8]Podklady MZ'!M$2,'[8]Podklady MZ'!M29,"")</f>
        <v/>
      </c>
      <c r="N24" s="664" t="str">
        <f>IF(T!$A$4&gt;='[8]Podklady MZ'!N$2,'[8]Podklady MZ'!N29,"")</f>
        <v/>
      </c>
      <c r="O24" s="664" t="str">
        <f>IF(T!$A$4&gt;='[8]Podklady MZ'!O$2,'[8]Podklady MZ'!O29,"")</f>
        <v/>
      </c>
      <c r="P24" s="671" t="str">
        <f>IF(T!$A$4&gt;='[8]Podklady MZ'!P$2,'[8]Podklady MZ'!P29,"")</f>
        <v/>
      </c>
    </row>
    <row r="25" spans="1:16" ht="18" customHeight="1" x14ac:dyDescent="0.2">
      <c r="A25" s="875"/>
      <c r="B25" s="98" t="str">
        <f>"min. spotřeba "&amp;$A$3</f>
        <v>min. spotřeba 2015</v>
      </c>
      <c r="C25" s="568" t="s">
        <v>303</v>
      </c>
      <c r="D25" s="662">
        <f>IF(T!$A$4&gt;='[8]Podklady MZ'!D$2,'[8]Podklady MZ'!D30,"")</f>
        <v>283.65752081290321</v>
      </c>
      <c r="E25" s="662">
        <f>IF(T!$A$4&gt;='[8]Podklady MZ'!E$2,'[8]Podklady MZ'!E30,"")</f>
        <v>315.42335078571426</v>
      </c>
      <c r="F25" s="662">
        <f>IF(T!$A$4&gt;='[8]Podklady MZ'!F$2,'[8]Podklady MZ'!F30,"")</f>
        <v>238.48520286451614</v>
      </c>
      <c r="G25" s="663">
        <f>IF(T!$A$4&gt;='[8]Podklady MZ'!G$2,'[8]Podklady MZ'!G30,"")</f>
        <v>131.30157723999997</v>
      </c>
      <c r="H25" s="664" t="str">
        <f>IF(T!$A$4&gt;='[8]Podklady MZ'!H$2,'[8]Podklady MZ'!H30,"")</f>
        <v/>
      </c>
      <c r="I25" s="665" t="str">
        <f>IF(T!$A$4&gt;='[8]Podklady MZ'!I$2,'[8]Podklady MZ'!I30,"")</f>
        <v/>
      </c>
      <c r="J25" s="664" t="str">
        <f>IF(T!$A$4&gt;='[8]Podklady MZ'!J$2,'[8]Podklady MZ'!J30,"")</f>
        <v/>
      </c>
      <c r="K25" s="664" t="str">
        <f>IF(T!$A$4&gt;='[8]Podklady MZ'!K$2,'[8]Podklady MZ'!K30,"")</f>
        <v/>
      </c>
      <c r="L25" s="664" t="str">
        <f>IF(T!$A$4&gt;='[8]Podklady MZ'!L$2,'[8]Podklady MZ'!L30,"")</f>
        <v/>
      </c>
      <c r="M25" s="666" t="str">
        <f>IF(T!$A$4&gt;='[8]Podklady MZ'!M$2,'[8]Podklady MZ'!M30,"")</f>
        <v/>
      </c>
      <c r="N25" s="664" t="str">
        <f>IF(T!$A$4&gt;='[8]Podklady MZ'!N$2,'[8]Podklady MZ'!N30,"")</f>
        <v/>
      </c>
      <c r="O25" s="664" t="str">
        <f>IF(T!$A$4&gt;='[8]Podklady MZ'!O$2,'[8]Podklady MZ'!O30,"")</f>
        <v/>
      </c>
      <c r="P25" s="671" t="str">
        <f>IF(T!$A$4&gt;='[8]Podklady MZ'!P$2,'[8]Podklady MZ'!P30,"")</f>
        <v/>
      </c>
    </row>
    <row r="26" spans="1:16" ht="18" customHeight="1" x14ac:dyDescent="0.2">
      <c r="A26" s="875"/>
      <c r="B26" s="569" t="s">
        <v>42</v>
      </c>
      <c r="C26" s="568" t="s">
        <v>252</v>
      </c>
      <c r="D26" s="543">
        <f>IF(T!$A$4&gt;='[8]Podklady MZ'!D$2,'[8]Podklady MZ'!D31,"")</f>
        <v>11</v>
      </c>
      <c r="E26" s="543">
        <f>IF(T!$A$4&gt;='[8]Podklady MZ'!E$2,'[8]Podklady MZ'!E31,"")</f>
        <v>2.2000000000000002</v>
      </c>
      <c r="F26" s="543">
        <f>IF(T!$A$4&gt;='[8]Podklady MZ'!F$2,'[8]Podklady MZ'!F31,"")</f>
        <v>4.2</v>
      </c>
      <c r="G26" s="544">
        <f>IF(T!$A$4&gt;='[8]Podklady MZ'!G$2,'[8]Podklady MZ'!G31,"")</f>
        <v>14.6</v>
      </c>
      <c r="H26" s="530" t="str">
        <f>IF(T!$A$4&gt;='[8]Podklady MZ'!H$2,'[8]Podklady MZ'!H31,"")</f>
        <v/>
      </c>
      <c r="I26" s="545" t="str">
        <f>IF(T!$A$4&gt;='[8]Podklady MZ'!I$2,'[8]Podklady MZ'!I31,"")</f>
        <v/>
      </c>
      <c r="J26" s="530" t="str">
        <f>IF(T!$A$4&gt;='[8]Podklady MZ'!J$2,'[8]Podklady MZ'!J31,"")</f>
        <v/>
      </c>
      <c r="K26" s="530" t="str">
        <f>IF(T!$A$4&gt;='[8]Podklady MZ'!K$2,'[8]Podklady MZ'!K31,"")</f>
        <v/>
      </c>
      <c r="L26" s="530" t="str">
        <f>IF(T!$A$4&gt;='[8]Podklady MZ'!L$2,'[8]Podklady MZ'!L31,"")</f>
        <v/>
      </c>
      <c r="M26" s="24" t="str">
        <f>IF(T!$A$4&gt;='[8]Podklady MZ'!M$2,'[8]Podklady MZ'!M31,"")</f>
        <v/>
      </c>
      <c r="N26" s="530" t="str">
        <f>IF(T!$A$4&gt;='[8]Podklady MZ'!N$2,'[8]Podklady MZ'!N31,"")</f>
        <v/>
      </c>
      <c r="O26" s="530" t="str">
        <f>IF(T!$A$4&gt;='[8]Podklady MZ'!O$2,'[8]Podklady MZ'!O31,"")</f>
        <v/>
      </c>
      <c r="P26" s="590" t="str">
        <f>IF(T!$A$4&gt;='[8]Podklady MZ'!P$2,'[8]Podklady MZ'!P31,"")</f>
        <v/>
      </c>
    </row>
    <row r="27" spans="1:16" ht="9.9499999999999993" customHeight="1" x14ac:dyDescent="0.2">
      <c r="A27" s="876"/>
      <c r="B27" s="546"/>
      <c r="C27" s="531"/>
      <c r="D27" s="547"/>
      <c r="E27" s="547"/>
      <c r="F27" s="547"/>
      <c r="G27" s="548"/>
      <c r="H27" s="534"/>
      <c r="I27" s="535"/>
      <c r="J27" s="534"/>
      <c r="K27" s="534"/>
      <c r="L27" s="534"/>
      <c r="M27" s="551"/>
      <c r="N27" s="534"/>
      <c r="O27" s="534"/>
      <c r="P27" s="591"/>
    </row>
    <row r="28" spans="1:16" ht="9.9499999999999993" customHeight="1" x14ac:dyDescent="0.2">
      <c r="A28" s="503"/>
      <c r="B28" s="552"/>
      <c r="C28" s="553"/>
      <c r="D28" s="554"/>
      <c r="E28" s="554"/>
      <c r="F28" s="554"/>
      <c r="G28" s="555"/>
      <c r="H28" s="540"/>
      <c r="I28" s="541"/>
      <c r="J28" s="540"/>
      <c r="K28" s="540"/>
      <c r="L28" s="540"/>
      <c r="M28" s="542"/>
      <c r="N28" s="540"/>
      <c r="O28" s="540"/>
      <c r="P28" s="590"/>
    </row>
    <row r="29" spans="1:16" ht="18" customHeight="1" x14ac:dyDescent="0.2">
      <c r="A29" s="875" t="str">
        <f>"Denní 
modelová spotřeba 
zemního plynu
"&amp;$A$3</f>
        <v>Denní 
modelová spotřeba 
zemního plynu
2015</v>
      </c>
      <c r="B29" s="571" t="s">
        <v>247</v>
      </c>
      <c r="C29" s="572" t="s">
        <v>250</v>
      </c>
      <c r="D29" s="659">
        <f>IF(T!$A$4&gt;='[8]Podklady MZ'!D$2,'[8]Podklady MZ'!D34,"")</f>
        <v>0.91219251430331394</v>
      </c>
      <c r="E29" s="659">
        <f>IF(T!$A$4&gt;='[8]Podklady MZ'!E$2,'[8]Podklady MZ'!E34,"")</f>
        <v>1.3110234890123738</v>
      </c>
      <c r="F29" s="659">
        <f>IF(T!$A$4&gt;='[8]Podklady MZ'!F$2,'[8]Podklady MZ'!F34,"")</f>
        <v>1.1251568759219512</v>
      </c>
      <c r="G29" s="660">
        <f>IF(T!$A$4&gt;='[8]Podklady MZ'!G$2,'[8]Podklady MZ'!G34,"")</f>
        <v>1.2859358325557315</v>
      </c>
      <c r="H29" s="659" t="str">
        <f>IF(T!$A$4&gt;='[8]Podklady MZ'!H$2,'[8]Podklady MZ'!H34,"")</f>
        <v/>
      </c>
      <c r="I29" s="661" t="str">
        <f>IF(T!$A$4&gt;='[8]Podklady MZ'!I$2,'[8]Podklady MZ'!I34,"")</f>
        <v/>
      </c>
      <c r="J29" s="659" t="str">
        <f>IF(T!$A$4&gt;='[8]Podklady MZ'!J$2,'[8]Podklady MZ'!J34,"")</f>
        <v/>
      </c>
      <c r="K29" s="659" t="str">
        <f>IF(T!$A$4&gt;='[8]Podklady MZ'!K$2,'[8]Podklady MZ'!K34,"")</f>
        <v/>
      </c>
      <c r="L29" s="659" t="str">
        <f>IF(T!$A$4&gt;='[8]Podklady MZ'!L$2,'[8]Podklady MZ'!L34,"")</f>
        <v/>
      </c>
      <c r="M29" s="660" t="str">
        <f>IF(T!$A$4&gt;='[8]Podklady MZ'!M$2,'[8]Podklady MZ'!M34,"")</f>
        <v/>
      </c>
      <c r="N29" s="659" t="str">
        <f>IF(T!$A$4&gt;='[8]Podklady MZ'!N$2,'[8]Podklady MZ'!N34,"")</f>
        <v/>
      </c>
      <c r="O29" s="659" t="str">
        <f>IF(T!$A$4&gt;='[8]Podklady MZ'!O$2,'[8]Podklady MZ'!O34,"")</f>
        <v/>
      </c>
      <c r="P29" s="596" t="s">
        <v>272</v>
      </c>
    </row>
    <row r="30" spans="1:16" ht="18" customHeight="1" x14ac:dyDescent="0.2">
      <c r="A30" s="875"/>
      <c r="B30" s="571" t="s">
        <v>247</v>
      </c>
      <c r="C30" s="572" t="s">
        <v>303</v>
      </c>
      <c r="D30" s="659">
        <f>IF(T!$A$4&gt;='[8]Podklady MZ'!D$2,'[8]Podklady MZ'!D35,"")</f>
        <v>9.6955474118236964</v>
      </c>
      <c r="E30" s="659">
        <f>IF(T!$A$4&gt;='[8]Podklady MZ'!E$2,'[8]Podklady MZ'!E35,"")</f>
        <v>13.940307026974384</v>
      </c>
      <c r="F30" s="659">
        <f>IF(T!$A$4&gt;='[8]Podklady MZ'!F$2,'[8]Podklady MZ'!F35,"")</f>
        <v>11.962097075588696</v>
      </c>
      <c r="G30" s="660">
        <f>IF(T!$A$4&gt;='[8]Podklady MZ'!G$2,'[8]Podklady MZ'!G35,"")</f>
        <v>13.681171183550427</v>
      </c>
      <c r="H30" s="659" t="str">
        <f>IF(T!$A$4&gt;='[8]Podklady MZ'!H$2,'[8]Podklady MZ'!H35,"")</f>
        <v/>
      </c>
      <c r="I30" s="661" t="str">
        <f>IF(T!$A$4&gt;='[8]Podklady MZ'!I$2,'[8]Podklady MZ'!I35,"")</f>
        <v/>
      </c>
      <c r="J30" s="659" t="str">
        <f>IF(T!$A$4&gt;='[8]Podklady MZ'!J$2,'[8]Podklady MZ'!J35,"")</f>
        <v/>
      </c>
      <c r="K30" s="659" t="str">
        <f>IF(T!$A$4&gt;='[8]Podklady MZ'!K$2,'[8]Podklady MZ'!K35,"")</f>
        <v/>
      </c>
      <c r="L30" s="659" t="str">
        <f>IF(T!$A$4&gt;='[8]Podklady MZ'!L$2,'[8]Podklady MZ'!L35,"")</f>
        <v/>
      </c>
      <c r="M30" s="660" t="str">
        <f>IF(T!$A$4&gt;='[8]Podklady MZ'!M$2,'[8]Podklady MZ'!M35,"")</f>
        <v/>
      </c>
      <c r="N30" s="659" t="str">
        <f>IF(T!$A$4&gt;='[8]Podklady MZ'!N$2,'[8]Podklady MZ'!N35,"")</f>
        <v/>
      </c>
      <c r="O30" s="659" t="str">
        <f>IF(T!$A$4&gt;='[8]Podklady MZ'!O$2,'[8]Podklady MZ'!O35,"")</f>
        <v/>
      </c>
      <c r="P30" s="596" t="s">
        <v>272</v>
      </c>
    </row>
    <row r="31" spans="1:16" ht="18" customHeight="1" x14ac:dyDescent="0.2">
      <c r="A31" s="875"/>
      <c r="B31" s="98" t="s">
        <v>255</v>
      </c>
      <c r="C31" s="568" t="s">
        <v>250</v>
      </c>
      <c r="D31" s="667">
        <f>IF(T!$A$4&gt;='[8]Podklady MZ'!D$2,'[8]Podklady MZ'!D36,"")</f>
        <v>37.110581900579199</v>
      </c>
      <c r="E31" s="667">
        <f>IF(T!$A$4&gt;='[8]Podklady MZ'!E$2,'[8]Podklady MZ'!E36,"")</f>
        <v>36.660259452578643</v>
      </c>
      <c r="F31" s="667">
        <f>IF(T!$A$4&gt;='[8]Podklady MZ'!F$2,'[8]Podklady MZ'!F36,"")</f>
        <v>33.566974590125859</v>
      </c>
      <c r="G31" s="668">
        <f>IF(T!$A$4&gt;='[8]Podklady MZ'!G$2,'[8]Podklady MZ'!G36,"")</f>
        <v>32.29328305837295</v>
      </c>
      <c r="H31" s="528" t="s">
        <v>272</v>
      </c>
      <c r="I31" s="529" t="s">
        <v>272</v>
      </c>
      <c r="J31" s="528" t="s">
        <v>272</v>
      </c>
      <c r="K31" s="528" t="s">
        <v>272</v>
      </c>
      <c r="L31" s="528" t="s">
        <v>272</v>
      </c>
      <c r="M31" s="668" t="str">
        <f>IF(T!$A$4&gt;='[8]Podklady MZ'!M$2,'[8]Podklady MZ'!M36,"")</f>
        <v/>
      </c>
      <c r="N31" s="667" t="str">
        <f>IF(T!$A$4&gt;='[8]Podklady MZ'!N$2,'[8]Podklady MZ'!N36,"")</f>
        <v/>
      </c>
      <c r="O31" s="667" t="str">
        <f>IF(T!$A$4&gt;='[8]Podklady MZ'!O$2,'[8]Podklady MZ'!O36,"")</f>
        <v/>
      </c>
      <c r="P31" s="590" t="s">
        <v>272</v>
      </c>
    </row>
    <row r="32" spans="1:16" ht="18" customHeight="1" x14ac:dyDescent="0.2">
      <c r="A32" s="875"/>
      <c r="B32" s="574" t="s">
        <v>255</v>
      </c>
      <c r="C32" s="573" t="s">
        <v>303</v>
      </c>
      <c r="D32" s="669">
        <f>IF(T!$A$4&gt;='[8]Podklady MZ'!D$2,'[8]Podklady MZ'!D37,"")</f>
        <v>394.44240185662397</v>
      </c>
      <c r="E32" s="669">
        <f>IF(T!$A$4&gt;='[8]Podklady MZ'!E$2,'[8]Podklady MZ'!E37,"")</f>
        <v>389.8139711001491</v>
      </c>
      <c r="F32" s="669">
        <f>IF(T!$A$4&gt;='[8]Podklady MZ'!F$2,'[8]Podklady MZ'!F37,"")</f>
        <v>356.86704420829369</v>
      </c>
      <c r="G32" s="670">
        <f>IF(T!$A$4&gt;='[8]Podklady MZ'!G$2,'[8]Podklady MZ'!G37,"")</f>
        <v>343.5707462341839</v>
      </c>
      <c r="H32" s="534" t="s">
        <v>272</v>
      </c>
      <c r="I32" s="535" t="s">
        <v>272</v>
      </c>
      <c r="J32" s="534" t="s">
        <v>272</v>
      </c>
      <c r="K32" s="534" t="s">
        <v>272</v>
      </c>
      <c r="L32" s="534" t="s">
        <v>272</v>
      </c>
      <c r="M32" s="670" t="str">
        <f>IF(T!$A$4&gt;='[8]Podklady MZ'!M$2,'[8]Podklady MZ'!M37,"")</f>
        <v/>
      </c>
      <c r="N32" s="669" t="str">
        <f>IF(T!$A$4&gt;='[8]Podklady MZ'!N$2,'[8]Podklady MZ'!N37,"")</f>
        <v/>
      </c>
      <c r="O32" s="669" t="str">
        <f>IF(T!$A$4&gt;='[8]Podklady MZ'!O$2,'[8]Podklady MZ'!O37,"")</f>
        <v/>
      </c>
      <c r="P32" s="591" t="s">
        <v>272</v>
      </c>
    </row>
    <row r="33" spans="1:16" ht="18" customHeight="1" x14ac:dyDescent="0.2">
      <c r="A33" s="875"/>
      <c r="B33" s="98" t="s">
        <v>256</v>
      </c>
      <c r="C33" s="568" t="s">
        <v>250</v>
      </c>
      <c r="D33" s="667">
        <f>IF(T!$A$4&gt;='[8]Podklady MZ'!D$2,'[8]Podklady MZ'!D38,"")</f>
        <v>48.056892072218965</v>
      </c>
      <c r="E33" s="667">
        <f>IF(T!$A$4&gt;='[8]Podklady MZ'!E$2,'[8]Podklady MZ'!E38,"")</f>
        <v>52.392541320727126</v>
      </c>
      <c r="F33" s="667">
        <f>IF(T!$A$4&gt;='[8]Podklady MZ'!F$2,'[8]Podklady MZ'!F38,"")</f>
        <v>47.068857101189273</v>
      </c>
      <c r="G33" s="668">
        <f>IF(T!$A$4&gt;='[8]Podklady MZ'!G$2,'[8]Podklady MZ'!G38,"")</f>
        <v>47.724513049041732</v>
      </c>
      <c r="H33" s="528" t="s">
        <v>272</v>
      </c>
      <c r="I33" s="529" t="s">
        <v>272</v>
      </c>
      <c r="J33" s="528" t="s">
        <v>272</v>
      </c>
      <c r="K33" s="528" t="s">
        <v>272</v>
      </c>
      <c r="L33" s="528" t="s">
        <v>272</v>
      </c>
      <c r="M33" s="668" t="str">
        <f>IF(T!$A$4&gt;='[8]Podklady MZ'!M$2,'[8]Podklady MZ'!M38,"")</f>
        <v/>
      </c>
      <c r="N33" s="667" t="str">
        <f>IF(T!$A$4&gt;='[8]Podklady MZ'!N$2,'[8]Podklady MZ'!N38,"")</f>
        <v/>
      </c>
      <c r="O33" s="667" t="str">
        <f>IF(T!$A$4&gt;='[8]Podklady MZ'!O$2,'[8]Podklady MZ'!O38,"")</f>
        <v/>
      </c>
      <c r="P33" s="590" t="s">
        <v>272</v>
      </c>
    </row>
    <row r="34" spans="1:16" ht="18" customHeight="1" x14ac:dyDescent="0.2">
      <c r="A34" s="875"/>
      <c r="B34" s="98" t="s">
        <v>256</v>
      </c>
      <c r="C34" s="568" t="s">
        <v>303</v>
      </c>
      <c r="D34" s="667">
        <f>IF(T!$A$4&gt;='[8]Podklady MZ'!D$2,'[8]Podklady MZ'!D39,"")</f>
        <v>510.78897079850827</v>
      </c>
      <c r="E34" s="667">
        <f>IF(T!$A$4&gt;='[8]Podklady MZ'!E$2,'[8]Podklady MZ'!E39,"")</f>
        <v>557.09765542384173</v>
      </c>
      <c r="F34" s="667">
        <f>IF(T!$A$4&gt;='[8]Podklady MZ'!F$2,'[8]Podklady MZ'!F39,"")</f>
        <v>500.412209115358</v>
      </c>
      <c r="G34" s="668">
        <f>IF(T!$A$4&gt;='[8]Podklady MZ'!G$2,'[8]Podklady MZ'!G39,"")</f>
        <v>507.74480043678903</v>
      </c>
      <c r="H34" s="528" t="s">
        <v>272</v>
      </c>
      <c r="I34" s="529" t="s">
        <v>272</v>
      </c>
      <c r="J34" s="528" t="s">
        <v>272</v>
      </c>
      <c r="K34" s="528" t="s">
        <v>272</v>
      </c>
      <c r="L34" s="528" t="s">
        <v>272</v>
      </c>
      <c r="M34" s="668" t="str">
        <f>IF(T!$A$4&gt;='[8]Podklady MZ'!M$2,'[8]Podklady MZ'!M39,"")</f>
        <v/>
      </c>
      <c r="N34" s="667" t="str">
        <f>IF(T!$A$4&gt;='[8]Podklady MZ'!N$2,'[8]Podklady MZ'!N39,"")</f>
        <v/>
      </c>
      <c r="O34" s="667" t="str">
        <f>IF(T!$A$4&gt;='[8]Podklady MZ'!O$2,'[8]Podklady MZ'!O39,"")</f>
        <v/>
      </c>
      <c r="P34" s="590" t="s">
        <v>272</v>
      </c>
    </row>
    <row r="35" spans="1:16" ht="9.9499999999999993" customHeight="1" x14ac:dyDescent="0.2">
      <c r="A35" s="876"/>
      <c r="B35" s="511"/>
      <c r="C35" s="531"/>
      <c r="D35" s="534"/>
      <c r="E35" s="534"/>
      <c r="F35" s="534"/>
      <c r="G35" s="551"/>
      <c r="H35" s="534"/>
      <c r="I35" s="535"/>
      <c r="J35" s="534"/>
      <c r="K35" s="534"/>
      <c r="L35" s="534"/>
      <c r="M35" s="551"/>
      <c r="N35" s="534"/>
      <c r="O35" s="534"/>
      <c r="P35" s="591"/>
    </row>
    <row r="36" spans="1:16" ht="9.9499999999999993" customHeight="1" x14ac:dyDescent="0.2">
      <c r="A36" s="558"/>
      <c r="B36" s="516"/>
      <c r="C36" s="520"/>
      <c r="D36" s="559"/>
      <c r="E36" s="560"/>
      <c r="F36" s="560"/>
      <c r="G36" s="561"/>
      <c r="H36" s="562"/>
      <c r="I36" s="563"/>
      <c r="J36" s="560"/>
      <c r="K36" s="560"/>
      <c r="L36" s="560"/>
      <c r="M36" s="561"/>
      <c r="N36" s="562"/>
      <c r="O36" s="562"/>
      <c r="P36" s="597"/>
    </row>
    <row r="37" spans="1:16" ht="14.1" customHeight="1" x14ac:dyDescent="0.2">
      <c r="D37" s="501"/>
      <c r="E37" s="501"/>
      <c r="F37" s="501"/>
      <c r="G37" s="501"/>
      <c r="H37" s="501"/>
      <c r="I37" s="501"/>
      <c r="J37" s="501"/>
      <c r="K37" s="501"/>
      <c r="L37" s="501"/>
      <c r="M37" s="501"/>
      <c r="N37" s="501"/>
      <c r="O37" s="501"/>
      <c r="P37" s="746"/>
    </row>
    <row r="38" spans="1:16" ht="14.1" customHeight="1" x14ac:dyDescent="0.2"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  <c r="O38" s="501"/>
      <c r="P38" s="501"/>
    </row>
    <row r="39" spans="1:16" ht="14.1" customHeight="1" x14ac:dyDescent="0.2">
      <c r="D39" s="501"/>
      <c r="E39" s="690">
        <v>2</v>
      </c>
      <c r="F39" s="690">
        <v>3</v>
      </c>
      <c r="G39" s="690">
        <v>4</v>
      </c>
      <c r="H39" s="690">
        <v>5</v>
      </c>
      <c r="I39" s="690">
        <v>6</v>
      </c>
      <c r="J39" s="690">
        <v>7</v>
      </c>
      <c r="K39" s="690">
        <v>8</v>
      </c>
      <c r="L39" s="690">
        <v>9</v>
      </c>
      <c r="M39" s="690">
        <v>10</v>
      </c>
      <c r="N39" s="690">
        <v>11</v>
      </c>
      <c r="O39" s="690">
        <v>12</v>
      </c>
      <c r="P39" s="690"/>
    </row>
    <row r="40" spans="1:16" ht="14.1" customHeight="1" x14ac:dyDescent="0.2">
      <c r="D40" s="501"/>
      <c r="E40" s="501"/>
      <c r="F40" s="501"/>
      <c r="G40" s="501"/>
      <c r="H40" s="501"/>
      <c r="I40" s="501"/>
      <c r="J40" s="501"/>
      <c r="K40" s="501"/>
      <c r="L40" s="501"/>
      <c r="M40" s="501"/>
      <c r="N40" s="501"/>
      <c r="O40" s="501"/>
      <c r="P40" s="501"/>
    </row>
    <row r="41" spans="1:16" ht="14.1" customHeight="1" x14ac:dyDescent="0.2">
      <c r="D41" s="501"/>
      <c r="E41" s="501"/>
      <c r="F41" s="501"/>
      <c r="G41" s="501"/>
      <c r="H41" s="501"/>
      <c r="I41" s="501"/>
      <c r="J41" s="501"/>
      <c r="K41" s="501"/>
      <c r="L41" s="501"/>
      <c r="M41" s="501"/>
      <c r="N41" s="501"/>
      <c r="O41" s="501"/>
      <c r="P41" s="501"/>
    </row>
    <row r="42" spans="1:16" ht="14.1" customHeight="1" x14ac:dyDescent="0.2"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</row>
    <row r="43" spans="1:16" x14ac:dyDescent="0.2">
      <c r="D43" s="501"/>
      <c r="E43" s="501"/>
      <c r="F43" s="501"/>
      <c r="G43" s="501"/>
      <c r="H43" s="501"/>
      <c r="I43" s="501"/>
      <c r="J43" s="501"/>
      <c r="K43" s="501"/>
      <c r="L43" s="501"/>
      <c r="M43" s="501"/>
      <c r="N43" s="501"/>
      <c r="O43" s="501"/>
      <c r="P43" s="501"/>
    </row>
    <row r="44" spans="1:16" x14ac:dyDescent="0.2"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</row>
    <row r="45" spans="1:16" x14ac:dyDescent="0.2"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1"/>
      <c r="P45" s="501"/>
    </row>
    <row r="46" spans="1:16" x14ac:dyDescent="0.2">
      <c r="D46" s="501"/>
      <c r="E46" s="501"/>
      <c r="F46" s="501"/>
      <c r="G46" s="501"/>
      <c r="H46" s="501"/>
      <c r="I46" s="501"/>
      <c r="J46" s="501"/>
      <c r="K46" s="501"/>
      <c r="L46" s="501"/>
      <c r="M46" s="501"/>
      <c r="N46" s="501"/>
      <c r="O46" s="501"/>
      <c r="P46" s="501"/>
    </row>
    <row r="47" spans="1:16" x14ac:dyDescent="0.2">
      <c r="D47" s="501"/>
      <c r="E47" s="501"/>
      <c r="F47" s="501"/>
      <c r="G47" s="501"/>
      <c r="H47" s="501"/>
      <c r="I47" s="501"/>
      <c r="J47" s="501"/>
      <c r="K47" s="501"/>
      <c r="L47" s="501"/>
      <c r="M47" s="501"/>
      <c r="N47" s="501"/>
      <c r="O47" s="501"/>
      <c r="P47" s="501"/>
    </row>
    <row r="48" spans="1:16" x14ac:dyDescent="0.2">
      <c r="D48" s="501"/>
      <c r="E48" s="501"/>
      <c r="F48" s="501"/>
      <c r="G48" s="501"/>
      <c r="H48" s="501"/>
      <c r="I48" s="501"/>
      <c r="J48" s="501"/>
      <c r="K48" s="501"/>
      <c r="L48" s="501"/>
      <c r="M48" s="501"/>
      <c r="N48" s="501"/>
      <c r="O48" s="501"/>
      <c r="P48" s="501"/>
    </row>
    <row r="49" spans="4:16" x14ac:dyDescent="0.2">
      <c r="D49" s="501"/>
      <c r="E49" s="501"/>
      <c r="F49" s="501"/>
      <c r="G49" s="501"/>
      <c r="H49" s="501"/>
      <c r="I49" s="501"/>
      <c r="J49" s="501"/>
      <c r="K49" s="501"/>
      <c r="L49" s="501"/>
      <c r="M49" s="501"/>
      <c r="N49" s="501"/>
      <c r="O49" s="501"/>
      <c r="P49" s="501"/>
    </row>
    <row r="50" spans="4:16" x14ac:dyDescent="0.2">
      <c r="D50" s="501"/>
      <c r="E50" s="501"/>
      <c r="F50" s="501"/>
      <c r="G50" s="501"/>
      <c r="H50" s="501"/>
      <c r="I50" s="501"/>
      <c r="J50" s="501"/>
      <c r="K50" s="501"/>
      <c r="L50" s="501"/>
      <c r="M50" s="501"/>
      <c r="N50" s="501"/>
      <c r="O50" s="501"/>
      <c r="P50" s="501"/>
    </row>
    <row r="51" spans="4:16" x14ac:dyDescent="0.2">
      <c r="D51" s="501"/>
      <c r="E51" s="501"/>
      <c r="F51" s="501"/>
      <c r="G51" s="501"/>
      <c r="H51" s="501"/>
      <c r="I51" s="501"/>
      <c r="J51" s="501"/>
      <c r="K51" s="501"/>
      <c r="L51" s="501"/>
      <c r="M51" s="501"/>
      <c r="N51" s="501"/>
      <c r="O51" s="501"/>
      <c r="P51" s="501"/>
    </row>
  </sheetData>
  <mergeCells count="7">
    <mergeCell ref="O1:P1"/>
    <mergeCell ref="A21:A27"/>
    <mergeCell ref="A2:P2"/>
    <mergeCell ref="A3:P3"/>
    <mergeCell ref="A29:A35"/>
    <mergeCell ref="A6:A12"/>
    <mergeCell ref="A13:A19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Q50"/>
  <sheetViews>
    <sheetView view="pageBreakPreview" zoomScaleNormal="100" zoomScaleSheetLayoutView="100" workbookViewId="0">
      <selection activeCell="C1" sqref="C1"/>
    </sheetView>
  </sheetViews>
  <sheetFormatPr defaultRowHeight="12.75" x14ac:dyDescent="0.2"/>
  <cols>
    <col min="1" max="1" width="7.7109375" style="17" customWidth="1"/>
    <col min="2" max="2" width="18.42578125" style="17" customWidth="1"/>
    <col min="3" max="3" width="6.42578125" style="97" customWidth="1"/>
    <col min="4" max="15" width="8.2851562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1" t="s">
        <v>54</v>
      </c>
      <c r="P1" s="821"/>
    </row>
    <row r="2" spans="1:17" ht="15.95" customHeight="1" x14ac:dyDescent="0.25">
      <c r="A2" s="877" t="s">
        <v>248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17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17" ht="14.1" customHeight="1" x14ac:dyDescent="0.2">
      <c r="D4" s="498"/>
      <c r="E4" s="498"/>
      <c r="F4" s="498"/>
      <c r="G4" s="498"/>
      <c r="P4" s="594"/>
    </row>
    <row r="5" spans="1:17" ht="18" customHeight="1" x14ac:dyDescent="0.2">
      <c r="A5" s="500" t="s">
        <v>128</v>
      </c>
      <c r="B5" s="887" t="s">
        <v>297</v>
      </c>
      <c r="C5" s="888"/>
      <c r="D5" s="500" t="s">
        <v>13</v>
      </c>
      <c r="E5" s="500" t="s">
        <v>58</v>
      </c>
      <c r="F5" s="518" t="s">
        <v>59</v>
      </c>
      <c r="G5" s="500" t="s">
        <v>60</v>
      </c>
      <c r="H5" s="500" t="s">
        <v>61</v>
      </c>
      <c r="I5" s="518" t="s">
        <v>62</v>
      </c>
      <c r="J5" s="500" t="s">
        <v>63</v>
      </c>
      <c r="K5" s="500" t="s">
        <v>64</v>
      </c>
      <c r="L5" s="518" t="s">
        <v>65</v>
      </c>
      <c r="M5" s="500" t="s">
        <v>66</v>
      </c>
      <c r="N5" s="500" t="s">
        <v>67</v>
      </c>
      <c r="O5" s="500" t="s">
        <v>68</v>
      </c>
      <c r="P5" s="588" t="s">
        <v>2</v>
      </c>
      <c r="Q5" s="13"/>
    </row>
    <row r="6" spans="1:17" ht="5.0999999999999996" customHeight="1" x14ac:dyDescent="0.2">
      <c r="A6" s="879" t="s">
        <v>6</v>
      </c>
      <c r="B6" s="519"/>
      <c r="C6" s="520"/>
      <c r="D6" s="499"/>
      <c r="E6" s="499"/>
      <c r="F6" s="521"/>
      <c r="G6" s="499"/>
      <c r="H6" s="499"/>
      <c r="I6" s="521"/>
      <c r="J6" s="499"/>
      <c r="K6" s="499"/>
      <c r="L6" s="521"/>
      <c r="M6" s="499"/>
      <c r="N6" s="499"/>
      <c r="O6" s="499"/>
      <c r="P6" s="589"/>
      <c r="Q6" s="13"/>
    </row>
    <row r="7" spans="1:17" ht="14.1" customHeight="1" x14ac:dyDescent="0.2">
      <c r="A7" s="875"/>
      <c r="B7" s="98" t="s">
        <v>259</v>
      </c>
      <c r="C7" s="568" t="s">
        <v>250</v>
      </c>
      <c r="D7" s="530">
        <f>IF(T!$A$4&gt;=D$50,INDEX([2]DS!$B36:$AK36,1,3*MONTH(D$5&amp;$A$3)-1)/1000,"")</f>
        <v>385.63213875298783</v>
      </c>
      <c r="E7" s="530">
        <f>IF(T!$A$4&gt;=E$50,INDEX([2]DS!$B36:$AK36,1,3*MONTH(E$5&amp;$A$3)-1)/1000,"")</f>
        <v>353.33978032210234</v>
      </c>
      <c r="F7" s="570">
        <f>IF(T!$A$4&gt;=F$50,INDEX([2]DS!$B36:$AK36,1,3*MONTH(F$5&amp;$A$3)-1)/1000,"")</f>
        <v>346.37501366394571</v>
      </c>
      <c r="G7" s="543">
        <f>IF(T!$A$4&gt;=G$50,INDEX([2]DS!$B36:$AK36,1,3*MONTH(G$5&amp;$A$3)-1)/1000,"")</f>
        <v>288.19805184514018</v>
      </c>
      <c r="H7" s="530" t="str">
        <f>IF(T!$A$4&gt;=H$50,INDEX([2]DS!$B36:$AK36,1,3*MONTH(H$5&amp;$A$3)-1)/1000,"")</f>
        <v/>
      </c>
      <c r="I7" s="545" t="str">
        <f>IF(T!$A$4&gt;=I$50,INDEX([2]DS!$B36:$AK36,1,3*MONTH(I$5&amp;$A$3)-1)/1000,"")</f>
        <v/>
      </c>
      <c r="J7" s="530" t="str">
        <f>IF(T!$A$4&gt;=J$50,INDEX([2]DS!$B36:$AK36,1,3*MONTH(J$5&amp;$A$3)-1)/1000,"")</f>
        <v/>
      </c>
      <c r="K7" s="530" t="str">
        <f>IF(T!$A$4&gt;=K$50,INDEX([2]DS!$B36:$AK36,1,3*MONTH(K$5&amp;$A$3)-1)/1000,"")</f>
        <v/>
      </c>
      <c r="L7" s="545" t="str">
        <f>IF(T!$A$4&gt;=L$50,INDEX([2]DS!$B36:$AK36,1,3*MONTH(L$5&amp;$A$3)-1)/1000,"")</f>
        <v/>
      </c>
      <c r="M7" s="530" t="str">
        <f>IF(T!$A$4&gt;=M$50,INDEX([2]DS!$B36:$AK36,1,3*MONTH(M$5&amp;$A$3)-1)/1000,"")</f>
        <v/>
      </c>
      <c r="N7" s="530" t="str">
        <f>IF(T!$A$4&gt;=N$50,INDEX([2]DS!$B36:$AK36,1,3*MONTH(N$5&amp;$A$3)-1)/1000,"")</f>
        <v/>
      </c>
      <c r="O7" s="530" t="str">
        <f>IF(T!$A$4&gt;=O$50,INDEX([2]DS!$B36:$AK36,1,3*MONTH(O$5&amp;$A$3)-1)/1000,"")</f>
        <v/>
      </c>
      <c r="P7" s="590">
        <f>SUM(D7:O7)</f>
        <v>1373.5449845841763</v>
      </c>
    </row>
    <row r="8" spans="1:17" ht="14.1" customHeight="1" x14ac:dyDescent="0.2">
      <c r="A8" s="875"/>
      <c r="B8" s="98" t="s">
        <v>259</v>
      </c>
      <c r="C8" s="568" t="s">
        <v>303</v>
      </c>
      <c r="D8" s="543">
        <f>IF(T!$A$4&gt;=D$50,INDEX([2]DS!$B36:$AK36,1,3*MONTH(D$5&amp;$A$3))/1000,"")</f>
        <v>4099.1532515729996</v>
      </c>
      <c r="E8" s="560">
        <f>IF(T!$A$4&gt;=E$50,INDEX([2]DS!$B36:$AK36,1,3*MONTH(E$5&amp;$A$3))/1000,"")</f>
        <v>3757.3962138940001</v>
      </c>
      <c r="F8" s="570">
        <f>IF(T!$A$4&gt;=F$50,INDEX([2]DS!$B36:$AK36,1,3*MONTH(F$5&amp;$A$3))/1000,"")</f>
        <v>3682.5863261610011</v>
      </c>
      <c r="G8" s="543">
        <f>IF(T!$A$4&gt;=G$50,INDEX([2]DS!$B36:$AK36,1,3*MONTH(G$5&amp;$A$3))/1000,"")</f>
        <v>3066.2293641399992</v>
      </c>
      <c r="H8" s="530" t="str">
        <f>IF(T!$A$4&gt;=H$50,INDEX([2]DS!$B36:$AK36,1,3*MONTH(H$5&amp;$A$3))/1000,"")</f>
        <v/>
      </c>
      <c r="I8" s="545" t="str">
        <f>IF(T!$A$4&gt;=I$50,INDEX([2]DS!$B36:$AK36,1,3*MONTH(I$5&amp;$A$3))/1000,"")</f>
        <v/>
      </c>
      <c r="J8" s="530" t="str">
        <f>IF(T!$A$4&gt;=J$50,INDEX([2]DS!$B36:$AK36,1,3*MONTH(J$5&amp;$A$3))/1000,"")</f>
        <v/>
      </c>
      <c r="K8" s="530" t="str">
        <f>IF(T!$A$4&gt;=K$50,INDEX([2]DS!$B36:$AK36,1,3*MONTH(K$5&amp;$A$3))/1000,"")</f>
        <v/>
      </c>
      <c r="L8" s="545" t="str">
        <f>IF(T!$A$4&gt;=L$50,INDEX([2]DS!$B36:$AK36,1,3*MONTH(L$5&amp;$A$3))/1000,"")</f>
        <v/>
      </c>
      <c r="M8" s="530" t="str">
        <f>IF(T!$A$4&gt;=M$50,INDEX([2]DS!$B36:$AK36,1,3*MONTH(M$5&amp;$A$3))/1000,"")</f>
        <v/>
      </c>
      <c r="N8" s="530" t="str">
        <f>IF(T!$A$4&gt;=N$50,INDEX([2]DS!$B36:$AK36,1,3*MONTH(N$5&amp;$A$3))/1000,"")</f>
        <v/>
      </c>
      <c r="O8" s="530" t="str">
        <f>IF(T!$A$4&gt;=O$50,INDEX([2]DS!$B36:$AK36,1,3*MONTH(O$5&amp;$A$3))/1000,"")</f>
        <v/>
      </c>
      <c r="P8" s="590">
        <f t="shared" ref="P8" si="0">SUM(D8:O8)</f>
        <v>14605.365155768</v>
      </c>
    </row>
    <row r="9" spans="1:17" ht="14.1" customHeight="1" x14ac:dyDescent="0.2">
      <c r="A9" s="875"/>
      <c r="B9" s="732" t="s">
        <v>257</v>
      </c>
      <c r="C9" s="733" t="s">
        <v>251</v>
      </c>
      <c r="D9" s="734">
        <f>IF(T!$A$4&gt;=D$50,D7/D$40,"")</f>
        <v>0.35664386219026406</v>
      </c>
      <c r="E9" s="734">
        <f>IF(T!$A$4&gt;=E$50,E7/E$40,"")</f>
        <v>0.35695684033317382</v>
      </c>
      <c r="F9" s="735">
        <f>IF(T!$A$4&gt;=F$50,F7/F$40,"")</f>
        <v>0.4001869268131576</v>
      </c>
      <c r="G9" s="734">
        <f>IF(T!$A$4&gt;=G$50,G7/G$40,"")</f>
        <v>0.46273929977048311</v>
      </c>
      <c r="H9" s="736" t="str">
        <f>IF(T!$A$4&gt;=H$50,H7/H$40,"")</f>
        <v/>
      </c>
      <c r="I9" s="737" t="str">
        <f>IF(T!$A$4&gt;=I$50,I7/I$40,"")</f>
        <v/>
      </c>
      <c r="J9" s="736" t="str">
        <f>IF(T!$A$4&gt;=J$50,J7/J$40,"")</f>
        <v/>
      </c>
      <c r="K9" s="736" t="str">
        <f>IF(T!$A$4&gt;=K$50,K7/K$40,"")</f>
        <v/>
      </c>
      <c r="L9" s="737" t="str">
        <f>IF(T!$A$4&gt;=L$50,L7/L$40,"")</f>
        <v/>
      </c>
      <c r="M9" s="736" t="str">
        <f>IF(T!$A$4&gt;=M$50,M7/M$40,"")</f>
        <v/>
      </c>
      <c r="N9" s="736" t="str">
        <f>IF(T!$A$4&gt;=N$50,N7/N$40,"")</f>
        <v/>
      </c>
      <c r="O9" s="736" t="str">
        <f>IF(T!$A$4&gt;=O$50,O7/O$40,"")</f>
        <v/>
      </c>
      <c r="P9" s="738">
        <f>P7/P$40</f>
        <v>0.38588258586611007</v>
      </c>
    </row>
    <row r="10" spans="1:17" ht="14.1" customHeight="1" x14ac:dyDescent="0.2">
      <c r="A10" s="875"/>
      <c r="B10" s="98" t="s">
        <v>0</v>
      </c>
      <c r="C10" s="568"/>
      <c r="D10" s="673">
        <f>IF(T!$A$4&gt;=D$50,INDEX([2]DS!$B36:$AK36,1,3*MONTH(D$5&amp;$A$3)-2),"")</f>
        <v>1590</v>
      </c>
      <c r="E10" s="683">
        <f>IF(T!$A$4&gt;=E$50,INDEX([2]DS!$B36:$AK36,1,3*MONTH(E$5&amp;$A$3)-2),"")</f>
        <v>1592</v>
      </c>
      <c r="F10" s="674">
        <f>IF(T!$A$4&gt;=F$50,INDEX([2]DS!$B36:$AK36,1,3*MONTH(F$5&amp;$A$3)-2),"")</f>
        <v>1593</v>
      </c>
      <c r="G10" s="673">
        <f>IF(T!$A$4&gt;=G$50,INDEX([2]DS!$B36:$AK36,1,3*MONTH(G$5&amp;$A$3)-2),"")</f>
        <v>1589</v>
      </c>
      <c r="H10" s="672" t="str">
        <f>IF(T!$A$4&gt;=H$50,INDEX([2]DS!$B36:$AK36,1,3*MONTH(H$5&amp;$A$3)-2),"")</f>
        <v/>
      </c>
      <c r="I10" s="675" t="str">
        <f>IF(T!$A$4&gt;=I$50,INDEX([2]DS!$B36:$AK36,1,3*MONTH(I$5&amp;$A$3)-2),"")</f>
        <v/>
      </c>
      <c r="J10" s="672" t="str">
        <f>IF(T!$A$4&gt;=J$50,INDEX([2]DS!$B36:$AK36,1,3*MONTH(J$5&amp;$A$3)-2),"")</f>
        <v/>
      </c>
      <c r="K10" s="672" t="str">
        <f>IF(T!$A$4&gt;=K$50,INDEX([2]DS!$B36:$AK36,1,3*MONTH(K$5&amp;$A$3)-2),"")</f>
        <v/>
      </c>
      <c r="L10" s="675" t="str">
        <f>IF(T!$A$4&gt;=L$50,INDEX([2]DS!$B36:$AK36,1,3*MONTH(L$5&amp;$A$3)-2),"")</f>
        <v/>
      </c>
      <c r="M10" s="672" t="str">
        <f>IF(T!$A$4&gt;=M$50,INDEX([2]DS!$B36:$AK36,1,3*MONTH(M$5&amp;$A$3)-2),"")</f>
        <v/>
      </c>
      <c r="N10" s="672" t="str">
        <f>IF(T!$A$4&gt;=N$50,INDEX([2]DS!$B36:$AK36,1,3*MONTH(N$5&amp;$A$3)-2),"")</f>
        <v/>
      </c>
      <c r="O10" s="672" t="str">
        <f>IF(T!$A$4&gt;=O$50,INDEX([2]DS!$B36:$AK36,1,3*MONTH(O$5&amp;$A$3)-2),"")</f>
        <v/>
      </c>
      <c r="P10" s="687" t="str">
        <f>O10</f>
        <v/>
      </c>
    </row>
    <row r="11" spans="1:17" ht="14.1" customHeight="1" x14ac:dyDescent="0.2">
      <c r="A11" s="875"/>
      <c r="B11" s="569" t="s">
        <v>258</v>
      </c>
      <c r="C11" s="568" t="s">
        <v>251</v>
      </c>
      <c r="D11" s="676">
        <f>IF(T!$A$4&gt;=D$50,D10/D$42,"")</f>
        <v>5.5806156787923972E-4</v>
      </c>
      <c r="E11" s="684">
        <f>IF(T!$A$4&gt;=E$50,E10/E$42,"")</f>
        <v>5.588321811514892E-4</v>
      </c>
      <c r="F11" s="677">
        <f>IF(T!$A$4&gt;=F$50,F10/F$42,"")</f>
        <v>5.5946246649546806E-4</v>
      </c>
      <c r="G11" s="676">
        <f>IF(T!$A$4&gt;=G$50,G10/G$42,"")</f>
        <v>5.583151181122835E-4</v>
      </c>
      <c r="H11" s="388" t="str">
        <f>IF(T!$A$4&gt;=H$50,H10/H$42,"")</f>
        <v/>
      </c>
      <c r="I11" s="678" t="str">
        <f>IF(T!$A$4&gt;=I$50,I10/I$42,"")</f>
        <v/>
      </c>
      <c r="J11" s="388" t="str">
        <f>IF(T!$A$4&gt;=J$50,J10/J$42,"")</f>
        <v/>
      </c>
      <c r="K11" s="388" t="str">
        <f>IF(T!$A$4&gt;=K$50,K10/K$42,"")</f>
        <v/>
      </c>
      <c r="L11" s="678" t="str">
        <f>IF(T!$A$4&gt;=L$50,L10/L$42,"")</f>
        <v/>
      </c>
      <c r="M11" s="388" t="str">
        <f>IF(T!$A$4&gt;=M$50,M10/M$42,"")</f>
        <v/>
      </c>
      <c r="N11" s="388" t="str">
        <f>IF(T!$A$4&gt;=N$50,N10/N$42,"")</f>
        <v/>
      </c>
      <c r="O11" s="388" t="str">
        <f>IF(T!$A$4&gt;=O$50,O10/O$42,"")</f>
        <v/>
      </c>
      <c r="P11" s="685" t="str">
        <f>IF(T!$A$4&gt;=O$50,P10/P$42,"")</f>
        <v/>
      </c>
    </row>
    <row r="12" spans="1:17" ht="5.0999999999999996" customHeight="1" x14ac:dyDescent="0.2">
      <c r="A12" s="876"/>
      <c r="B12" s="579"/>
      <c r="C12" s="577"/>
      <c r="D12" s="547"/>
      <c r="E12" s="547"/>
      <c r="F12" s="578"/>
      <c r="G12" s="547"/>
      <c r="H12" s="549"/>
      <c r="I12" s="550"/>
      <c r="J12" s="549"/>
      <c r="K12" s="549"/>
      <c r="L12" s="550"/>
      <c r="M12" s="549"/>
      <c r="N12" s="549"/>
      <c r="O12" s="549"/>
      <c r="P12" s="591"/>
    </row>
    <row r="13" spans="1:17" ht="5.0999999999999996" customHeight="1" x14ac:dyDescent="0.2">
      <c r="A13" s="879" t="s">
        <v>7</v>
      </c>
      <c r="B13" s="519"/>
      <c r="C13" s="520"/>
      <c r="D13" s="499"/>
      <c r="E13" s="499"/>
      <c r="F13" s="521"/>
      <c r="G13" s="499"/>
      <c r="H13" s="499"/>
      <c r="I13" s="521"/>
      <c r="J13" s="499"/>
      <c r="K13" s="499"/>
      <c r="L13" s="521"/>
      <c r="M13" s="499"/>
      <c r="N13" s="499"/>
      <c r="O13" s="686"/>
      <c r="P13" s="589"/>
    </row>
    <row r="14" spans="1:17" ht="14.1" customHeight="1" x14ac:dyDescent="0.2">
      <c r="A14" s="875"/>
      <c r="B14" s="98" t="s">
        <v>259</v>
      </c>
      <c r="C14" s="568" t="s">
        <v>250</v>
      </c>
      <c r="D14" s="543">
        <f>IF(T!$A$4&gt;=D$50,INDEX([2]DS!$B37:$AK37,1,3*MONTH(D$5&amp;$A$3)-1)/1000,"")</f>
        <v>109.44037237872847</v>
      </c>
      <c r="E14" s="543">
        <f>IF(T!$A$4&gt;=E$50,INDEX([2]DS!$B37:$AK37,1,3*MONTH(E$5&amp;$A$3)-1)/1000,"")</f>
        <v>101.46819909431994</v>
      </c>
      <c r="F14" s="570">
        <f>IF(T!$A$4&gt;=F$50,INDEX([2]DS!$B37:$AK37,1,3*MONTH(F$5&amp;$A$3)-1)/1000,"")</f>
        <v>85.97057093222827</v>
      </c>
      <c r="G14" s="543">
        <f>IF(T!$A$4&gt;=G$50,INDEX([2]DS!$B37:$AK37,1,3*MONTH(G$5&amp;$A$3)-1)/1000,"")</f>
        <v>61.6787553775373</v>
      </c>
      <c r="H14" s="530" t="str">
        <f>IF(T!$A$4&gt;=H$50,INDEX([2]DS!$B37:$AK37,1,3*MONTH(H$5&amp;$A$3)-1)/1000,"")</f>
        <v/>
      </c>
      <c r="I14" s="545" t="str">
        <f>IF(T!$A$4&gt;=I$50,INDEX([2]DS!$B37:$AK37,1,3*MONTH(I$5&amp;$A$3)-1)/1000,"")</f>
        <v/>
      </c>
      <c r="J14" s="530" t="str">
        <f>IF(T!$A$4&gt;=J$50,INDEX([2]DS!$B37:$AK37,1,3*MONTH(J$5&amp;$A$3)-1)/1000,"")</f>
        <v/>
      </c>
      <c r="K14" s="530" t="str">
        <f>IF(T!$A$4&gt;=K$50,INDEX([2]DS!$B37:$AK37,1,3*MONTH(K$5&amp;$A$3)-1)/1000,"")</f>
        <v/>
      </c>
      <c r="L14" s="545" t="str">
        <f>IF(T!$A$4&gt;=L$50,INDEX([2]DS!$B37:$AK37,1,3*MONTH(L$5&amp;$A$3)-1)/1000,"")</f>
        <v/>
      </c>
      <c r="M14" s="530" t="str">
        <f>IF(T!$A$4&gt;=M$50,INDEX([2]DS!$B37:$AK37,1,3*MONTH(M$5&amp;$A$3)-1)/1000,"")</f>
        <v/>
      </c>
      <c r="N14" s="530" t="str">
        <f>IF(T!$A$4&gt;=N$50,INDEX([2]DS!$B37:$AK37,1,3*MONTH(N$5&amp;$A$3)-1)/1000,"")</f>
        <v/>
      </c>
      <c r="O14" s="530" t="str">
        <f>IF(T!$A$4&gt;=O$50,INDEX([2]DS!$B37:$AK37,1,3*MONTH(O$5&amp;$A$3)-1)/1000,"")</f>
        <v/>
      </c>
      <c r="P14" s="590">
        <f>SUM(D14:O14)</f>
        <v>358.557897782814</v>
      </c>
    </row>
    <row r="15" spans="1:17" ht="14.1" customHeight="1" x14ac:dyDescent="0.2">
      <c r="A15" s="875"/>
      <c r="B15" s="98" t="s">
        <v>259</v>
      </c>
      <c r="C15" s="568" t="s">
        <v>303</v>
      </c>
      <c r="D15" s="543">
        <f>IF(T!$A$4&gt;=D$50,INDEX([2]DS!$B37:$AK37,1,3*MONTH(D$5&amp;$A$3))/1000,"")</f>
        <v>1162.9244275710003</v>
      </c>
      <c r="E15" s="543">
        <f>IF(T!$A$4&gt;=E$50,INDEX([2]DS!$B37:$AK37,1,3*MONTH(E$5&amp;$A$3))/1000,"")</f>
        <v>1078.7178574569998</v>
      </c>
      <c r="F15" s="570">
        <f>IF(T!$A$4&gt;=F$50,INDEX([2]DS!$B37:$AK37,1,3*MONTH(F$5&amp;$A$3))/1000,"")</f>
        <v>913.84377809900013</v>
      </c>
      <c r="G15" s="543">
        <f>IF(T!$A$4&gt;=G$50,INDEX([2]DS!$B37:$AK37,1,3*MONTH(G$5&amp;$A$3))/1000,"")</f>
        <v>656.13119702499978</v>
      </c>
      <c r="H15" s="530" t="str">
        <f>IF(T!$A$4&gt;=H$50,INDEX([2]DS!$B37:$AK37,1,3*MONTH(H$5&amp;$A$3))/1000,"")</f>
        <v/>
      </c>
      <c r="I15" s="545" t="str">
        <f>IF(T!$A$4&gt;=I$50,INDEX([2]DS!$B37:$AK37,1,3*MONTH(I$5&amp;$A$3))/1000,"")</f>
        <v/>
      </c>
      <c r="J15" s="530" t="str">
        <f>IF(T!$A$4&gt;=J$50,INDEX([2]DS!$B37:$AK37,1,3*MONTH(J$5&amp;$A$3))/1000,"")</f>
        <v/>
      </c>
      <c r="K15" s="530" t="str">
        <f>IF(T!$A$4&gt;=K$50,INDEX([2]DS!$B37:$AK37,1,3*MONTH(K$5&amp;$A$3))/1000,"")</f>
        <v/>
      </c>
      <c r="L15" s="545" t="str">
        <f>IF(T!$A$4&gt;=L$50,INDEX([2]DS!$B37:$AK37,1,3*MONTH(L$5&amp;$A$3))/1000,"")</f>
        <v/>
      </c>
      <c r="M15" s="530" t="str">
        <f>IF(T!$A$4&gt;=M$50,INDEX([2]DS!$B37:$AK37,1,3*MONTH(M$5&amp;$A$3))/1000,"")</f>
        <v/>
      </c>
      <c r="N15" s="530" t="str">
        <f>IF(T!$A$4&gt;=N$50,INDEX([2]DS!$B37:$AK37,1,3*MONTH(N$5&amp;$A$3))/1000,"")</f>
        <v/>
      </c>
      <c r="O15" s="530" t="str">
        <f>IF(T!$A$4&gt;=O$50,INDEX([2]DS!$B37:$AK37,1,3*MONTH(O$5&amp;$A$3))/1000,"")</f>
        <v/>
      </c>
      <c r="P15" s="590">
        <f t="shared" ref="P15" si="1">SUM(D15:O15)</f>
        <v>3811.6172601520002</v>
      </c>
    </row>
    <row r="16" spans="1:17" ht="14.1" customHeight="1" x14ac:dyDescent="0.2">
      <c r="A16" s="875"/>
      <c r="B16" s="732" t="s">
        <v>257</v>
      </c>
      <c r="C16" s="733" t="s">
        <v>251</v>
      </c>
      <c r="D16" s="734">
        <f>IF(T!$A$4&gt;=D$50,D14/D$40,"")</f>
        <v>0.10121365198166593</v>
      </c>
      <c r="E16" s="734">
        <f>IF(T!$A$4&gt;=E$50,E14/E$40,"")</f>
        <v>0.10250690627018599</v>
      </c>
      <c r="F16" s="735">
        <f>IF(T!$A$4&gt;=F$50,F14/F$40,"")</f>
        <v>9.9326733224239391E-2</v>
      </c>
      <c r="G16" s="734">
        <f>IF(T!$A$4&gt;=G$50,G14/G$40,"")</f>
        <v>9.9033230417021695E-2</v>
      </c>
      <c r="H16" s="736" t="str">
        <f>IF(T!$A$4&gt;=H$50,H14/H$40,"")</f>
        <v/>
      </c>
      <c r="I16" s="737" t="str">
        <f>IF(T!$A$4&gt;=I$50,I14/I$40,"")</f>
        <v/>
      </c>
      <c r="J16" s="736" t="str">
        <f>IF(T!$A$4&gt;=J$50,J14/J$40,"")</f>
        <v/>
      </c>
      <c r="K16" s="736" t="str">
        <f>IF(T!$A$4&gt;=K$50,K14/K$40,"")</f>
        <v/>
      </c>
      <c r="L16" s="737" t="str">
        <f>IF(T!$A$4&gt;=L$50,L14/L$40,"")</f>
        <v/>
      </c>
      <c r="M16" s="736" t="str">
        <f>IF(T!$A$4&gt;=M$50,M14/M$40,"")</f>
        <v/>
      </c>
      <c r="N16" s="736" t="str">
        <f>IF(T!$A$4&gt;=N$50,N14/N$40,"")</f>
        <v/>
      </c>
      <c r="O16" s="736" t="str">
        <f>IF(T!$A$4&gt;=O$50,O14/O$40,"")</f>
        <v/>
      </c>
      <c r="P16" s="738">
        <f t="shared" ref="P16" si="2">P14/P$40</f>
        <v>0.10073295766212986</v>
      </c>
    </row>
    <row r="17" spans="1:16" ht="14.1" customHeight="1" x14ac:dyDescent="0.2">
      <c r="A17" s="875"/>
      <c r="B17" s="98" t="s">
        <v>0</v>
      </c>
      <c r="C17" s="568"/>
      <c r="D17" s="673">
        <f>IF(T!$A$4&gt;=D$50,INDEX([2]DS!$B37:$AK37,1,3*MONTH(D$5&amp;$A$3)-2),"")</f>
        <v>6845</v>
      </c>
      <c r="E17" s="673">
        <f>IF(T!$A$4&gt;=E$50,INDEX([2]DS!$B37:$AK37,1,3*MONTH(E$5&amp;$A$3)-2),"")</f>
        <v>6843</v>
      </c>
      <c r="F17" s="674">
        <f>IF(T!$A$4&gt;=F$50,INDEX([2]DS!$B37:$AK37,1,3*MONTH(F$5&amp;$A$3)-2),"")</f>
        <v>6746</v>
      </c>
      <c r="G17" s="673">
        <f>IF(T!$A$4&gt;=G$50,INDEX([2]DS!$B37:$AK37,1,3*MONTH(G$5&amp;$A$3)-2),"")</f>
        <v>6744</v>
      </c>
      <c r="H17" s="672" t="str">
        <f>IF(T!$A$4&gt;=H$50,INDEX([2]DS!$B37:$AK37,1,3*MONTH(H$5&amp;$A$3)-2),"")</f>
        <v/>
      </c>
      <c r="I17" s="675" t="str">
        <f>IF(T!$A$4&gt;=I$50,INDEX([2]DS!$B37:$AK37,1,3*MONTH(I$5&amp;$A$3)-2),"")</f>
        <v/>
      </c>
      <c r="J17" s="672" t="str">
        <f>IF(T!$A$4&gt;=J$50,INDEX([2]DS!$B37:$AK37,1,3*MONTH(J$5&amp;$A$3)-2),"")</f>
        <v/>
      </c>
      <c r="K17" s="672" t="str">
        <f>IF(T!$A$4&gt;=K$50,INDEX([2]DS!$B37:$AK37,1,3*MONTH(K$5&amp;$A$3)-2),"")</f>
        <v/>
      </c>
      <c r="L17" s="675" t="str">
        <f>IF(T!$A$4&gt;=L$50,INDEX([2]DS!$B37:$AK37,1,3*MONTH(L$5&amp;$A$3)-2),"")</f>
        <v/>
      </c>
      <c r="M17" s="672" t="str">
        <f>IF(T!$A$4&gt;=M$50,INDEX([2]DS!$B37:$AK37,1,3*MONTH(M$5&amp;$A$3)-2),"")</f>
        <v/>
      </c>
      <c r="N17" s="672" t="str">
        <f>IF(T!$A$4&gt;=N$50,INDEX([2]DS!$B37:$AK37,1,3*MONTH(N$5&amp;$A$3)-2),"")</f>
        <v/>
      </c>
      <c r="O17" s="672" t="str">
        <f>IF(T!$A$4&gt;=O$50,INDEX([2]DS!$B37:$AK37,1,3*MONTH(O$5&amp;$A$3)-2),"")</f>
        <v/>
      </c>
      <c r="P17" s="687" t="str">
        <f>O17</f>
        <v/>
      </c>
    </row>
    <row r="18" spans="1:16" ht="14.1" customHeight="1" x14ac:dyDescent="0.2">
      <c r="A18" s="875"/>
      <c r="B18" s="569" t="s">
        <v>258</v>
      </c>
      <c r="C18" s="568" t="s">
        <v>251</v>
      </c>
      <c r="D18" s="676">
        <f>IF(T!$A$4&gt;=D$50,D17/D$42,"")</f>
        <v>2.4024725988260349E-3</v>
      </c>
      <c r="E18" s="684">
        <f>IF(T!$A$4&gt;=E$50,E17/E$42,"")</f>
        <v>2.4020657133289199E-3</v>
      </c>
      <c r="F18" s="677">
        <f>IF(T!$A$4&gt;=F$50,F17/F$42,"")</f>
        <v>2.369198869415209E-3</v>
      </c>
      <c r="G18" s="676">
        <f>IF(T!$A$4&gt;=G$50,G17/G$42,"")</f>
        <v>2.3695891482374072E-3</v>
      </c>
      <c r="H18" s="388" t="str">
        <f>IF(T!$A$4&gt;=H$50,H17/H$42,"")</f>
        <v/>
      </c>
      <c r="I18" s="678" t="str">
        <f>IF(T!$A$4&gt;=I$50,I17/I$42,"")</f>
        <v/>
      </c>
      <c r="J18" s="388" t="str">
        <f>IF(T!$A$4&gt;=J$50,J17/J$42,"")</f>
        <v/>
      </c>
      <c r="K18" s="388" t="str">
        <f>IF(T!$A$4&gt;=K$50,K17/K$42,"")</f>
        <v/>
      </c>
      <c r="L18" s="678" t="str">
        <f>IF(T!$A$4&gt;=L$50,L17/L$42,"")</f>
        <v/>
      </c>
      <c r="M18" s="388" t="str">
        <f>IF(T!$A$4&gt;=M$50,M17/M$42,"")</f>
        <v/>
      </c>
      <c r="N18" s="388" t="str">
        <f>IF(T!$A$4&gt;=N$50,N17/N$42,"")</f>
        <v/>
      </c>
      <c r="O18" s="388" t="str">
        <f>IF(T!$A$4&gt;=O$50,O17/O$42,"")</f>
        <v/>
      </c>
      <c r="P18" s="685" t="str">
        <f>IF(T!$A$4&gt;=O$50,P17/P$42,"")</f>
        <v/>
      </c>
    </row>
    <row r="19" spans="1:16" ht="5.0999999999999996" customHeight="1" x14ac:dyDescent="0.2">
      <c r="A19" s="876"/>
      <c r="B19" s="579"/>
      <c r="C19" s="577"/>
      <c r="D19" s="547"/>
      <c r="E19" s="547"/>
      <c r="F19" s="578"/>
      <c r="G19" s="547"/>
      <c r="H19" s="549"/>
      <c r="I19" s="550"/>
      <c r="J19" s="549"/>
      <c r="K19" s="549"/>
      <c r="L19" s="550"/>
      <c r="M19" s="549"/>
      <c r="N19" s="549"/>
      <c r="O19" s="549"/>
      <c r="P19" s="591"/>
    </row>
    <row r="20" spans="1:16" ht="5.0999999999999996" customHeight="1" x14ac:dyDescent="0.2">
      <c r="A20" s="879" t="s">
        <v>8</v>
      </c>
      <c r="B20" s="519"/>
      <c r="C20" s="520"/>
      <c r="D20" s="499"/>
      <c r="E20" s="499"/>
      <c r="F20" s="521"/>
      <c r="G20" s="499"/>
      <c r="H20" s="499"/>
      <c r="I20" s="521"/>
      <c r="J20" s="499"/>
      <c r="K20" s="499"/>
      <c r="L20" s="521"/>
      <c r="M20" s="499"/>
      <c r="N20" s="499"/>
      <c r="O20" s="686"/>
      <c r="P20" s="589"/>
    </row>
    <row r="21" spans="1:16" ht="14.1" customHeight="1" x14ac:dyDescent="0.2">
      <c r="A21" s="875"/>
      <c r="B21" s="98" t="s">
        <v>259</v>
      </c>
      <c r="C21" s="568" t="s">
        <v>250</v>
      </c>
      <c r="D21" s="543">
        <f>IF(T!$A$4&gt;=D$50,INDEX([2]DS!$B38:$AK38,1,3*MONTH(D$5&amp;$A$3)-1)/1000,"")</f>
        <v>185.45573098381678</v>
      </c>
      <c r="E21" s="543">
        <f>IF(T!$A$4&gt;=E$50,INDEX([2]DS!$B38:$AK38,1,3*MONTH(E$5&amp;$A$3)-1)/1000,"")</f>
        <v>168.97767665120313</v>
      </c>
      <c r="F21" s="570">
        <f>IF(T!$A$4&gt;=F$50,INDEX([2]DS!$B38:$AK38,1,3*MONTH(F$5&amp;$A$3)-1)/1000,"")</f>
        <v>136.93737206553737</v>
      </c>
      <c r="G21" s="543">
        <f>IF(T!$A$4&gt;=G$50,INDEX([2]DS!$B38:$AK38,1,3*MONTH(G$5&amp;$A$3)-1)/1000,"")</f>
        <v>84.908576362727246</v>
      </c>
      <c r="H21" s="530" t="str">
        <f>IF(T!$A$4&gt;=H$50,INDEX([2]DS!$B38:$AK38,1,3*MONTH(H$5&amp;$A$3)-1)/1000,"")</f>
        <v/>
      </c>
      <c r="I21" s="545" t="str">
        <f>IF(T!$A$4&gt;=I$50,INDEX([2]DS!$B38:$AK38,1,3*MONTH(I$5&amp;$A$3)-1)/1000,"")</f>
        <v/>
      </c>
      <c r="J21" s="530" t="str">
        <f>IF(T!$A$4&gt;=J$50,INDEX([2]DS!$B38:$AK38,1,3*MONTH(J$5&amp;$A$3)-1)/1000,"")</f>
        <v/>
      </c>
      <c r="K21" s="530" t="str">
        <f>IF(T!$A$4&gt;=K$50,INDEX([2]DS!$B38:$AK38,1,3*MONTH(K$5&amp;$A$3)-1)/1000,"")</f>
        <v/>
      </c>
      <c r="L21" s="545" t="str">
        <f>IF(T!$A$4&gt;=L$50,INDEX([2]DS!$B38:$AK38,1,3*MONTH(L$5&amp;$A$3)-1)/1000,"")</f>
        <v/>
      </c>
      <c r="M21" s="530" t="str">
        <f>IF(T!$A$4&gt;=M$50,INDEX([2]DS!$B38:$AK38,1,3*MONTH(M$5&amp;$A$3)-1)/1000,"")</f>
        <v/>
      </c>
      <c r="N21" s="530" t="str">
        <f>IF(T!$A$4&gt;=N$50,INDEX([2]DS!$B38:$AK38,1,3*MONTH(N$5&amp;$A$3)-1)/1000,"")</f>
        <v/>
      </c>
      <c r="O21" s="530" t="str">
        <f>IF(T!$A$4&gt;=O$50,INDEX([2]DS!$B38:$AK38,1,3*MONTH(O$5&amp;$A$3)-1)/1000,"")</f>
        <v/>
      </c>
      <c r="P21" s="590">
        <f>SUM(D21:O21)</f>
        <v>576.27935606328447</v>
      </c>
    </row>
    <row r="22" spans="1:16" ht="14.1" customHeight="1" x14ac:dyDescent="0.2">
      <c r="A22" s="875"/>
      <c r="B22" s="98" t="s">
        <v>259</v>
      </c>
      <c r="C22" s="568" t="s">
        <v>303</v>
      </c>
      <c r="D22" s="543">
        <f>IF(T!$A$4&gt;=D$50,INDEX([2]DS!$B38:$AK38,1,3*MONTH(D$5&amp;$A$3))/1000,"")</f>
        <v>1970.9617956427305</v>
      </c>
      <c r="E22" s="543">
        <f>IF(T!$A$4&gt;=E$50,INDEX([2]DS!$B38:$AK38,1,3*MONTH(E$5&amp;$A$3))/1000,"")</f>
        <v>1796.5965963848589</v>
      </c>
      <c r="F22" s="570">
        <f>IF(T!$A$4&gt;=F$50,INDEX([2]DS!$B38:$AK38,1,3*MONTH(F$5&amp;$A$3))/1000,"")</f>
        <v>1455.6892118568792</v>
      </c>
      <c r="G22" s="543">
        <f>IF(T!$A$4&gt;=G$50,INDEX([2]DS!$B38:$AK38,1,3*MONTH(G$5&amp;$A$3))/1000,"")</f>
        <v>903.30827032261004</v>
      </c>
      <c r="H22" s="530" t="str">
        <f>IF(T!$A$4&gt;=H$50,INDEX([2]DS!$B38:$AK38,1,3*MONTH(H$5&amp;$A$3))/1000,"")</f>
        <v/>
      </c>
      <c r="I22" s="545" t="str">
        <f>IF(T!$A$4&gt;=I$50,INDEX([2]DS!$B38:$AK38,1,3*MONTH(I$5&amp;$A$3))/1000,"")</f>
        <v/>
      </c>
      <c r="J22" s="530" t="str">
        <f>IF(T!$A$4&gt;=J$50,INDEX([2]DS!$B38:$AK38,1,3*MONTH(J$5&amp;$A$3))/1000,"")</f>
        <v/>
      </c>
      <c r="K22" s="530" t="str">
        <f>IF(T!$A$4&gt;=K$50,INDEX([2]DS!$B38:$AK38,1,3*MONTH(K$5&amp;$A$3))/1000,"")</f>
        <v/>
      </c>
      <c r="L22" s="545" t="str">
        <f>IF(T!$A$4&gt;=L$50,INDEX([2]DS!$B38:$AK38,1,3*MONTH(L$5&amp;$A$3))/1000,"")</f>
        <v/>
      </c>
      <c r="M22" s="530" t="str">
        <f>IF(T!$A$4&gt;=M$50,INDEX([2]DS!$B38:$AK38,1,3*MONTH(M$5&amp;$A$3))/1000,"")</f>
        <v/>
      </c>
      <c r="N22" s="530" t="str">
        <f>IF(T!$A$4&gt;=N$50,INDEX([2]DS!$B38:$AK38,1,3*MONTH(N$5&amp;$A$3))/1000,"")</f>
        <v/>
      </c>
      <c r="O22" s="530" t="str">
        <f>IF(T!$A$4&gt;=O$50,INDEX([2]DS!$B38:$AK38,1,3*MONTH(O$5&amp;$A$3))/1000,"")</f>
        <v/>
      </c>
      <c r="P22" s="590">
        <f t="shared" ref="P22" si="3">SUM(D22:O22)</f>
        <v>6126.5558742070789</v>
      </c>
    </row>
    <row r="23" spans="1:16" ht="14.1" customHeight="1" x14ac:dyDescent="0.2">
      <c r="A23" s="875"/>
      <c r="B23" s="732" t="s">
        <v>257</v>
      </c>
      <c r="C23" s="733" t="s">
        <v>251</v>
      </c>
      <c r="D23" s="734">
        <f>IF(T!$A$4&gt;=D$50,D21/D$40,"")</f>
        <v>0.17151487523127137</v>
      </c>
      <c r="E23" s="734">
        <f>IF(T!$A$4&gt;=E$50,E21/E$40,"")</f>
        <v>0.17070746319383825</v>
      </c>
      <c r="F23" s="735">
        <f>IF(T!$A$4&gt;=F$50,F21/F$40,"")</f>
        <v>0.15821160283214028</v>
      </c>
      <c r="G23" s="734">
        <f>IF(T!$A$4&gt;=G$50,G21/G$40,"")</f>
        <v>0.13633171674494632</v>
      </c>
      <c r="H23" s="736" t="str">
        <f>IF(T!$A$4&gt;=H$50,H21/H$40,"")</f>
        <v/>
      </c>
      <c r="I23" s="737" t="str">
        <f>IF(T!$A$4&gt;=I$50,I21/I$40,"")</f>
        <v/>
      </c>
      <c r="J23" s="736" t="str">
        <f>IF(T!$A$4&gt;=J$50,J21/J$40,"")</f>
        <v/>
      </c>
      <c r="K23" s="736" t="str">
        <f>IF(T!$A$4&gt;=K$50,K21/K$40,"")</f>
        <v/>
      </c>
      <c r="L23" s="737" t="str">
        <f>IF(T!$A$4&gt;=L$50,L21/L$40,"")</f>
        <v/>
      </c>
      <c r="M23" s="736" t="str">
        <f>IF(T!$A$4&gt;=M$50,M21/M$40,"")</f>
        <v/>
      </c>
      <c r="N23" s="736" t="str">
        <f>IF(T!$A$4&gt;=N$50,N21/N$40,"")</f>
        <v/>
      </c>
      <c r="O23" s="736" t="str">
        <f>IF(T!$A$4&gt;=O$50,O21/O$40,"")</f>
        <v/>
      </c>
      <c r="P23" s="738">
        <f t="shared" ref="P23" si="4">P21/P$40</f>
        <v>0.16189944311600296</v>
      </c>
    </row>
    <row r="24" spans="1:16" ht="14.1" customHeight="1" x14ac:dyDescent="0.2">
      <c r="A24" s="875"/>
      <c r="B24" s="98" t="s">
        <v>0</v>
      </c>
      <c r="C24" s="568"/>
      <c r="D24" s="673">
        <f>IF(T!$A$4&gt;=D$50,INDEX([2]DS!$B38:$AK38,1,3*MONTH(D$5&amp;$A$3)-2),"")</f>
        <v>197927</v>
      </c>
      <c r="E24" s="673">
        <f>IF(T!$A$4&gt;=E$50,INDEX([2]DS!$B38:$AK38,1,3*MONTH(E$5&amp;$A$3)-2),"")</f>
        <v>197876</v>
      </c>
      <c r="F24" s="674">
        <f>IF(T!$A$4&gt;=F$50,INDEX([2]DS!$B38:$AK38,1,3*MONTH(F$5&amp;$A$3)-2),"")</f>
        <v>197840</v>
      </c>
      <c r="G24" s="673">
        <f>IF(T!$A$4&gt;=G$50,INDEX([2]DS!$B38:$AK38,1,3*MONTH(G$5&amp;$A$3)-2),"")</f>
        <v>197680</v>
      </c>
      <c r="H24" s="672" t="str">
        <f>IF(T!$A$4&gt;=H$50,INDEX([2]DS!$B38:$AK38,1,3*MONTH(H$5&amp;$A$3)-2),"")</f>
        <v/>
      </c>
      <c r="I24" s="675" t="str">
        <f>IF(T!$A$4&gt;=I$50,INDEX([2]DS!$B38:$AK38,1,3*MONTH(I$5&amp;$A$3)-2),"")</f>
        <v/>
      </c>
      <c r="J24" s="672" t="str">
        <f>IF(T!$A$4&gt;=J$50,INDEX([2]DS!$B38:$AK38,1,3*MONTH(J$5&amp;$A$3)-2),"")</f>
        <v/>
      </c>
      <c r="K24" s="672" t="str">
        <f>IF(T!$A$4&gt;=K$50,INDEX([2]DS!$B38:$AK38,1,3*MONTH(K$5&amp;$A$3)-2),"")</f>
        <v/>
      </c>
      <c r="L24" s="675" t="str">
        <f>IF(T!$A$4&gt;=L$50,INDEX([2]DS!$B38:$AK38,1,3*MONTH(L$5&amp;$A$3)-2),"")</f>
        <v/>
      </c>
      <c r="M24" s="672" t="str">
        <f>IF(T!$A$4&gt;=M$50,INDEX([2]DS!$B38:$AK38,1,3*MONTH(M$5&amp;$A$3)-2),"")</f>
        <v/>
      </c>
      <c r="N24" s="672" t="str">
        <f>IF(T!$A$4&gt;=N$50,INDEX([2]DS!$B38:$AK38,1,3*MONTH(N$5&amp;$A$3)-2),"")</f>
        <v/>
      </c>
      <c r="O24" s="672" t="str">
        <f>IF(T!$A$4&gt;=O$50,INDEX([2]DS!$B38:$AK38,1,3*MONTH(O$5&amp;$A$3)-2),"")</f>
        <v/>
      </c>
      <c r="P24" s="687" t="str">
        <f>O24</f>
        <v/>
      </c>
    </row>
    <row r="25" spans="1:16" ht="14.1" customHeight="1" x14ac:dyDescent="0.2">
      <c r="A25" s="875"/>
      <c r="B25" s="569" t="s">
        <v>258</v>
      </c>
      <c r="C25" s="568" t="s">
        <v>251</v>
      </c>
      <c r="D25" s="676">
        <f>IF(T!$A$4&gt;=D$50,D24/D$42,"")</f>
        <v>6.946883770165678E-2</v>
      </c>
      <c r="E25" s="684">
        <f>IF(T!$A$4&gt;=E$50,E24/E$42,"")</f>
        <v>6.9459470274831694E-2</v>
      </c>
      <c r="F25" s="677">
        <f>IF(T!$A$4&gt;=F$50,F24/F$42,"")</f>
        <v>6.9481515612971376E-2</v>
      </c>
      <c r="G25" s="676">
        <f>IF(T!$A$4&gt;=G$50,G24/G$42,"")</f>
        <v>6.9457352138726378E-2</v>
      </c>
      <c r="H25" s="388" t="str">
        <f>IF(T!$A$4&gt;=H$50,H24/H$42,"")</f>
        <v/>
      </c>
      <c r="I25" s="678" t="str">
        <f>IF(T!$A$4&gt;=I$50,I24/I$42,"")</f>
        <v/>
      </c>
      <c r="J25" s="388" t="str">
        <f>IF(T!$A$4&gt;=J$50,J24/J$42,"")</f>
        <v/>
      </c>
      <c r="K25" s="388" t="str">
        <f>IF(T!$A$4&gt;=K$50,K24/K$42,"")</f>
        <v/>
      </c>
      <c r="L25" s="678" t="str">
        <f>IF(T!$A$4&gt;=L$50,L24/L$42,"")</f>
        <v/>
      </c>
      <c r="M25" s="388" t="str">
        <f>IF(T!$A$4&gt;=M$50,M24/M$42,"")</f>
        <v/>
      </c>
      <c r="N25" s="388" t="str">
        <f>IF(T!$A$4&gt;=N$50,N24/N$42,"")</f>
        <v/>
      </c>
      <c r="O25" s="388" t="str">
        <f>IF(T!$A$4&gt;=O$50,O24/O$42,"")</f>
        <v/>
      </c>
      <c r="P25" s="685" t="str">
        <f>IF(T!$A$4&gt;=O$50,P24/P$42,"")</f>
        <v/>
      </c>
    </row>
    <row r="26" spans="1:16" ht="5.0999999999999996" customHeight="1" x14ac:dyDescent="0.2">
      <c r="A26" s="876"/>
      <c r="B26" s="579"/>
      <c r="C26" s="577"/>
      <c r="D26" s="547"/>
      <c r="E26" s="547"/>
      <c r="F26" s="578"/>
      <c r="G26" s="547"/>
      <c r="H26" s="549"/>
      <c r="I26" s="550"/>
      <c r="J26" s="549"/>
      <c r="K26" s="549"/>
      <c r="L26" s="550"/>
      <c r="M26" s="549"/>
      <c r="N26" s="549"/>
      <c r="O26" s="549"/>
      <c r="P26" s="591"/>
    </row>
    <row r="27" spans="1:16" ht="5.0999999999999996" customHeight="1" x14ac:dyDescent="0.2">
      <c r="A27" s="879" t="s">
        <v>9</v>
      </c>
      <c r="B27" s="519"/>
      <c r="C27" s="520"/>
      <c r="D27" s="499"/>
      <c r="E27" s="499"/>
      <c r="F27" s="521"/>
      <c r="G27" s="499"/>
      <c r="H27" s="499"/>
      <c r="I27" s="521"/>
      <c r="J27" s="499"/>
      <c r="K27" s="499"/>
      <c r="L27" s="521"/>
      <c r="M27" s="499"/>
      <c r="N27" s="499"/>
      <c r="O27" s="686"/>
      <c r="P27" s="589"/>
    </row>
    <row r="28" spans="1:16" ht="14.1" customHeight="1" x14ac:dyDescent="0.2">
      <c r="A28" s="875"/>
      <c r="B28" s="98" t="s">
        <v>259</v>
      </c>
      <c r="C28" s="568" t="s">
        <v>250</v>
      </c>
      <c r="D28" s="543">
        <f>IF(T!$A$4&gt;=D$50,INDEX([2]DS!$B39:$AK39,1,3*MONTH(D$5&amp;$A$3)-1)/1000,"")</f>
        <v>380.09252846704175</v>
      </c>
      <c r="E28" s="543">
        <f>IF(T!$A$4&gt;=E$50,INDEX([2]DS!$B39:$AK39,1,3*MONTH(E$5&amp;$A$3)-1)/1000,"")</f>
        <v>345.72292906950554</v>
      </c>
      <c r="F28" s="570">
        <f>IF(T!$A$4&gt;=F$50,INDEX([2]DS!$B39:$AK39,1,3*MONTH(F$5&amp;$A$3)-1)/1000,"")</f>
        <v>279.45456243630036</v>
      </c>
      <c r="G28" s="543">
        <f>IF(T!$A$4&gt;=G$50,INDEX([2]DS!$B39:$AK39,1,3*MONTH(G$5&amp;$A$3)-1)/1000,"")</f>
        <v>174.77195921512549</v>
      </c>
      <c r="H28" s="530" t="str">
        <f>IF(T!$A$4&gt;=H$50,INDEX([2]DS!$B39:$AK39,1,3*MONTH(H$5&amp;$A$3)-1)/1000,"")</f>
        <v/>
      </c>
      <c r="I28" s="545" t="str">
        <f>IF(T!$A$4&gt;=I$50,INDEX([2]DS!$B39:$AK39,1,3*MONTH(I$5&amp;$A$3)-1)/1000,"")</f>
        <v/>
      </c>
      <c r="J28" s="530" t="str">
        <f>IF(T!$A$4&gt;=J$50,INDEX([2]DS!$B39:$AK39,1,3*MONTH(J$5&amp;$A$3)-1)/1000,"")</f>
        <v/>
      </c>
      <c r="K28" s="530" t="str">
        <f>IF(T!$A$4&gt;=K$50,INDEX([2]DS!$B39:$AK39,1,3*MONTH(K$5&amp;$A$3)-1)/1000,"")</f>
        <v/>
      </c>
      <c r="L28" s="545" t="str">
        <f>IF(T!$A$4&gt;=L$50,INDEX([2]DS!$B39:$AK39,1,3*MONTH(L$5&amp;$A$3)-1)/1000,"")</f>
        <v/>
      </c>
      <c r="M28" s="530" t="str">
        <f>IF(T!$A$4&gt;=M$50,INDEX([2]DS!$B39:$AK39,1,3*MONTH(M$5&amp;$A$3)-1)/1000,"")</f>
        <v/>
      </c>
      <c r="N28" s="530" t="str">
        <f>IF(T!$A$4&gt;=N$50,INDEX([2]DS!$B39:$AK39,1,3*MONTH(N$5&amp;$A$3)-1)/1000,"")</f>
        <v/>
      </c>
      <c r="O28" s="530" t="str">
        <f>IF(T!$A$4&gt;=O$50,INDEX([2]DS!$B39:$AK39,1,3*MONTH(O$5&amp;$A$3)-1)/1000,"")</f>
        <v/>
      </c>
      <c r="P28" s="590">
        <f>SUM(D28:O28)</f>
        <v>1180.0419791879731</v>
      </c>
    </row>
    <row r="29" spans="1:16" ht="14.1" customHeight="1" x14ac:dyDescent="0.2">
      <c r="A29" s="875"/>
      <c r="B29" s="98" t="s">
        <v>259</v>
      </c>
      <c r="C29" s="568" t="s">
        <v>303</v>
      </c>
      <c r="D29" s="543">
        <f>IF(T!$A$4&gt;=D$50,INDEX([2]DS!$B39:$AK39,1,3*MONTH(D$5&amp;$A$3))/1000,"")</f>
        <v>4040.0918949251254</v>
      </c>
      <c r="E29" s="543">
        <f>IF(T!$A$4&gt;=E$50,INDEX([2]DS!$B39:$AK39,1,3*MONTH(E$5&amp;$A$3))/1000,"")</f>
        <v>3676.2133806149886</v>
      </c>
      <c r="F29" s="570">
        <f>IF(T!$A$4&gt;=F$50,INDEX([2]DS!$B39:$AK39,1,3*MONTH(F$5&amp;$A$3))/1000,"")</f>
        <v>2970.9536981429555</v>
      </c>
      <c r="G29" s="543">
        <f>IF(T!$A$4&gt;=G$50,INDEX([2]DS!$B39:$AK39,1,3*MONTH(G$5&amp;$A$3))/1000,"")</f>
        <v>1859.4300816773416</v>
      </c>
      <c r="H29" s="530" t="str">
        <f>IF(T!$A$4&gt;=H$50,INDEX([2]DS!$B39:$AK39,1,3*MONTH(H$5&amp;$A$3))/1000,"")</f>
        <v/>
      </c>
      <c r="I29" s="545" t="str">
        <f>IF(T!$A$4&gt;=I$50,INDEX([2]DS!$B39:$AK39,1,3*MONTH(I$5&amp;$A$3))/1000,"")</f>
        <v/>
      </c>
      <c r="J29" s="530" t="str">
        <f>IF(T!$A$4&gt;=J$50,INDEX([2]DS!$B39:$AK39,1,3*MONTH(J$5&amp;$A$3))/1000,"")</f>
        <v/>
      </c>
      <c r="K29" s="530" t="str">
        <f>IF(T!$A$4&gt;=K$50,INDEX([2]DS!$B39:$AK39,1,3*MONTH(K$5&amp;$A$3))/1000,"")</f>
        <v/>
      </c>
      <c r="L29" s="545" t="str">
        <f>IF(T!$A$4&gt;=L$50,INDEX([2]DS!$B39:$AK39,1,3*MONTH(L$5&amp;$A$3))/1000,"")</f>
        <v/>
      </c>
      <c r="M29" s="530" t="str">
        <f>IF(T!$A$4&gt;=M$50,INDEX([2]DS!$B39:$AK39,1,3*MONTH(M$5&amp;$A$3))/1000,"")</f>
        <v/>
      </c>
      <c r="N29" s="530" t="str">
        <f>IF(T!$A$4&gt;=N$50,INDEX([2]DS!$B39:$AK39,1,3*MONTH(N$5&amp;$A$3))/1000,"")</f>
        <v/>
      </c>
      <c r="O29" s="530" t="str">
        <f>IF(T!$A$4&gt;=O$50,INDEX([2]DS!$B39:$AK39,1,3*MONTH(O$5&amp;$A$3))/1000,"")</f>
        <v/>
      </c>
      <c r="P29" s="590">
        <f t="shared" ref="P29" si="5">SUM(D29:O29)</f>
        <v>12546.689055360412</v>
      </c>
    </row>
    <row r="30" spans="1:16" ht="14.1" customHeight="1" x14ac:dyDescent="0.2">
      <c r="A30" s="875"/>
      <c r="B30" s="732" t="s">
        <v>257</v>
      </c>
      <c r="C30" s="733" t="s">
        <v>251</v>
      </c>
      <c r="D30" s="734">
        <f>IF(T!$A$4&gt;=D$50,D28/D$40,"")</f>
        <v>0.35152066884388633</v>
      </c>
      <c r="E30" s="734">
        <f>IF(T!$A$4&gt;=E$50,E28/E$40,"")</f>
        <v>0.34926201708418608</v>
      </c>
      <c r="F30" s="735">
        <f>IF(T!$A$4&gt;=F$50,F28/F$40,"")</f>
        <v>0.32286988989858412</v>
      </c>
      <c r="G30" s="734">
        <f>IF(T!$A$4&gt;=G$50,G28/G$40,"")</f>
        <v>0.28061901705768372</v>
      </c>
      <c r="H30" s="736" t="str">
        <f>IF(T!$A$4&gt;=H$50,H28/H$40,"")</f>
        <v/>
      </c>
      <c r="I30" s="737" t="str">
        <f>IF(T!$A$4&gt;=I$50,I28/I$40,"")</f>
        <v/>
      </c>
      <c r="J30" s="736" t="str">
        <f>IF(T!$A$4&gt;=J$50,J28/J$40,"")</f>
        <v/>
      </c>
      <c r="K30" s="736" t="str">
        <f>IF(T!$A$4&gt;=K$50,K28/K$40,"")</f>
        <v/>
      </c>
      <c r="L30" s="737" t="str">
        <f>IF(T!$A$4&gt;=L$50,L28/L$40,"")</f>
        <v/>
      </c>
      <c r="M30" s="736" t="str">
        <f>IF(T!$A$4&gt;=M$50,M28/M$40,"")</f>
        <v/>
      </c>
      <c r="N30" s="736" t="str">
        <f>IF(T!$A$4&gt;=N$50,N28/N$40,"")</f>
        <v/>
      </c>
      <c r="O30" s="736" t="str">
        <f>IF(T!$A$4&gt;=O$50,O28/O$40,"")</f>
        <v/>
      </c>
      <c r="P30" s="738">
        <f t="shared" ref="P30" si="6">P28/P$40</f>
        <v>0.33152001242789392</v>
      </c>
    </row>
    <row r="31" spans="1:16" ht="14.1" customHeight="1" x14ac:dyDescent="0.2">
      <c r="A31" s="875"/>
      <c r="B31" s="98" t="s">
        <v>0</v>
      </c>
      <c r="C31" s="568"/>
      <c r="D31" s="673">
        <f>IF(T!$A$4&gt;=D$50,INDEX([2]DS!$B39:$AK39,1,3*MONTH(D$5&amp;$A$3)-2),"")</f>
        <v>2642786</v>
      </c>
      <c r="E31" s="673">
        <f>IF(T!$A$4&gt;=E$50,INDEX([2]DS!$B39:$AK39,1,3*MONTH(E$5&amp;$A$3)-2),"")</f>
        <v>2642487</v>
      </c>
      <c r="F31" s="674">
        <f>IF(T!$A$4&gt;=F$50,INDEX([2]DS!$B39:$AK39,1,3*MONTH(F$5&amp;$A$3)-2),"")</f>
        <v>2641197</v>
      </c>
      <c r="G31" s="673">
        <f>IF(T!$A$4&gt;=G$50,INDEX([2]DS!$B39:$AK39,1,3*MONTH(G$5&amp;$A$3)-2),"")</f>
        <v>2640050</v>
      </c>
      <c r="H31" s="672" t="str">
        <f>IF(T!$A$4&gt;=H$50,INDEX([2]DS!$B39:$AK39,1,3*MONTH(H$5&amp;$A$3)-2),"")</f>
        <v/>
      </c>
      <c r="I31" s="675" t="str">
        <f>IF(T!$A$4&gt;=I$50,INDEX([2]DS!$B39:$AK39,1,3*MONTH(I$5&amp;$A$3)-2),"")</f>
        <v/>
      </c>
      <c r="J31" s="672" t="str">
        <f>IF(T!$A$4&gt;=J$50,INDEX([2]DS!$B39:$AK39,1,3*MONTH(J$5&amp;$A$3)-2),"")</f>
        <v/>
      </c>
      <c r="K31" s="672" t="str">
        <f>IF(T!$A$4&gt;=K$50,INDEX([2]DS!$B39:$AK39,1,3*MONTH(K$5&amp;$A$3)-2),"")</f>
        <v/>
      </c>
      <c r="L31" s="675" t="str">
        <f>IF(T!$A$4&gt;=L$50,INDEX([2]DS!$B39:$AK39,1,3*MONTH(L$5&amp;$A$3)-2),"")</f>
        <v/>
      </c>
      <c r="M31" s="672" t="str">
        <f>IF(T!$A$4&gt;=M$50,INDEX([2]DS!$B39:$AK39,1,3*MONTH(M$5&amp;$A$3)-2),"")</f>
        <v/>
      </c>
      <c r="N31" s="672" t="str">
        <f>IF(T!$A$4&gt;=N$50,INDEX([2]DS!$B39:$AK39,1,3*MONTH(N$5&amp;$A$3)-2),"")</f>
        <v/>
      </c>
      <c r="O31" s="672" t="str">
        <f>IF(T!$A$4&gt;=O$50,INDEX([2]DS!$B39:$AK39,1,3*MONTH(O$5&amp;$A$3)-2),"")</f>
        <v/>
      </c>
      <c r="P31" s="687" t="str">
        <f>O31</f>
        <v/>
      </c>
    </row>
    <row r="32" spans="1:16" ht="14.1" customHeight="1" x14ac:dyDescent="0.2">
      <c r="A32" s="875"/>
      <c r="B32" s="569" t="s">
        <v>258</v>
      </c>
      <c r="C32" s="568" t="s">
        <v>251</v>
      </c>
      <c r="D32" s="676">
        <f>IF(T!$A$4&gt;=D$50,D31/D$42,"")</f>
        <v>0.92757062813163793</v>
      </c>
      <c r="E32" s="684">
        <f>IF(T!$A$4&gt;=E$50,E31/E$42,"")</f>
        <v>0.92757963183068792</v>
      </c>
      <c r="F32" s="677">
        <f>IF(T!$A$4&gt;=F$50,F31/F$42,"")</f>
        <v>0.92758982305111792</v>
      </c>
      <c r="G32" s="676">
        <f>IF(T!$A$4&gt;=G$50,G31/G$42,"")</f>
        <v>0.92761474359492391</v>
      </c>
      <c r="H32" s="388" t="str">
        <f>IF(T!$A$4&gt;=H$50,H31/H$42,"")</f>
        <v/>
      </c>
      <c r="I32" s="678" t="str">
        <f>IF(T!$A$4&gt;=I$50,I31/I$42,"")</f>
        <v/>
      </c>
      <c r="J32" s="388" t="str">
        <f>IF(T!$A$4&gt;=J$50,J31/J$42,"")</f>
        <v/>
      </c>
      <c r="K32" s="388" t="str">
        <f>IF(T!$A$4&gt;=K$50,K31/K$42,"")</f>
        <v/>
      </c>
      <c r="L32" s="678" t="str">
        <f>IF(T!$A$4&gt;=L$50,L31/L$42,"")</f>
        <v/>
      </c>
      <c r="M32" s="388" t="str">
        <f>IF(T!$A$4&gt;=M$50,M31/M$42,"")</f>
        <v/>
      </c>
      <c r="N32" s="388" t="str">
        <f>IF(T!$A$4&gt;=N$50,N31/N$42,"")</f>
        <v/>
      </c>
      <c r="O32" s="388" t="str">
        <f>IF(T!$A$4&gt;=O$50,O31/O$42,"")</f>
        <v/>
      </c>
      <c r="P32" s="685" t="str">
        <f>IF(T!$A$4&gt;=O$50,P31/P$42,"")</f>
        <v/>
      </c>
    </row>
    <row r="33" spans="1:16" ht="5.0999999999999996" customHeight="1" x14ac:dyDescent="0.2">
      <c r="A33" s="876"/>
      <c r="B33" s="579"/>
      <c r="C33" s="577"/>
      <c r="D33" s="547"/>
      <c r="E33" s="547"/>
      <c r="F33" s="578"/>
      <c r="G33" s="547"/>
      <c r="H33" s="549"/>
      <c r="I33" s="550"/>
      <c r="J33" s="549"/>
      <c r="K33" s="549"/>
      <c r="L33" s="550"/>
      <c r="M33" s="549"/>
      <c r="N33" s="549"/>
      <c r="O33" s="549"/>
      <c r="P33" s="591"/>
    </row>
    <row r="34" spans="1:16" ht="5.0999999999999996" customHeight="1" x14ac:dyDescent="0.2">
      <c r="A34" s="882" t="s">
        <v>178</v>
      </c>
      <c r="B34" s="519"/>
      <c r="C34" s="581"/>
      <c r="D34" s="582"/>
      <c r="E34" s="582"/>
      <c r="F34" s="583"/>
      <c r="G34" s="582"/>
      <c r="H34" s="582"/>
      <c r="I34" s="583"/>
      <c r="J34" s="582"/>
      <c r="K34" s="582"/>
      <c r="L34" s="583"/>
      <c r="M34" s="582"/>
      <c r="N34" s="582"/>
      <c r="O34" s="582"/>
      <c r="P34" s="592"/>
    </row>
    <row r="35" spans="1:16" ht="14.1" customHeight="1" x14ac:dyDescent="0.2">
      <c r="A35" s="883"/>
      <c r="B35" s="98" t="s">
        <v>259</v>
      </c>
      <c r="C35" s="568" t="s">
        <v>250</v>
      </c>
      <c r="D35" s="543">
        <f>IF(T!$A$4&gt;=D$50,INDEX([2]DS!$B40:$AK40,1,3*MONTH(D$5&amp;$A$3)-1)/1000,"")</f>
        <v>20.659968092408928</v>
      </c>
      <c r="E35" s="543">
        <f>IF(T!$A$4&gt;=E$50,INDEX([2]DS!$B40:$AK40,1,3*MONTH(E$5&amp;$A$3)-1)/1000,"")</f>
        <v>20.358369064683973</v>
      </c>
      <c r="F35" s="570">
        <f>IF(T!$A$4&gt;=F$50,INDEX([2]DS!$B40:$AK40,1,3*MONTH(F$5&amp;$A$3)-1)/1000,"")</f>
        <v>16.79553672233488</v>
      </c>
      <c r="G35" s="543">
        <f>IF(T!$A$4&gt;=G$50,INDEX([2]DS!$B40:$AK40,1,3*MONTH(G$5&amp;$A$3)-1)/1000,"")</f>
        <v>13.251335840089334</v>
      </c>
      <c r="H35" s="530" t="str">
        <f>IF(T!$A$4&gt;=H$50,INDEX([2]DS!$B40:$AK40,1,3*MONTH(H$5&amp;$A$3)-1)/1000,"")</f>
        <v/>
      </c>
      <c r="I35" s="545" t="str">
        <f>IF(T!$A$4&gt;=I$50,INDEX([2]DS!$B40:$AK40,1,3*MONTH(I$5&amp;$A$3)-1)/1000,"")</f>
        <v/>
      </c>
      <c r="J35" s="530" t="str">
        <f>IF(T!$A$4&gt;=J$50,INDEX([2]DS!$B40:$AK40,1,3*MONTH(J$5&amp;$A$3)-1)/1000,"")</f>
        <v/>
      </c>
      <c r="K35" s="530" t="str">
        <f>IF(T!$A$4&gt;=K$50,INDEX([2]DS!$B40:$AK40,1,3*MONTH(K$5&amp;$A$3)-1)/1000,"")</f>
        <v/>
      </c>
      <c r="L35" s="545" t="str">
        <f>IF(T!$A$4&gt;=L$50,INDEX([2]DS!$B40:$AK40,1,3*MONTH(L$5&amp;$A$3)-1)/1000,"")</f>
        <v/>
      </c>
      <c r="M35" s="530" t="str">
        <f>IF(T!$A$4&gt;=M$50,INDEX([2]DS!$B40:$AK40,1,3*MONTH(M$5&amp;$A$3)-1)/1000,"")</f>
        <v/>
      </c>
      <c r="N35" s="530" t="str">
        <f>IF(T!$A$4&gt;=N$50,INDEX([2]DS!$B40:$AK40,1,3*MONTH(N$5&amp;$A$3)-1)/1000,"")</f>
        <v/>
      </c>
      <c r="O35" s="530" t="str">
        <f>IF(T!$A$4&gt;=O$50,INDEX([2]DS!$B40:$AK40,1,3*MONTH(O$5&amp;$A$3)-1)/1000,"")</f>
        <v/>
      </c>
      <c r="P35" s="590">
        <f>SUM(D35:O35)</f>
        <v>71.065209719517114</v>
      </c>
    </row>
    <row r="36" spans="1:16" ht="14.1" customHeight="1" x14ac:dyDescent="0.2">
      <c r="A36" s="883"/>
      <c r="B36" s="98" t="s">
        <v>259</v>
      </c>
      <c r="C36" s="568" t="s">
        <v>303</v>
      </c>
      <c r="D36" s="543">
        <f>IF(T!$A$4&gt;=D$50,INDEX([2]DS!$B40:$AK40,1,3*MONTH(D$5&amp;$A$3))/1000,"")</f>
        <v>219.62695818</v>
      </c>
      <c r="E36" s="543">
        <f>IF(T!$A$4&gt;=E$50,INDEX([2]DS!$B40:$AK40,1,3*MONTH(E$5&amp;$A$3))/1000,"")</f>
        <v>216.47732603215218</v>
      </c>
      <c r="F36" s="570">
        <f>IF(T!$A$4&gt;=F$50,INDEX([2]DS!$B40:$AK40,1,3*MONTH(F$5&amp;$A$3))/1000,"")</f>
        <v>178.82983849000001</v>
      </c>
      <c r="G36" s="543">
        <f>IF(T!$A$4&gt;=G$50,INDEX([2]DS!$B40:$AK40,1,3*MONTH(G$5&amp;$A$3))/1000,"")</f>
        <v>141.00974815999996</v>
      </c>
      <c r="H36" s="530" t="str">
        <f>IF(T!$A$4&gt;=H$50,INDEX([2]DS!$B40:$AK40,1,3*MONTH(H$5&amp;$A$3))/1000,"")</f>
        <v/>
      </c>
      <c r="I36" s="545" t="str">
        <f>IF(T!$A$4&gt;=I$50,INDEX([2]DS!$B40:$AK40,1,3*MONTH(I$5&amp;$A$3))/1000,"")</f>
        <v/>
      </c>
      <c r="J36" s="530" t="str">
        <f>IF(T!$A$4&gt;=J$50,INDEX([2]DS!$B40:$AK40,1,3*MONTH(J$5&amp;$A$3))/1000,"")</f>
        <v/>
      </c>
      <c r="K36" s="530" t="str">
        <f>IF(T!$A$4&gt;=K$50,INDEX([2]DS!$B40:$AK40,1,3*MONTH(K$5&amp;$A$3))/1000,"")</f>
        <v/>
      </c>
      <c r="L36" s="545" t="str">
        <f>IF(T!$A$4&gt;=L$50,INDEX([2]DS!$B40:$AK40,1,3*MONTH(L$5&amp;$A$3))/1000,"")</f>
        <v/>
      </c>
      <c r="M36" s="530" t="str">
        <f>IF(T!$A$4&gt;=M$50,INDEX([2]DS!$B40:$AK40,1,3*MONTH(M$5&amp;$A$3))/1000,"")</f>
        <v/>
      </c>
      <c r="N36" s="530" t="str">
        <f>IF(T!$A$4&gt;=N$50,INDEX([2]DS!$B40:$AK40,1,3*MONTH(N$5&amp;$A$3))/1000,"")</f>
        <v/>
      </c>
      <c r="O36" s="530" t="str">
        <f>IF(T!$A$4&gt;=O$50,INDEX([2]DS!$B40:$AK40,1,3*MONTH(O$5&amp;$A$3))/1000,"")</f>
        <v/>
      </c>
      <c r="P36" s="590">
        <f>SUM(D36:O36)</f>
        <v>755.94387086215215</v>
      </c>
    </row>
    <row r="37" spans="1:16" ht="14.1" customHeight="1" x14ac:dyDescent="0.2">
      <c r="A37" s="883"/>
      <c r="B37" s="569" t="s">
        <v>257</v>
      </c>
      <c r="C37" s="576" t="s">
        <v>251</v>
      </c>
      <c r="D37" s="676">
        <f>IF(T!$A$4&gt;=D$50,D35/D$40,"")</f>
        <v>1.9106941752912325E-2</v>
      </c>
      <c r="E37" s="676">
        <f>IF(T!$A$4&gt;=E$50,E35/E$40,"")</f>
        <v>2.0566773118615787E-2</v>
      </c>
      <c r="F37" s="677">
        <f>IF(T!$A$4&gt;=F$50,F35/F$40,"")</f>
        <v>1.9404847231878602E-2</v>
      </c>
      <c r="G37" s="676">
        <f>IF(T!$A$4&gt;=G$50,G35/G$40,"")</f>
        <v>2.1276736009865037E-2</v>
      </c>
      <c r="H37" s="388" t="str">
        <f>IF(T!$A$4&gt;=H$50,H35/H$40,"")</f>
        <v/>
      </c>
      <c r="I37" s="678" t="str">
        <f>IF(T!$A$4&gt;=I$50,I35/I$40,"")</f>
        <v/>
      </c>
      <c r="J37" s="388" t="str">
        <f>IF(T!$A$4&gt;=J$50,J35/J$40,"")</f>
        <v/>
      </c>
      <c r="K37" s="388" t="str">
        <f>IF(T!$A$4&gt;=K$50,K35/K$40,"")</f>
        <v/>
      </c>
      <c r="L37" s="678" t="str">
        <f>IF(T!$A$4&gt;=L$50,L35/L$40,"")</f>
        <v/>
      </c>
      <c r="M37" s="388" t="str">
        <f>IF(T!$A$4&gt;=M$50,M35/M$40,"")</f>
        <v/>
      </c>
      <c r="N37" s="388" t="str">
        <f>IF(T!$A$4&gt;=N$50,N35/N$40,"")</f>
        <v/>
      </c>
      <c r="O37" s="388" t="str">
        <f>IF(T!$A$4&gt;=O$50,O35/O$40,"")</f>
        <v/>
      </c>
      <c r="P37" s="685">
        <f t="shared" ref="P37" si="7">P35/P$40</f>
        <v>1.9965000927863026E-2</v>
      </c>
    </row>
    <row r="38" spans="1:16" ht="5.0999999999999996" customHeight="1" thickBot="1" x14ac:dyDescent="0.25">
      <c r="A38" s="884"/>
      <c r="B38" s="584"/>
      <c r="C38" s="585"/>
      <c r="D38" s="586"/>
      <c r="E38" s="586"/>
      <c r="F38" s="586"/>
      <c r="G38" s="584"/>
      <c r="H38" s="586"/>
      <c r="I38" s="587"/>
      <c r="J38" s="586"/>
      <c r="K38" s="586"/>
      <c r="L38" s="586"/>
      <c r="M38" s="584"/>
      <c r="N38" s="586"/>
      <c r="O38" s="586"/>
      <c r="P38" s="593"/>
    </row>
    <row r="39" spans="1:16" ht="5.0999999999999996" customHeight="1" thickTop="1" x14ac:dyDescent="0.2">
      <c r="A39" s="885" t="s">
        <v>5</v>
      </c>
      <c r="B39" s="598"/>
      <c r="C39" s="599"/>
      <c r="D39" s="600"/>
      <c r="E39" s="600"/>
      <c r="F39" s="601"/>
      <c r="G39" s="600"/>
      <c r="H39" s="600"/>
      <c r="I39" s="601"/>
      <c r="J39" s="600"/>
      <c r="K39" s="600"/>
      <c r="L39" s="601"/>
      <c r="M39" s="600"/>
      <c r="N39" s="600"/>
      <c r="O39" s="600"/>
      <c r="P39" s="602"/>
    </row>
    <row r="40" spans="1:16" x14ac:dyDescent="0.2">
      <c r="A40" s="885"/>
      <c r="B40" s="564" t="s">
        <v>259</v>
      </c>
      <c r="C40" s="566" t="s">
        <v>250</v>
      </c>
      <c r="D40" s="522">
        <f>IF(T!$A$4&gt;=D$50,D7+D14+D21+D28+D35,"")</f>
        <v>1081.2807386749837</v>
      </c>
      <c r="E40" s="523">
        <f>IF(T!$A$4&gt;=E$50,E7+E14+E21+E28+E35,"")</f>
        <v>989.86695420181502</v>
      </c>
      <c r="F40" s="524">
        <f>IF(T!$A$4&gt;=F$50,F7+F14+F21+F28+F35,"")</f>
        <v>865.53305582034659</v>
      </c>
      <c r="G40" s="523">
        <f>IF(T!$A$4&gt;=G$50,G7+G14+G21+G28+G35,"")</f>
        <v>622.80867864061963</v>
      </c>
      <c r="H40" s="522" t="str">
        <f>IF(T!$A$4&gt;=H$50,H7+H14+H21+H28+H35,"")</f>
        <v/>
      </c>
      <c r="I40" s="525" t="str">
        <f>IF(T!$A$4&gt;=I$50,I7+I14+I21+I28+I35,"")</f>
        <v/>
      </c>
      <c r="J40" s="522" t="str">
        <f>IF(T!$A$4&gt;=J$50,J7+J14+J21+J28+J35,"")</f>
        <v/>
      </c>
      <c r="K40" s="522" t="str">
        <f>IF(T!$A$4&gt;=K$50,K7+K14+K21+K28+K35,"")</f>
        <v/>
      </c>
      <c r="L40" s="525" t="str">
        <f>IF(T!$A$4&gt;=L$50,L7+L14+L21+L28+L35,"")</f>
        <v/>
      </c>
      <c r="M40" s="522" t="str">
        <f>IF(T!$A$4&gt;=M$50,M7+M14+M21+M28+M35,"")</f>
        <v/>
      </c>
      <c r="N40" s="522" t="str">
        <f>IF(T!$A$4&gt;=N$50,N7+N14+N21+N28+N35,"")</f>
        <v/>
      </c>
      <c r="O40" s="522" t="str">
        <f>IF(T!$A$4&gt;=O$50,O7+O14+O21+O28+O35,"")</f>
        <v/>
      </c>
      <c r="P40" s="595">
        <f>SUM(D40:O40)</f>
        <v>3559.4894273377654</v>
      </c>
    </row>
    <row r="41" spans="1:16" x14ac:dyDescent="0.2">
      <c r="A41" s="885"/>
      <c r="B41" s="739" t="s">
        <v>259</v>
      </c>
      <c r="C41" s="740" t="s">
        <v>303</v>
      </c>
      <c r="D41" s="741">
        <f>IF(T!$A$4&gt;=D$50,D8+D15+D22+D29+D36,"")</f>
        <v>11492.758327891857</v>
      </c>
      <c r="E41" s="741">
        <f>IF(T!$A$4&gt;=E$50,E8+E15+E22+E29+E36,"")</f>
        <v>10525.401374383</v>
      </c>
      <c r="F41" s="742">
        <f>IF(T!$A$4&gt;=F$50,F8+F15+F22+F29+F36,"")</f>
        <v>9201.9028527498376</v>
      </c>
      <c r="G41" s="741">
        <f>IF(T!$A$4&gt;=G$50,G8+G15+G22+G29+G36,"")</f>
        <v>6626.1086613249508</v>
      </c>
      <c r="H41" s="743" t="str">
        <f>IF(T!$A$4&gt;=H$50,H8+H15+H22+H29+H36,"")</f>
        <v/>
      </c>
      <c r="I41" s="744" t="str">
        <f>IF(T!$A$4&gt;=I$50,I8+I15+I22+I29+I36,"")</f>
        <v/>
      </c>
      <c r="J41" s="743" t="str">
        <f>IF(T!$A$4&gt;=J$50,J8+J15+J22+J29+J36,"")</f>
        <v/>
      </c>
      <c r="K41" s="743" t="str">
        <f>IF(T!$A$4&gt;=K$50,K8+K15+K22+K29+K36,"")</f>
        <v/>
      </c>
      <c r="L41" s="744" t="str">
        <f>IF(T!$A$4&gt;=L$50,L8+L15+L22+L29+L36,"")</f>
        <v/>
      </c>
      <c r="M41" s="743" t="str">
        <f>IF(T!$A$4&gt;=M$50,M8+M15+M22+M29+M36,"")</f>
        <v/>
      </c>
      <c r="N41" s="743" t="str">
        <f>IF(T!$A$4&gt;=N$50,N8+N15+N22+N29+N36,"")</f>
        <v/>
      </c>
      <c r="O41" s="743" t="str">
        <f>IF(T!$A$4&gt;=O$50,O8+O15+O22+O29+O36,"")</f>
        <v/>
      </c>
      <c r="P41" s="745">
        <f t="shared" ref="P41" si="8">SUM(D41:O41)</f>
        <v>37846.171216349649</v>
      </c>
    </row>
    <row r="42" spans="1:16" x14ac:dyDescent="0.2">
      <c r="A42" s="885"/>
      <c r="B42" s="564" t="s">
        <v>0</v>
      </c>
      <c r="C42" s="566"/>
      <c r="D42" s="679">
        <f>IF(T!$A$4&gt;=D$50,SUM(D10+D17+D24+D31),"")</f>
        <v>2849148</v>
      </c>
      <c r="E42" s="679">
        <f>IF(T!$A$4&gt;=E$50,SUM(E10+E17+E24+E31),"")</f>
        <v>2848798</v>
      </c>
      <c r="F42" s="680">
        <f>IF(T!$A$4&gt;=F$50,SUM(F10+F17+F24+F31),"")</f>
        <v>2847376</v>
      </c>
      <c r="G42" s="679">
        <f>IF(T!$A$4&gt;=G$50,SUM(G10+G17+G24+G31),"")</f>
        <v>2846063</v>
      </c>
      <c r="H42" s="681" t="str">
        <f>IF(T!$A$4&gt;=H$50,SUM(H10+H17+H24+H31),"")</f>
        <v/>
      </c>
      <c r="I42" s="682" t="str">
        <f>IF(T!$A$4&gt;=I$50,SUM(I10+I17+I24+I31),"")</f>
        <v/>
      </c>
      <c r="J42" s="681" t="str">
        <f>IF(T!$A$4&gt;=J$50,SUM(J10+J17+J24+J31),"")</f>
        <v/>
      </c>
      <c r="K42" s="681" t="str">
        <f>IF(T!$A$4&gt;=K$50,SUM(K10+K17+K24+K31),"")</f>
        <v/>
      </c>
      <c r="L42" s="682" t="str">
        <f>IF(T!$A$4&gt;=L$50,SUM(L10+L17+L24+L31),"")</f>
        <v/>
      </c>
      <c r="M42" s="681" t="str">
        <f>IF(T!$A$4&gt;=M$50,SUM(M10+M17+M24+M31),"")</f>
        <v/>
      </c>
      <c r="N42" s="681" t="str">
        <f>IF(T!$A$4&gt;=N$50,SUM(N10+N17+N24+N31),"")</f>
        <v/>
      </c>
      <c r="O42" s="681" t="str">
        <f>IF(T!$A$4&gt;=O$50,SUM(O10+O17+O24+O31),"")</f>
        <v/>
      </c>
      <c r="P42" s="688" t="str">
        <f>O42</f>
        <v/>
      </c>
    </row>
    <row r="43" spans="1:16" ht="5.0999999999999996" customHeight="1" x14ac:dyDescent="0.2">
      <c r="A43" s="886"/>
      <c r="B43" s="609"/>
      <c r="C43" s="610"/>
      <c r="D43" s="604"/>
      <c r="E43" s="604"/>
      <c r="F43" s="605"/>
      <c r="G43" s="604"/>
      <c r="H43" s="606"/>
      <c r="I43" s="607"/>
      <c r="J43" s="606"/>
      <c r="K43" s="606"/>
      <c r="L43" s="607"/>
      <c r="M43" s="606"/>
      <c r="N43" s="606"/>
      <c r="O43" s="606"/>
      <c r="P43" s="608"/>
    </row>
    <row r="44" spans="1:16" ht="5.0999999999999996" customHeight="1" x14ac:dyDescent="0.2">
      <c r="B44" s="510"/>
      <c r="C44" s="580"/>
      <c r="G44" s="510"/>
      <c r="H44" s="505"/>
      <c r="I44" s="504"/>
      <c r="M44" s="510"/>
      <c r="N44" s="505"/>
      <c r="O44" s="505"/>
      <c r="P44" s="594"/>
    </row>
    <row r="45" spans="1:16" x14ac:dyDescent="0.2">
      <c r="P45" s="39"/>
    </row>
    <row r="46" spans="1:16" ht="5.0999999999999996" customHeight="1" x14ac:dyDescent="0.2">
      <c r="A46" s="39"/>
      <c r="B46" s="39"/>
      <c r="C46" s="764"/>
      <c r="D46" s="765"/>
      <c r="E46" s="39"/>
      <c r="F46" s="766"/>
      <c r="G46" s="39"/>
      <c r="H46" s="39"/>
      <c r="I46" s="39"/>
      <c r="J46" s="765"/>
      <c r="K46" s="39"/>
      <c r="L46" s="766"/>
      <c r="M46" s="39"/>
      <c r="N46" s="39"/>
      <c r="O46" s="39"/>
      <c r="P46" s="767"/>
    </row>
    <row r="47" spans="1:16" x14ac:dyDescent="0.2">
      <c r="A47" s="880" t="s">
        <v>304</v>
      </c>
      <c r="B47" s="880"/>
      <c r="C47" s="768" t="s">
        <v>305</v>
      </c>
      <c r="D47" s="772">
        <f>IF(T!$A$4&gt;=D$50,INDEX('[9]2015'!$B$6:$AW$6,1,4*D$50-3)/1000,"")</f>
        <v>32.793244577459717</v>
      </c>
      <c r="E47" s="774">
        <f>IF(T!$A$4&gt;=E$50,INDEX('[9]2015'!$B$6:$AW$6,1,4*E$50-3)/1000,"")</f>
        <v>26.878824805038349</v>
      </c>
      <c r="F47" s="775">
        <f>IF(T!$A$4&gt;=F$50,INDEX('[9]2015'!$B$6:$AW$6,1,4*F$50-3)/1000,"")</f>
        <v>20.451244841267822</v>
      </c>
      <c r="G47" s="774">
        <f>IF(T!$A$4&gt;=G$50,INDEX('[9]2015'!$B$6:$AW$6,1,4*G$50-3)/1000,"")</f>
        <v>15.537596976853051</v>
      </c>
      <c r="H47" s="774" t="str">
        <f>IF(T!$A$4&gt;=H$50,INDEX('[9]2015'!$B$6:$AW$6,1,4*H$50-3)/1000,"")</f>
        <v/>
      </c>
      <c r="I47" s="774" t="str">
        <f>IF(T!$A$4&gt;=I$50,INDEX('[9]2015'!$B$6:$AW$6,1,4*I$50-3)/1000,"")</f>
        <v/>
      </c>
      <c r="J47" s="772" t="str">
        <f>IF(T!$A$4&gt;=J$50,INDEX('[9]2015'!$B$6:$AW$6,1,4*J$50-3)/1000,"")</f>
        <v/>
      </c>
      <c r="K47" s="774" t="str">
        <f>IF(T!$A$4&gt;=K$50,INDEX('[9]2015'!$B$6:$AW$6,1,4*K$50-3)/1000,"")</f>
        <v/>
      </c>
      <c r="L47" s="775" t="str">
        <f>IF(T!$A$4&gt;=L$50,INDEX('[9]2015'!$B$6:$AW$6,1,4*L$50-3)/1000,"")</f>
        <v/>
      </c>
      <c r="M47" s="774" t="str">
        <f>IF(T!$A$4&gt;=M$50,INDEX('[9]2015'!$B$6:$AW$6,1,4*M$50-3)/1000,"")</f>
        <v/>
      </c>
      <c r="N47" s="774" t="str">
        <f>IF(T!$A$4&gt;=N$50,INDEX('[9]2015'!$B$6:$AW$6,1,4*N$50-3)/1000,"")</f>
        <v/>
      </c>
      <c r="O47" s="774" t="str">
        <f>IF(T!$A$4&gt;=O$50,INDEX('[9]2015'!$B$6:$AW$6,1,4*O$50-3)/1000,"")</f>
        <v/>
      </c>
      <c r="P47" s="769">
        <f>SUM(D47:O47)</f>
        <v>95.660911200618941</v>
      </c>
    </row>
    <row r="48" spans="1:16" x14ac:dyDescent="0.2">
      <c r="A48" s="881" t="s">
        <v>304</v>
      </c>
      <c r="B48" s="881"/>
      <c r="C48" s="770" t="s">
        <v>303</v>
      </c>
      <c r="D48" s="773">
        <f>IF(T!$A$4&gt;=D$50,INDEX('[9]2015'!$B$6:$AW$6,1,4*D$50-2)/1000,"")</f>
        <v>348.5541000000004</v>
      </c>
      <c r="E48" s="776">
        <f>IF(T!$A$4&gt;=E$50,INDEX('[9]2015'!$B$6:$AW$6,1,4*E$50-2)/1000,"")</f>
        <v>285.80650999999995</v>
      </c>
      <c r="F48" s="777">
        <f>IF(T!$A$4&gt;=F$50,INDEX('[9]2015'!$B$6:$AW$6,1,4*F$50-2)/1000,"")</f>
        <v>217.42712999999995</v>
      </c>
      <c r="G48" s="776">
        <f>IF(T!$A$4&gt;=G$50,INDEX('[9]2015'!$B$6:$AW$6,1,4*G$50-2)/1000,"")</f>
        <v>165.30567000000008</v>
      </c>
      <c r="H48" s="776" t="str">
        <f>IF(T!$A$4&gt;=H$50,INDEX('[9]2015'!$B$6:$AW$6,1,4*H$50-2)/1000,"")</f>
        <v/>
      </c>
      <c r="I48" s="776" t="str">
        <f>IF(T!$A$4&gt;=I$50,INDEX('[9]2015'!$B$6:$AW$6,1,4*I$50-2)/1000,"")</f>
        <v/>
      </c>
      <c r="J48" s="773" t="str">
        <f>IF(T!$A$4&gt;=J$50,INDEX('[9]2015'!$B$6:$AW$6,1,4*J$50-2)/1000,"")</f>
        <v/>
      </c>
      <c r="K48" s="776" t="str">
        <f>IF(T!$A$4&gt;=K$50,INDEX('[9]2015'!$B$6:$AW$6,1,4*K$50-2)/1000,"")</f>
        <v/>
      </c>
      <c r="L48" s="777" t="str">
        <f>IF(T!$A$4&gt;=L$50,INDEX('[9]2015'!$B$6:$AW$6,1,4*L$50-2)/1000,"")</f>
        <v/>
      </c>
      <c r="M48" s="776" t="str">
        <f>IF(T!$A$4&gt;=M$50,INDEX('[9]2015'!$B$6:$AW$6,1,4*M$50-2)/1000,"")</f>
        <v/>
      </c>
      <c r="N48" s="776" t="str">
        <f>IF(T!$A$4&gt;=N$50,INDEX('[9]2015'!$B$6:$AW$6,1,4*N$50-2)/1000,"")</f>
        <v/>
      </c>
      <c r="O48" s="776" t="str">
        <f>IF(T!$A$4&gt;=O$50,INDEX('[9]2015'!$B$6:$AW$6,1,4*O$50-2)/1000,"")</f>
        <v/>
      </c>
      <c r="P48" s="771">
        <f>SUM(D48:O48)</f>
        <v>1017.0934100000004</v>
      </c>
    </row>
    <row r="49" spans="1:16" ht="5.0999999999999996" customHeight="1" x14ac:dyDescent="0.2">
      <c r="A49" s="39"/>
      <c r="B49" s="39"/>
      <c r="C49" s="764"/>
      <c r="D49" s="765"/>
      <c r="E49" s="39"/>
      <c r="F49" s="766"/>
      <c r="G49" s="39"/>
      <c r="H49" s="39"/>
      <c r="I49" s="39"/>
      <c r="J49" s="765"/>
      <c r="K49" s="39"/>
      <c r="L49" s="766"/>
      <c r="M49" s="39"/>
      <c r="N49" s="39"/>
      <c r="O49" s="39"/>
      <c r="P49" s="767"/>
    </row>
    <row r="50" spans="1:16" x14ac:dyDescent="0.2">
      <c r="D50" s="690">
        <v>1</v>
      </c>
      <c r="E50" s="690">
        <v>2</v>
      </c>
      <c r="F50" s="690">
        <v>3</v>
      </c>
      <c r="G50" s="690">
        <v>4</v>
      </c>
      <c r="H50" s="690">
        <v>5</v>
      </c>
      <c r="I50" s="690">
        <v>6</v>
      </c>
      <c r="J50" s="690">
        <v>7</v>
      </c>
      <c r="K50" s="690">
        <v>8</v>
      </c>
      <c r="L50" s="690">
        <v>9</v>
      </c>
      <c r="M50" s="690">
        <v>10</v>
      </c>
      <c r="N50" s="690">
        <v>11</v>
      </c>
      <c r="O50" s="690">
        <v>12</v>
      </c>
    </row>
  </sheetData>
  <mergeCells count="12">
    <mergeCell ref="O1:P1"/>
    <mergeCell ref="A2:P2"/>
    <mergeCell ref="A3:P3"/>
    <mergeCell ref="A6:A12"/>
    <mergeCell ref="A13:A19"/>
    <mergeCell ref="B5:C5"/>
    <mergeCell ref="A47:B47"/>
    <mergeCell ref="A48:B48"/>
    <mergeCell ref="A20:A26"/>
    <mergeCell ref="A27:A33"/>
    <mergeCell ref="A34:A38"/>
    <mergeCell ref="A39:A4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S42"/>
  <sheetViews>
    <sheetView view="pageBreakPreview" zoomScaleNormal="100" zoomScaleSheetLayoutView="100" workbookViewId="0">
      <selection activeCell="C1" sqref="C1"/>
    </sheetView>
  </sheetViews>
  <sheetFormatPr defaultRowHeight="12.75" x14ac:dyDescent="0.2"/>
  <cols>
    <col min="1" max="1" width="14.42578125" style="17" customWidth="1"/>
    <col min="2" max="2" width="18.42578125" style="17" customWidth="1"/>
    <col min="3" max="3" width="6.4257812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1" t="s">
        <v>55</v>
      </c>
      <c r="P1" s="821"/>
    </row>
    <row r="2" spans="1:17" ht="15.95" customHeight="1" x14ac:dyDescent="0.25">
      <c r="A2" s="877" t="s">
        <v>188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17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17" ht="14.1" customHeight="1" x14ac:dyDescent="0.2">
      <c r="D4" s="498"/>
      <c r="E4" s="498"/>
      <c r="F4" s="498"/>
      <c r="G4" s="498"/>
      <c r="P4" s="594"/>
    </row>
    <row r="5" spans="1:17" ht="18" customHeight="1" x14ac:dyDescent="0.2">
      <c r="A5" s="500"/>
      <c r="B5" s="516"/>
      <c r="C5" s="517"/>
      <c r="D5" s="500" t="s">
        <v>13</v>
      </c>
      <c r="E5" s="500" t="s">
        <v>58</v>
      </c>
      <c r="F5" s="518" t="s">
        <v>59</v>
      </c>
      <c r="G5" s="500" t="s">
        <v>60</v>
      </c>
      <c r="H5" s="500" t="s">
        <v>61</v>
      </c>
      <c r="I5" s="518" t="s">
        <v>62</v>
      </c>
      <c r="J5" s="500" t="s">
        <v>63</v>
      </c>
      <c r="K5" s="500" t="s">
        <v>64</v>
      </c>
      <c r="L5" s="518" t="s">
        <v>65</v>
      </c>
      <c r="M5" s="500" t="s">
        <v>66</v>
      </c>
      <c r="N5" s="500" t="s">
        <v>67</v>
      </c>
      <c r="O5" s="500" t="s">
        <v>68</v>
      </c>
      <c r="P5" s="588" t="s">
        <v>2</v>
      </c>
      <c r="Q5" s="13"/>
    </row>
    <row r="6" spans="1:17" ht="9" customHeight="1" x14ac:dyDescent="0.2">
      <c r="A6" s="879" t="s">
        <v>176</v>
      </c>
      <c r="B6" s="519"/>
      <c r="C6" s="520"/>
      <c r="D6" s="499"/>
      <c r="E6" s="499"/>
      <c r="F6" s="521"/>
      <c r="G6" s="499"/>
      <c r="H6" s="499"/>
      <c r="I6" s="521"/>
      <c r="J6" s="499"/>
      <c r="K6" s="499"/>
      <c r="L6" s="521"/>
      <c r="M6" s="499"/>
      <c r="N6" s="499"/>
      <c r="O6" s="499"/>
      <c r="P6" s="589"/>
      <c r="Q6" s="13"/>
    </row>
    <row r="7" spans="1:17" ht="18" customHeight="1" x14ac:dyDescent="0.2">
      <c r="A7" s="875"/>
      <c r="B7" s="98" t="s">
        <v>151</v>
      </c>
      <c r="C7" s="568" t="s">
        <v>250</v>
      </c>
      <c r="D7" s="530">
        <f>IF(T!$A$4&gt;=D$42,(INDEX('[1]Přepravní soustava'!$C$13:$AL$13,1,MATCH(D$5,'[1]Přepravní soustava'!$C$1:$AL$1,0))+INDEX('[2]Z ZDS'!$C$31:$BB$31,1,MATCH(D$5,'[2]Z ZDS'!$C$1:$AX$1,0)))/1000,"")</f>
        <v>3284.8473382798379</v>
      </c>
      <c r="E7" s="543">
        <f>IF(T!$A$4&gt;=E$42,(INDEX('[1]Přepravní soustava'!$C$13:$AL$13,1,MATCH(E$5,'[1]Přepravní soustava'!$C$1:$AL$1,0))+INDEX('[2]Z ZDS'!$C$31:$BB$31,1,MATCH(E$5,'[2]Z ZDS'!$C$1:$AX$1,0)))/1000,"")</f>
        <v>2481.910466691224</v>
      </c>
      <c r="F7" s="570">
        <f>IF(T!$A$4&gt;=F$42,(INDEX('[1]Přepravní soustava'!$C$13:$AL$13,1,MATCH(F$5,'[1]Přepravní soustava'!$C$1:$AL$1,0))+INDEX('[2]Z ZDS'!$C$31:$BB$31,1,MATCH(F$5,'[2]Z ZDS'!$C$1:$AX$1,0)))/1000,"")</f>
        <v>3307.8947704633943</v>
      </c>
      <c r="G7" s="543">
        <f>IF(T!$A$4&gt;=G$42,(INDEX('[1]Přepravní soustava'!$C$13:$AL$13,1,MATCH(G$5,'[1]Přepravní soustava'!$C$1:$AL$1,0))+INDEX('[2]Z ZDS'!$C$31:$BB$31,1,MATCH(G$5,'[2]Z ZDS'!$C$1:$AX$1,0)))/1000,"")</f>
        <v>3359.6992668793901</v>
      </c>
      <c r="H7" s="530" t="str">
        <f>IF(T!$A$4&gt;=H$42,(INDEX('[1]Přepravní soustava'!$C$13:$AL$13,1,MATCH(H$5,'[1]Přepravní soustava'!$C$1:$AL$1,0))+INDEX('[2]Z ZDS'!$C$31:$BB$31,1,MATCH(H$5,'[2]Z ZDS'!$C$1:$AX$1,0)))/1000,"")</f>
        <v/>
      </c>
      <c r="I7" s="545" t="str">
        <f>IF(T!$A$4&gt;=I$42,(INDEX('[1]Přepravní soustava'!$C$13:$AL$13,1,MATCH(I$5,'[1]Přepravní soustava'!$C$1:$AL$1,0))+INDEX('[2]Z ZDS'!$C$31:$BB$31,1,MATCH(I$5,'[2]Z ZDS'!$C$1:$AX$1,0)))/1000,"")</f>
        <v/>
      </c>
      <c r="J7" s="530" t="str">
        <f>IF(T!$A$4&gt;=J$42,(INDEX('[1]Přepravní soustava'!$C$13:$AL$13,1,MATCH(J$5,'[1]Přepravní soustava'!$C$1:$AL$1,0))+INDEX('[2]Z ZDS'!$C$31:$BB$31,1,MATCH(J$5,'[2]Z ZDS'!$C$1:$AX$1,0)))/1000,"")</f>
        <v/>
      </c>
      <c r="K7" s="530" t="str">
        <f>IF(T!$A$4&gt;=K$42,(INDEX('[1]Přepravní soustava'!$C$13:$AL$13,1,MATCH(K$5,'[1]Přepravní soustava'!$C$1:$AL$1,0))+INDEX('[2]Z ZDS'!$C$31:$BB$31,1,MATCH(K$5,'[2]Z ZDS'!$C$1:$AX$1,0)))/1000,"")</f>
        <v/>
      </c>
      <c r="L7" s="545" t="str">
        <f>IF(T!$A$4&gt;=L$42,(INDEX('[1]Přepravní soustava'!$C$13:$AL$13,1,MATCH(L$5,'[1]Přepravní soustava'!$C$1:$AL$1,0))+INDEX('[2]Z ZDS'!$C$31:$BB$31,1,MATCH(L$5,'[2]Z ZDS'!$C$1:$AX$1,0)))/1000,"")</f>
        <v/>
      </c>
      <c r="M7" s="530" t="str">
        <f>IF(T!$A$4&gt;=M$42,(INDEX('[1]Přepravní soustava'!$C$13:$AL$13,1,MATCH(M$5,'[1]Přepravní soustava'!$C$1:$AL$1,0))+INDEX('[2]Z ZDS'!$C$31:$BB$31,1,MATCH(M$5,'[2]Z ZDS'!$C$1:$AX$1,0)))/1000,"")</f>
        <v/>
      </c>
      <c r="N7" s="530" t="str">
        <f>IF(T!$A$4&gt;=N$42,(INDEX('[1]Přepravní soustava'!$C$13:$AL$13,1,MATCH(N$5,'[1]Přepravní soustava'!$C$1:$AL$1,0))+INDEX('[2]Z ZDS'!$C$31:$BB$31,1,MATCH(N$5,'[2]Z ZDS'!$C$1:$AX$1,0)))/1000,"")</f>
        <v/>
      </c>
      <c r="O7" s="530" t="str">
        <f>IF(T!$A$4&gt;=O$42,(INDEX('[1]Přepravní soustava'!$C$13:$AL$13,1,MATCH(O$5,'[1]Přepravní soustava'!$C$1:$AL$1,0))+INDEX('[2]Z ZDS'!$C$31:$BB$31,1,MATCH(O$5,'[2]Z ZDS'!$C$1:$AX$1,0)))/1000,"")</f>
        <v/>
      </c>
      <c r="P7" s="590">
        <f>SUM(D7:O7)</f>
        <v>12434.351842313847</v>
      </c>
    </row>
    <row r="8" spans="1:17" ht="18" customHeight="1" x14ac:dyDescent="0.2">
      <c r="A8" s="875"/>
      <c r="B8" s="98" t="s">
        <v>152</v>
      </c>
      <c r="C8" s="568" t="s">
        <v>250</v>
      </c>
      <c r="D8" s="530">
        <f>IF(T!$A$4&gt;=D$42,-(INDEX('[1]Přepravní soustava'!$C$22:$AL$22,1,MATCH(D$5,'[1]Přepravní soustava'!$C$1:$AL$1,0))+INDEX('[2]Do ZDS'!$C$32:$BB$32,1,MATCH(D$5,'[2]Do ZDS'!$C$1:$AX$1,0)))/1000,"")</f>
        <v>-2846.2107347634569</v>
      </c>
      <c r="E8" s="543">
        <f>IF(T!$A$4&gt;=E$42,-(INDEX('[1]Přepravní soustava'!$C$22:$AL$22,1,MATCH(E$5,'[1]Přepravní soustava'!$C$1:$AL$1,0))+INDEX('[2]Do ZDS'!$C$32:$BB$32,1,MATCH(E$5,'[2]Do ZDS'!$C$1:$AX$1,0)))/1000,"")</f>
        <v>-2213.9183811394978</v>
      </c>
      <c r="F8" s="570">
        <f>IF(T!$A$4&gt;=F$42,-(INDEX('[1]Přepravní soustava'!$C$22:$AL$22,1,MATCH(F$5,'[1]Přepravní soustava'!$C$1:$AL$1,0))+INDEX('[2]Do ZDS'!$C$32:$BB$32,1,MATCH(F$5,'[2]Do ZDS'!$C$1:$AX$1,0)))/1000,"")</f>
        <v>-2973.2821365479299</v>
      </c>
      <c r="G8" s="543">
        <f>IF(T!$A$4&gt;=G$42,-(INDEX('[1]Přepravní soustava'!$C$22:$AL$22,1,MATCH(G$5,'[1]Přepravní soustava'!$C$1:$AL$1,0))+INDEX('[2]Do ZDS'!$C$32:$BB$32,1,MATCH(G$5,'[2]Do ZDS'!$C$1:$AX$1,0)))/1000,"")</f>
        <v>-2717.2271621158748</v>
      </c>
      <c r="H8" s="530" t="str">
        <f>IF(T!$A$4&gt;=H$42,-(INDEX('[1]Přepravní soustava'!$C$22:$AL$22,1,MATCH(H$5,'[1]Přepravní soustava'!$C$1:$AL$1,0))+INDEX('[2]Do ZDS'!$C$32:$BB$32,1,MATCH(H$5,'[2]Do ZDS'!$C$1:$AX$1,0)))/1000,"")</f>
        <v/>
      </c>
      <c r="I8" s="545" t="str">
        <f>IF(T!$A$4&gt;=I$42,-(INDEX('[1]Přepravní soustava'!$C$22:$AL$22,1,MATCH(I$5,'[1]Přepravní soustava'!$C$1:$AL$1,0))+INDEX('[2]Do ZDS'!$C$32:$BB$32,1,MATCH(I$5,'[2]Do ZDS'!$C$1:$AX$1,0)))/1000,"")</f>
        <v/>
      </c>
      <c r="J8" s="530" t="str">
        <f>IF(T!$A$4&gt;=J$42,-(INDEX('[1]Přepravní soustava'!$C$22:$AL$22,1,MATCH(J$5,'[1]Přepravní soustava'!$C$1:$AL$1,0))+INDEX('[2]Do ZDS'!$C$32:$BB$32,1,MATCH(J$5,'[2]Do ZDS'!$C$1:$AX$1,0)))/1000,"")</f>
        <v/>
      </c>
      <c r="K8" s="530" t="str">
        <f>IF(T!$A$4&gt;=K$42,-(INDEX('[1]Přepravní soustava'!$C$22:$AL$22,1,MATCH(K$5,'[1]Přepravní soustava'!$C$1:$AL$1,0))+INDEX('[2]Do ZDS'!$C$32:$BB$32,1,MATCH(K$5,'[2]Do ZDS'!$C$1:$AX$1,0)))/1000,"")</f>
        <v/>
      </c>
      <c r="L8" s="545" t="str">
        <f>IF(T!$A$4&gt;=L$42,-(INDEX('[1]Přepravní soustava'!$C$22:$AL$22,1,MATCH(L$5,'[1]Přepravní soustava'!$C$1:$AL$1,0))+INDEX('[2]Do ZDS'!$C$32:$BB$32,1,MATCH(L$5,'[2]Do ZDS'!$C$1:$AX$1,0)))/1000,"")</f>
        <v/>
      </c>
      <c r="M8" s="530" t="str">
        <f>IF(T!$A$4&gt;=M$42,-(INDEX('[1]Přepravní soustava'!$C$22:$AL$22,1,MATCH(M$5,'[1]Přepravní soustava'!$C$1:$AL$1,0))+INDEX('[2]Do ZDS'!$C$32:$BB$32,1,MATCH(M$5,'[2]Do ZDS'!$C$1:$AX$1,0)))/1000,"")</f>
        <v/>
      </c>
      <c r="N8" s="530" t="str">
        <f>IF(T!$A$4&gt;=N$42,-(INDEX('[1]Přepravní soustava'!$C$22:$AL$22,1,MATCH(N$5,'[1]Přepravní soustava'!$C$1:$AL$1,0))+INDEX('[2]Do ZDS'!$C$32:$BB$32,1,MATCH(N$5,'[2]Do ZDS'!$C$1:$AX$1,0)))/1000,"")</f>
        <v/>
      </c>
      <c r="O8" s="530" t="str">
        <f>IF(T!$A$4&gt;=O$42,-(INDEX('[1]Přepravní soustava'!$C$22:$AL$22,1,MATCH(O$5,'[1]Přepravní soustava'!$C$1:$AL$1,0))+INDEX('[2]Do ZDS'!$C$32:$BB$32,1,MATCH(O$5,'[2]Do ZDS'!$C$1:$AX$1,0)))/1000,"")</f>
        <v/>
      </c>
      <c r="P8" s="590">
        <f t="shared" ref="P8:P34" si="0">SUM(D8:O8)</f>
        <v>-10750.63841456676</v>
      </c>
    </row>
    <row r="9" spans="1:17" ht="18" customHeight="1" x14ac:dyDescent="0.2">
      <c r="A9" s="875"/>
      <c r="B9" s="757" t="s">
        <v>153</v>
      </c>
      <c r="C9" s="758" t="s">
        <v>250</v>
      </c>
      <c r="D9" s="759">
        <f>IF(T!$A$4&gt;=D$42,D7+D8,"")</f>
        <v>438.636603516381</v>
      </c>
      <c r="E9" s="759">
        <f>IF(T!$A$4&gt;=E$42,E7+E8,"")</f>
        <v>267.99208555172618</v>
      </c>
      <c r="F9" s="760">
        <f>IF(T!$A$4&gt;=F$42,F7+F8,"")</f>
        <v>334.61263391546436</v>
      </c>
      <c r="G9" s="759">
        <f>IF(T!$A$4&gt;=G$42,G7+G8,"")</f>
        <v>642.47210476351529</v>
      </c>
      <c r="H9" s="761" t="str">
        <f>IF(T!$A$4&gt;=H$42,H7+H8,"")</f>
        <v/>
      </c>
      <c r="I9" s="762" t="str">
        <f>IF(T!$A$4&gt;=I$42,I7+I8,"")</f>
        <v/>
      </c>
      <c r="J9" s="761" t="str">
        <f>IF(T!$A$4&gt;=J$42,J7+J8,"")</f>
        <v/>
      </c>
      <c r="K9" s="761" t="str">
        <f>IF(T!$A$4&gt;=K$42,K7+K8,"")</f>
        <v/>
      </c>
      <c r="L9" s="762" t="str">
        <f>IF(T!$A$4&gt;=L$42,L7+L8,"")</f>
        <v/>
      </c>
      <c r="M9" s="761" t="str">
        <f>IF(T!$A$4&gt;=M$42,M7+M8,"")</f>
        <v/>
      </c>
      <c r="N9" s="761" t="str">
        <f>IF(T!$A$4&gt;=N$42,N7+N8,"")</f>
        <v/>
      </c>
      <c r="O9" s="761" t="str">
        <f>IF(T!$A$4&gt;=O$42,O7+O8,"")</f>
        <v/>
      </c>
      <c r="P9" s="763">
        <f t="shared" si="0"/>
        <v>1683.7134277470868</v>
      </c>
    </row>
    <row r="10" spans="1:17" ht="18" customHeight="1" x14ac:dyDescent="0.2">
      <c r="A10" s="875"/>
      <c r="B10" s="98" t="s">
        <v>151</v>
      </c>
      <c r="C10" s="568" t="s">
        <v>303</v>
      </c>
      <c r="D10" s="543">
        <f>IF(T!$A$4&gt;=D$42,(INDEX('[1]Přepravní soustava'!$C$13:$AL$13,1,MATCH(D$5,'[1]Přepravní soustava'!$C$1:$AL$1,0)+1)+INDEX('[2]Z ZDS'!$C$31:$BB$31,1,MATCH(D$5,'[2]Z ZDS'!$C$1:$AX$1,0)+1))/1000,"")</f>
        <v>34911.49827801199</v>
      </c>
      <c r="E10" s="543">
        <f>IF(T!$A$4&gt;=E$42,(INDEX('[1]Přepravní soustava'!$C$13:$AL$13,1,MATCH(E$5,'[1]Přepravní soustava'!$C$1:$AL$1,0)+1)+INDEX('[2]Z ZDS'!$C$31:$BB$31,1,MATCH(E$5,'[2]Z ZDS'!$C$1:$AX$1,0)+1))/1000,"")</f>
        <v>26391.708507347004</v>
      </c>
      <c r="F10" s="570">
        <f>IF(T!$A$4&gt;=F$42,(INDEX('[1]Přepravní soustava'!$C$13:$AL$13,1,MATCH(F$5,'[1]Přepravní soustava'!$C$1:$AL$1,0)+1)+INDEX('[2]Z ZDS'!$C$31:$BB$31,1,MATCH(F$5,'[2]Z ZDS'!$C$1:$AX$1,0)+1))/1000,"")</f>
        <v>35184.059510377992</v>
      </c>
      <c r="G10" s="543">
        <f>IF(T!$A$4&gt;=G$42,(INDEX('[1]Přepravní soustava'!$C$13:$AL$13,1,MATCH(G$5,'[1]Přepravní soustava'!$C$1:$AL$1,0)+1)+INDEX('[2]Z ZDS'!$C$31:$BB$31,1,MATCH(G$5,'[2]Z ZDS'!$C$1:$AX$1,0)+1))/1000,"")</f>
        <v>35762.949495565001</v>
      </c>
      <c r="H10" s="530" t="str">
        <f>IF(T!$A$4&gt;=H$42,(INDEX('[1]Přepravní soustava'!$C$13:$AL$13,1,MATCH(H$5,'[1]Přepravní soustava'!$C$1:$AL$1,0)+1)+INDEX('[2]Z ZDS'!$C$31:$BB$31,1,MATCH(H$5,'[2]Z ZDS'!$C$1:$AX$1,0)+1))/1000,"")</f>
        <v/>
      </c>
      <c r="I10" s="545" t="str">
        <f>IF(T!$A$4&gt;=I$42,(INDEX('[1]Přepravní soustava'!$C$13:$AL$13,1,MATCH(I$5,'[1]Přepravní soustava'!$C$1:$AL$1,0)+1)+INDEX('[2]Z ZDS'!$C$31:$BB$31,1,MATCH(I$5,'[2]Z ZDS'!$C$1:$AX$1,0)+1))/1000,"")</f>
        <v/>
      </c>
      <c r="J10" s="530" t="str">
        <f>IF(T!$A$4&gt;=J$42,(INDEX('[1]Přepravní soustava'!$C$13:$AL$13,1,MATCH(J$5,'[1]Přepravní soustava'!$C$1:$AL$1,0)+1)+INDEX('[2]Z ZDS'!$C$31:$BB$31,1,MATCH(J$5,'[2]Z ZDS'!$C$1:$AX$1,0)+1))/1000,"")</f>
        <v/>
      </c>
      <c r="K10" s="530" t="str">
        <f>IF(T!$A$4&gt;=K$42,(INDEX('[1]Přepravní soustava'!$C$13:$AL$13,1,MATCH(K$5,'[1]Přepravní soustava'!$C$1:$AL$1,0)+1)+INDEX('[2]Z ZDS'!$C$31:$BB$31,1,MATCH(K$5,'[2]Z ZDS'!$C$1:$AX$1,0)+1))/1000,"")</f>
        <v/>
      </c>
      <c r="L10" s="545" t="str">
        <f>IF(T!$A$4&gt;=L$42,(INDEX('[1]Přepravní soustava'!$C$13:$AL$13,1,MATCH(L$5,'[1]Přepravní soustava'!$C$1:$AL$1,0)+1)+INDEX('[2]Z ZDS'!$C$31:$BB$31,1,MATCH(L$5,'[2]Z ZDS'!$C$1:$AX$1,0)+1))/1000,"")</f>
        <v/>
      </c>
      <c r="M10" s="530" t="str">
        <f>IF(T!$A$4&gt;=M$42,(INDEX('[1]Přepravní soustava'!$C$13:$AL$13,1,MATCH(M$5,'[1]Přepravní soustava'!$C$1:$AL$1,0)+1)+INDEX('[2]Z ZDS'!$C$31:$BB$31,1,MATCH(M$5,'[2]Z ZDS'!$C$1:$AX$1,0)+1))/1000,"")</f>
        <v/>
      </c>
      <c r="N10" s="530" t="str">
        <f>IF(T!$A$4&gt;=N$42,(INDEX('[1]Přepravní soustava'!$C$13:$AL$13,1,MATCH(N$5,'[1]Přepravní soustava'!$C$1:$AL$1,0)+1)+INDEX('[2]Z ZDS'!$C$31:$BB$31,1,MATCH(N$5,'[2]Z ZDS'!$C$1:$AX$1,0)+1))/1000,"")</f>
        <v/>
      </c>
      <c r="O10" s="530" t="str">
        <f>IF(T!$A$4&gt;=O$42,(INDEX('[1]Přepravní soustava'!$C$13:$AL$13,1,MATCH(O$5,'[1]Přepravní soustava'!$C$1:$AL$1,0)+1)+INDEX('[2]Z ZDS'!$C$31:$BB$31,1,MATCH(O$5,'[2]Z ZDS'!$C$1:$AX$1,0)+1))/1000,"")</f>
        <v/>
      </c>
      <c r="P10" s="590">
        <f t="shared" si="0"/>
        <v>132250.21579130198</v>
      </c>
    </row>
    <row r="11" spans="1:17" ht="18" customHeight="1" x14ac:dyDescent="0.2">
      <c r="A11" s="875"/>
      <c r="B11" s="98" t="s">
        <v>152</v>
      </c>
      <c r="C11" s="568" t="s">
        <v>303</v>
      </c>
      <c r="D11" s="543">
        <f>IF(T!$A$4&gt;=D$42,-(INDEX('[1]Přepravní soustava'!$C$22:$AL$22,1,MATCH(D$5,'[1]Přepravní soustava'!$C$1:$AL$1,0)+1)+INDEX('[2]Do ZDS'!$C$32:$BB$32,1,MATCH(D$5,'[2]Do ZDS'!$C$1:$AX$1,0)+1))/1000,"")</f>
        <v>-30277.984505658602</v>
      </c>
      <c r="E11" s="543">
        <f>IF(T!$A$4&gt;=E$42,-(INDEX('[1]Přepravní soustava'!$C$22:$AL$22,1,MATCH(E$5,'[1]Přepravní soustava'!$C$1:$AL$1,0)+1)+INDEX('[2]Do ZDS'!$C$32:$BB$32,1,MATCH(E$5,'[2]Do ZDS'!$C$1:$AX$1,0)+1))/1000,"")</f>
        <v>-23561.472929644297</v>
      </c>
      <c r="F11" s="570">
        <f>IF(T!$A$4&gt;=F$42,-(INDEX('[1]Přepravní soustava'!$C$22:$AL$22,1,MATCH(F$5,'[1]Přepravní soustava'!$C$1:$AL$1,0)+1)+INDEX('[2]Do ZDS'!$C$32:$BB$32,1,MATCH(F$5,'[2]Do ZDS'!$C$1:$AX$1,0)+1))/1000,"")</f>
        <v>-31637.376971170001</v>
      </c>
      <c r="G11" s="543">
        <f>IF(T!$A$4&gt;=G$42,-(INDEX('[1]Přepravní soustava'!$C$22:$AL$22,1,MATCH(G$5,'[1]Přepravní soustava'!$C$1:$AL$1,0)+1)+INDEX('[2]Do ZDS'!$C$32:$BB$32,1,MATCH(G$5,'[2]Do ZDS'!$C$1:$AX$1,0)+1))/1000,"")</f>
        <v>-28932.560779750002</v>
      </c>
      <c r="H11" s="530" t="str">
        <f>IF(T!$A$4&gt;=H$42,-(INDEX('[1]Přepravní soustava'!$C$22:$AL$22,1,MATCH(H$5,'[1]Přepravní soustava'!$C$1:$AL$1,0)+1)+INDEX('[2]Do ZDS'!$C$32:$BB$32,1,MATCH(H$5,'[2]Do ZDS'!$C$1:$AX$1,0)+1))/1000,"")</f>
        <v/>
      </c>
      <c r="I11" s="545" t="str">
        <f>IF(T!$A$4&gt;=I$42,-(INDEX('[1]Přepravní soustava'!$C$22:$AL$22,1,MATCH(I$5,'[1]Přepravní soustava'!$C$1:$AL$1,0)+1)+INDEX('[2]Do ZDS'!$C$32:$BB$32,1,MATCH(I$5,'[2]Do ZDS'!$C$1:$AX$1,0)+1))/1000,"")</f>
        <v/>
      </c>
      <c r="J11" s="530" t="str">
        <f>IF(T!$A$4&gt;=J$42,-(INDEX('[1]Přepravní soustava'!$C$22:$AL$22,1,MATCH(J$5,'[1]Přepravní soustava'!$C$1:$AL$1,0)+1)+INDEX('[2]Do ZDS'!$C$32:$BB$32,1,MATCH(J$5,'[2]Do ZDS'!$C$1:$AX$1,0)+1))/1000,"")</f>
        <v/>
      </c>
      <c r="K11" s="530" t="str">
        <f>IF(T!$A$4&gt;=K$42,-(INDEX('[1]Přepravní soustava'!$C$22:$AL$22,1,MATCH(K$5,'[1]Přepravní soustava'!$C$1:$AL$1,0)+1)+INDEX('[2]Do ZDS'!$C$32:$BB$32,1,MATCH(K$5,'[2]Do ZDS'!$C$1:$AX$1,0)+1))/1000,"")</f>
        <v/>
      </c>
      <c r="L11" s="545" t="str">
        <f>IF(T!$A$4&gt;=L$42,-(INDEX('[1]Přepravní soustava'!$C$22:$AL$22,1,MATCH(L$5,'[1]Přepravní soustava'!$C$1:$AL$1,0)+1)+INDEX('[2]Do ZDS'!$C$32:$BB$32,1,MATCH(L$5,'[2]Do ZDS'!$C$1:$AX$1,0)+1))/1000,"")</f>
        <v/>
      </c>
      <c r="M11" s="530" t="str">
        <f>IF(T!$A$4&gt;=M$42,-(INDEX('[1]Přepravní soustava'!$C$22:$AL$22,1,MATCH(M$5,'[1]Přepravní soustava'!$C$1:$AL$1,0)+1)+INDEX('[2]Do ZDS'!$C$32:$BB$32,1,MATCH(M$5,'[2]Do ZDS'!$C$1:$AX$1,0)+1))/1000,"")</f>
        <v/>
      </c>
      <c r="N11" s="530" t="str">
        <f>IF(T!$A$4&gt;=N$42,-(INDEX('[1]Přepravní soustava'!$C$22:$AL$22,1,MATCH(N$5,'[1]Přepravní soustava'!$C$1:$AL$1,0)+1)+INDEX('[2]Do ZDS'!$C$32:$BB$32,1,MATCH(N$5,'[2]Do ZDS'!$C$1:$AX$1,0)+1))/1000,"")</f>
        <v/>
      </c>
      <c r="O11" s="530" t="str">
        <f>IF(T!$A$4&gt;=O$42,-(INDEX('[1]Přepravní soustava'!$C$22:$AL$22,1,MATCH(O$5,'[1]Přepravní soustava'!$C$1:$AL$1,0)+1)+INDEX('[2]Do ZDS'!$C$32:$BB$32,1,MATCH(O$5,'[2]Do ZDS'!$C$1:$AX$1,0)+1))/1000,"")</f>
        <v/>
      </c>
      <c r="P11" s="590">
        <f t="shared" si="0"/>
        <v>-114409.3951862229</v>
      </c>
    </row>
    <row r="12" spans="1:17" ht="18" customHeight="1" x14ac:dyDescent="0.2">
      <c r="A12" s="875"/>
      <c r="B12" s="611" t="s">
        <v>153</v>
      </c>
      <c r="C12" s="568" t="s">
        <v>303</v>
      </c>
      <c r="D12" s="543">
        <f>IF(T!$A$4&gt;=D$42,D10+D11,"")</f>
        <v>4633.513772353388</v>
      </c>
      <c r="E12" s="543">
        <f>IF(T!$A$4&gt;=E$42,E10+E11,"")</f>
        <v>2830.2355777027078</v>
      </c>
      <c r="F12" s="570">
        <f>IF(T!$A$4&gt;=F$42,F10+F11,"")</f>
        <v>3546.6825392079918</v>
      </c>
      <c r="G12" s="543">
        <f>IF(T!$A$4&gt;=G$42,G10+G11,"")</f>
        <v>6830.3887158149992</v>
      </c>
      <c r="H12" s="530" t="str">
        <f>IF(T!$A$4&gt;=H$42,H10+H11,"")</f>
        <v/>
      </c>
      <c r="I12" s="545" t="str">
        <f>IF(T!$A$4&gt;=I$42,I10+I11,"")</f>
        <v/>
      </c>
      <c r="J12" s="530" t="str">
        <f>IF(T!$A$4&gt;=J$42,J10+J11,"")</f>
        <v/>
      </c>
      <c r="K12" s="530" t="str">
        <f>IF(T!$A$4&gt;=K$42,K10+K11,"")</f>
        <v/>
      </c>
      <c r="L12" s="545" t="str">
        <f>IF(T!$A$4&gt;=L$42,L10+L11,"")</f>
        <v/>
      </c>
      <c r="M12" s="530" t="str">
        <f>IF(T!$A$4&gt;=M$42,M10+M11,"")</f>
        <v/>
      </c>
      <c r="N12" s="530" t="str">
        <f>IF(T!$A$4&gt;=N$42,N10+N11,"")</f>
        <v/>
      </c>
      <c r="O12" s="530" t="str">
        <f>IF(T!$A$4&gt;=O$42,O10+O11,"")</f>
        <v/>
      </c>
      <c r="P12" s="590">
        <f t="shared" si="0"/>
        <v>17840.820605079087</v>
      </c>
    </row>
    <row r="13" spans="1:17" ht="9" customHeight="1" x14ac:dyDescent="0.2">
      <c r="A13" s="876"/>
      <c r="B13" s="514"/>
      <c r="C13" s="502"/>
      <c r="D13" s="547"/>
      <c r="E13" s="547"/>
      <c r="F13" s="578"/>
      <c r="G13" s="547"/>
      <c r="H13" s="549"/>
      <c r="I13" s="550"/>
      <c r="J13" s="549"/>
      <c r="K13" s="549"/>
      <c r="L13" s="550"/>
      <c r="M13" s="549"/>
      <c r="N13" s="549"/>
      <c r="O13" s="549"/>
      <c r="P13" s="591"/>
    </row>
    <row r="14" spans="1:17" ht="9" customHeight="1" x14ac:dyDescent="0.2">
      <c r="A14" s="879" t="s">
        <v>182</v>
      </c>
      <c r="B14" s="519"/>
      <c r="C14" s="520"/>
      <c r="D14" s="499"/>
      <c r="E14" s="499"/>
      <c r="F14" s="521"/>
      <c r="G14" s="499"/>
      <c r="H14" s="499"/>
      <c r="I14" s="521"/>
      <c r="J14" s="499"/>
      <c r="K14" s="499"/>
      <c r="L14" s="521"/>
      <c r="M14" s="499"/>
      <c r="N14" s="499"/>
      <c r="O14" s="499"/>
      <c r="P14" s="590"/>
    </row>
    <row r="15" spans="1:17" ht="18" customHeight="1" x14ac:dyDescent="0.2">
      <c r="A15" s="875"/>
      <c r="B15" s="98" t="s">
        <v>158</v>
      </c>
      <c r="C15" s="568" t="s">
        <v>250</v>
      </c>
      <c r="D15" s="530">
        <f>IF(T!$A$4&gt;=D$42,INDEX('[1]Přepravní soustava'!$C$41:$AL$41,1,MATCH(D$5,'[1]Přepravní soustava'!$C$1:$AL$1,0))/1000,"")</f>
        <v>663.07631100000003</v>
      </c>
      <c r="E15" s="543">
        <f>IF(T!$A$4&gt;=E$42,INDEX('[1]Přepravní soustava'!$C$41:$AL$41,1,MATCH(E$5,'[1]Přepravní soustava'!$C$1:$AL$1,0))/1000,"")</f>
        <v>730.844382</v>
      </c>
      <c r="F15" s="570">
        <f>IF(T!$A$4&gt;=F$42,INDEX('[1]Přepravní soustava'!$C$41:$AL$41,1,MATCH(F$5,'[1]Přepravní soustava'!$C$1:$AL$1,0))/1000,"")</f>
        <v>531.26270799999998</v>
      </c>
      <c r="G15" s="543">
        <f>IF(T!$A$4&gt;=G$42,INDEX('[1]Přepravní soustava'!$C$41:$AL$41,1,MATCH(G$5,'[1]Přepravní soustava'!$C$1:$AL$1,0))/1000,"")</f>
        <v>40.534314999999999</v>
      </c>
      <c r="H15" s="530" t="str">
        <f>IF(T!$A$4&gt;=H$42,INDEX('[1]Přepravní soustava'!$C$41:$AL$41,1,MATCH(H$5,'[1]Přepravní soustava'!$C$1:$AL$1,0))/1000,"")</f>
        <v/>
      </c>
      <c r="I15" s="545" t="str">
        <f>IF(T!$A$4&gt;=I$42,INDEX('[1]Přepravní soustava'!$C$41:$AL$41,1,MATCH(I$5,'[1]Přepravní soustava'!$C$1:$AL$1,0))/1000,"")</f>
        <v/>
      </c>
      <c r="J15" s="530" t="str">
        <f>IF(T!$A$4&gt;=J$42,INDEX('[1]Přepravní soustava'!$C$41:$AL$41,1,MATCH(J$5,'[1]Přepravní soustava'!$C$1:$AL$1,0))/1000,"")</f>
        <v/>
      </c>
      <c r="K15" s="530" t="str">
        <f>IF(T!$A$4&gt;=K$42,INDEX('[1]Přepravní soustava'!$C$41:$AL$41,1,MATCH(K$5,'[1]Přepravní soustava'!$C$1:$AL$1,0))/1000,"")</f>
        <v/>
      </c>
      <c r="L15" s="545" t="str">
        <f>IF(T!$A$4&gt;=L$42,INDEX('[1]Přepravní soustava'!$C$41:$AL$41,1,MATCH(L$5,'[1]Přepravní soustava'!$C$1:$AL$1,0))/1000,"")</f>
        <v/>
      </c>
      <c r="M15" s="530" t="str">
        <f>IF(T!$A$4&gt;=M$42,INDEX('[1]Přepravní soustava'!$C$41:$AL$41,1,MATCH(M$5,'[1]Přepravní soustava'!$C$1:$AL$1,0))/1000,"")</f>
        <v/>
      </c>
      <c r="N15" s="530" t="str">
        <f>IF(T!$A$4&gt;=N$42,INDEX('[1]Přepravní soustava'!$C$41:$AL$41,1,MATCH(N$5,'[1]Přepravní soustava'!$C$1:$AL$1,0))/1000,"")</f>
        <v/>
      </c>
      <c r="O15" s="530" t="str">
        <f>IF(T!$A$4&gt;=O$42,INDEX('[1]Přepravní soustava'!$C$41:$AL$41,1,MATCH(O$5,'[1]Přepravní soustava'!$C$1:$AL$1,0))/1000,"")</f>
        <v/>
      </c>
      <c r="P15" s="590">
        <f t="shared" si="0"/>
        <v>1965.7177160000001</v>
      </c>
    </row>
    <row r="16" spans="1:17" ht="18" customHeight="1" x14ac:dyDescent="0.2">
      <c r="A16" s="875"/>
      <c r="B16" s="98" t="s">
        <v>159</v>
      </c>
      <c r="C16" s="568" t="s">
        <v>250</v>
      </c>
      <c r="D16" s="543">
        <f>IF(T!$A$4&gt;=D$42,-INDEX('[1]Přepravní soustava'!$C$45:$AL$45,1,MATCH(D$5,'[1]Přepravní soustava'!$C$1:$AL$1,0))/1000,"")</f>
        <v>-16.494135</v>
      </c>
      <c r="E16" s="543">
        <f>IF(T!$A$4&gt;=E$42,-INDEX('[1]Přepravní soustava'!$C$45:$AL$45,1,MATCH(E$5,'[1]Přepravní soustava'!$C$1:$AL$1,0))/1000,"")</f>
        <v>-9.5552060000000001</v>
      </c>
      <c r="F16" s="570">
        <f>IF(T!$A$4&gt;=F$42,-INDEX('[1]Přepravní soustava'!$C$45:$AL$45,1,MATCH(F$5,'[1]Přepravní soustava'!$C$1:$AL$1,0))/1000,"")</f>
        <v>-9.0375149999999991</v>
      </c>
      <c r="G16" s="543">
        <f>IF(T!$A$4&gt;=G$42,-INDEX('[1]Přepravní soustava'!$C$45:$AL$45,1,MATCH(G$5,'[1]Přepravní soustava'!$C$1:$AL$1,0))/1000,"")</f>
        <v>-52.046067999999998</v>
      </c>
      <c r="H16" s="530" t="str">
        <f>IF(T!$A$4&gt;=H$42,-INDEX('[1]Přepravní soustava'!$C$45:$AL$45,1,MATCH(H$5,'[1]Přepravní soustava'!$C$1:$AL$1,0))/1000,"")</f>
        <v/>
      </c>
      <c r="I16" s="545" t="str">
        <f>IF(T!$A$4&gt;=I$42,-INDEX('[1]Přepravní soustava'!$C$45:$AL$45,1,MATCH(I$5,'[1]Přepravní soustava'!$C$1:$AL$1,0))/1000,"")</f>
        <v/>
      </c>
      <c r="J16" s="530" t="str">
        <f>IF(T!$A$4&gt;=J$42,-INDEX('[1]Přepravní soustava'!$C$45:$AL$45,1,MATCH(J$5,'[1]Přepravní soustava'!$C$1:$AL$1,0))/1000,"")</f>
        <v/>
      </c>
      <c r="K16" s="530" t="str">
        <f>IF(T!$A$4&gt;=K$42,-INDEX('[1]Přepravní soustava'!$C$45:$AL$45,1,MATCH(K$5,'[1]Přepravní soustava'!$C$1:$AL$1,0))/1000,"")</f>
        <v/>
      </c>
      <c r="L16" s="545" t="str">
        <f>IF(T!$A$4&gt;=L$42,-INDEX('[1]Přepravní soustava'!$C$45:$AL$45,1,MATCH(L$5,'[1]Přepravní soustava'!$C$1:$AL$1,0))/1000,"")</f>
        <v/>
      </c>
      <c r="M16" s="530" t="str">
        <f>IF(T!$A$4&gt;=M$42,-INDEX('[1]Přepravní soustava'!$C$45:$AL$45,1,MATCH(M$5,'[1]Přepravní soustava'!$C$1:$AL$1,0))/1000,"")</f>
        <v/>
      </c>
      <c r="N16" s="530" t="str">
        <f>IF(T!$A$4&gt;=N$42,-INDEX('[1]Přepravní soustava'!$C$45:$AL$45,1,MATCH(N$5,'[1]Přepravní soustava'!$C$1:$AL$1,0))/1000,"")</f>
        <v/>
      </c>
      <c r="O16" s="530" t="str">
        <f>IF(T!$A$4&gt;=O$42,-INDEX('[1]Přepravní soustava'!$C$45:$AL$45,1,MATCH(O$5,'[1]Přepravní soustava'!$C$1:$AL$1,0))/1000,"")</f>
        <v/>
      </c>
      <c r="P16" s="590">
        <f t="shared" si="0"/>
        <v>-87.132924000000003</v>
      </c>
    </row>
    <row r="17" spans="1:19" ht="18" customHeight="1" x14ac:dyDescent="0.2">
      <c r="A17" s="875"/>
      <c r="B17" s="611" t="s">
        <v>160</v>
      </c>
      <c r="C17" s="568" t="s">
        <v>250</v>
      </c>
      <c r="D17" s="543">
        <f>IF(T!$A$4&gt;=D$42,D15+D16,"")</f>
        <v>646.582176</v>
      </c>
      <c r="E17" s="543">
        <f>IF(T!$A$4&gt;=E$42,E15+E16,"")</f>
        <v>721.289176</v>
      </c>
      <c r="F17" s="570">
        <f>IF(T!$A$4&gt;=F$42,F15+F16,"")</f>
        <v>522.22519299999999</v>
      </c>
      <c r="G17" s="543">
        <f>IF(T!$A$4&gt;=G$42,G15+G16,"")</f>
        <v>-11.511752999999999</v>
      </c>
      <c r="H17" s="530" t="str">
        <f>IF(T!$A$4&gt;=H$42,H15+H16,"")</f>
        <v/>
      </c>
      <c r="I17" s="545" t="str">
        <f>IF(T!$A$4&gt;=I$42,I15+I16,"")</f>
        <v/>
      </c>
      <c r="J17" s="530" t="str">
        <f>IF(T!$A$4&gt;=J$42,J15+J16,"")</f>
        <v/>
      </c>
      <c r="K17" s="530" t="str">
        <f>IF(T!$A$4&gt;=K$42,K15+K16,"")</f>
        <v/>
      </c>
      <c r="L17" s="545" t="str">
        <f>IF(T!$A$4&gt;=L$42,L15+L16,"")</f>
        <v/>
      </c>
      <c r="M17" s="530" t="str">
        <f>IF(T!$A$4&gt;=M$42,M15+M16,"")</f>
        <v/>
      </c>
      <c r="N17" s="530" t="str">
        <f>IF(T!$A$4&gt;=N$42,N15+N16,"")</f>
        <v/>
      </c>
      <c r="O17" s="530" t="str">
        <f>IF(T!$A$4&gt;=O$42,O15+O16,"")</f>
        <v/>
      </c>
      <c r="P17" s="590">
        <f>SUM(D17:O17)</f>
        <v>1878.5847920000001</v>
      </c>
      <c r="R17" s="66"/>
      <c r="S17" s="66"/>
    </row>
    <row r="18" spans="1:19" ht="18" customHeight="1" x14ac:dyDescent="0.2">
      <c r="A18" s="875"/>
      <c r="B18" s="757" t="s">
        <v>298</v>
      </c>
      <c r="C18" s="758" t="s">
        <v>250</v>
      </c>
      <c r="D18" s="759">
        <f>IF(T!$A$4&gt;=D$42,'[10]Stav zásob ČR'!C3,"")</f>
        <v>1506.0067398421697</v>
      </c>
      <c r="E18" s="759">
        <f>IF(T!$A$4&gt;=E$42,'[10]Stav zásob ČR'!D3,"")</f>
        <v>784.71756384216962</v>
      </c>
      <c r="F18" s="760">
        <f>IF(T!$A$4&gt;=F$42,'[10]Stav zásob ČR'!E3,"")</f>
        <v>262.49237084216952</v>
      </c>
      <c r="G18" s="759">
        <f>IF(T!$A$4&gt;=G$42,'[10]Stav zásob ČR'!F3,"")</f>
        <v>274.00412384216952</v>
      </c>
      <c r="H18" s="761" t="str">
        <f>IF(T!$A$4&gt;=H$42,'[10]Stav zásob ČR'!G3,"")</f>
        <v/>
      </c>
      <c r="I18" s="762" t="str">
        <f>IF(T!$A$4&gt;=I$42,'[10]Stav zásob ČR'!H3,"")</f>
        <v/>
      </c>
      <c r="J18" s="761" t="str">
        <f>IF(T!$A$4&gt;=J$42,'[10]Stav zásob ČR'!I3,"")</f>
        <v/>
      </c>
      <c r="K18" s="761" t="str">
        <f>IF(T!$A$4&gt;=K$42,'[10]Stav zásob ČR'!J3,"")</f>
        <v/>
      </c>
      <c r="L18" s="762" t="str">
        <f>IF(T!$A$4&gt;=L$42,'[10]Stav zásob ČR'!K3,"")</f>
        <v/>
      </c>
      <c r="M18" s="761" t="str">
        <f>IF(T!$A$4&gt;=M$42,'[10]Stav zásob ČR'!L3,"")</f>
        <v/>
      </c>
      <c r="N18" s="761" t="str">
        <f>IF(T!$A$4&gt;=N$42,'[10]Stav zásob ČR'!M3,"")</f>
        <v/>
      </c>
      <c r="O18" s="761" t="str">
        <f>IF(T!$A$4&gt;=O$42,'[10]Stav zásob ČR'!N3,"")</f>
        <v/>
      </c>
      <c r="P18" s="763">
        <f>INDEX(D18:O18,,T!$A$4)</f>
        <v>274.00412384216952</v>
      </c>
    </row>
    <row r="19" spans="1:19" ht="18" customHeight="1" x14ac:dyDescent="0.2">
      <c r="A19" s="875"/>
      <c r="B19" s="98" t="s">
        <v>158</v>
      </c>
      <c r="C19" s="568" t="s">
        <v>303</v>
      </c>
      <c r="D19" s="543">
        <f>IF(T!$A$4&gt;=D$42,INDEX('[1]Přepravní soustava'!$C$41:$AL$41,1,MATCH(D$5,'[1]Přepravní soustava'!$C$1:$AL$1,0)+1)/1000,"")</f>
        <v>7059.919245</v>
      </c>
      <c r="E19" s="543">
        <f>IF(T!$A$4&gt;=E$42,INDEX('[1]Přepravní soustava'!$C$41:$AL$41,1,MATCH(E$5,'[1]Přepravní soustava'!$C$1:$AL$1,0)+1)/1000,"")</f>
        <v>7781.4639450000004</v>
      </c>
      <c r="F19" s="570">
        <f>IF(T!$A$4&gt;=F$42,INDEX('[1]Přepravní soustava'!$C$41:$AL$41,1,MATCH(F$5,'[1]Přepravní soustava'!$C$1:$AL$1,0)+1)/1000,"")</f>
        <v>5653.0803719999994</v>
      </c>
      <c r="G19" s="543">
        <f>IF(T!$A$4&gt;=G$42,INDEX('[1]Přepravní soustava'!$C$41:$AL$41,1,MATCH(G$5,'[1]Přepravní soustava'!$C$1:$AL$1,0)+1)/1000,"")</f>
        <v>432.63230599999997</v>
      </c>
      <c r="H19" s="530" t="str">
        <f>IF(T!$A$4&gt;=H$42,INDEX('[1]Přepravní soustava'!$C$41:$AL$41,1,MATCH(H$5,'[1]Přepravní soustava'!$C$1:$AL$1,0)+1)/1000,"")</f>
        <v/>
      </c>
      <c r="I19" s="545" t="str">
        <f>IF(T!$A$4&gt;=I$42,INDEX('[1]Přepravní soustava'!$C$41:$AL$41,1,MATCH(I$5,'[1]Přepravní soustava'!$C$1:$AL$1,0)+1)/1000,"")</f>
        <v/>
      </c>
      <c r="J19" s="530" t="str">
        <f>IF(T!$A$4&gt;=J$42,INDEX('[1]Přepravní soustava'!$C$41:$AL$41,1,MATCH(J$5,'[1]Přepravní soustava'!$C$1:$AL$1,0)+1)/1000,"")</f>
        <v/>
      </c>
      <c r="K19" s="530" t="str">
        <f>IF(T!$A$4&gt;=K$42,INDEX('[1]Přepravní soustava'!$C$41:$AL$41,1,MATCH(K$5,'[1]Přepravní soustava'!$C$1:$AL$1,0)+1)/1000,"")</f>
        <v/>
      </c>
      <c r="L19" s="545" t="str">
        <f>IF(T!$A$4&gt;=L$42,INDEX('[1]Přepravní soustava'!$C$41:$AL$41,1,MATCH(L$5,'[1]Přepravní soustava'!$C$1:$AL$1,0)+1)/1000,"")</f>
        <v/>
      </c>
      <c r="M19" s="530" t="str">
        <f>IF(T!$A$4&gt;=M$42,INDEX('[1]Přepravní soustava'!$C$41:$AL$41,1,MATCH(M$5,'[1]Přepravní soustava'!$C$1:$AL$1,0)+1)/1000,"")</f>
        <v/>
      </c>
      <c r="N19" s="530" t="str">
        <f>IF(T!$A$4&gt;=N$42,INDEX('[1]Přepravní soustava'!$C$41:$AL$41,1,MATCH(N$5,'[1]Přepravní soustava'!$C$1:$AL$1,0)+1)/1000,"")</f>
        <v/>
      </c>
      <c r="O19" s="530" t="str">
        <f>IF(T!$A$4&gt;=O$42,INDEX('[1]Přepravní soustava'!$C$41:$AL$41,1,MATCH(O$5,'[1]Přepravní soustava'!$C$1:$AL$1,0)+1)/1000,"")</f>
        <v/>
      </c>
      <c r="P19" s="590">
        <f t="shared" si="0"/>
        <v>20927.095868</v>
      </c>
    </row>
    <row r="20" spans="1:19" ht="18" customHeight="1" x14ac:dyDescent="0.2">
      <c r="A20" s="875"/>
      <c r="B20" s="98" t="s">
        <v>159</v>
      </c>
      <c r="C20" s="568" t="s">
        <v>303</v>
      </c>
      <c r="D20" s="543">
        <f>IF(T!$A$4&gt;=D$42,-INDEX('[1]Přepravní soustava'!$C$45:$AL$45,1,MATCH(D$5,'[1]Přepravní soustava'!$C$1:$AL$1,0)+1)/1000,"")</f>
        <v>-175.246745</v>
      </c>
      <c r="E20" s="543">
        <f>IF(T!$A$4&gt;=E$42,-INDEX('[1]Přepravní soustava'!$C$45:$AL$45,1,MATCH(E$5,'[1]Přepravní soustava'!$C$1:$AL$1,0)+1)/1000,"")</f>
        <v>-101.32244299999999</v>
      </c>
      <c r="F20" s="570">
        <f>IF(T!$A$4&gt;=F$42,-INDEX('[1]Přepravní soustava'!$C$45:$AL$45,1,MATCH(F$5,'[1]Přepravní soustava'!$C$1:$AL$1,0)+1)/1000,"")</f>
        <v>-95.956741000000008</v>
      </c>
      <c r="G20" s="543">
        <f>IF(T!$A$4&gt;=G$42,-INDEX('[1]Přepravní soustava'!$C$45:$AL$45,1,MATCH(G$5,'[1]Přepravní soustava'!$C$1:$AL$1,0)+1)/1000,"")</f>
        <v>-553.96945600000004</v>
      </c>
      <c r="H20" s="530" t="str">
        <f>IF(T!$A$4&gt;=H$42,-INDEX('[1]Přepravní soustava'!$C$45:$AL$45,1,MATCH(H$5,'[1]Přepravní soustava'!$C$1:$AL$1,0)+1)/1000,"")</f>
        <v/>
      </c>
      <c r="I20" s="545" t="str">
        <f>IF(T!$A$4&gt;=I$42,-INDEX('[1]Přepravní soustava'!$C$45:$AL$45,1,MATCH(I$5,'[1]Přepravní soustava'!$C$1:$AL$1,0)+1)/1000,"")</f>
        <v/>
      </c>
      <c r="J20" s="530" t="str">
        <f>IF(T!$A$4&gt;=J$42,-INDEX('[1]Přepravní soustava'!$C$45:$AL$45,1,MATCH(J$5,'[1]Přepravní soustava'!$C$1:$AL$1,0)+1)/1000,"")</f>
        <v/>
      </c>
      <c r="K20" s="530" t="str">
        <f>IF(T!$A$4&gt;=K$42,-INDEX('[1]Přepravní soustava'!$C$45:$AL$45,1,MATCH(K$5,'[1]Přepravní soustava'!$C$1:$AL$1,0)+1)/1000,"")</f>
        <v/>
      </c>
      <c r="L20" s="545" t="str">
        <f>IF(T!$A$4&gt;=L$42,-INDEX('[1]Přepravní soustava'!$C$45:$AL$45,1,MATCH(L$5,'[1]Přepravní soustava'!$C$1:$AL$1,0)+1)/1000,"")</f>
        <v/>
      </c>
      <c r="M20" s="530" t="str">
        <f>IF(T!$A$4&gt;=M$42,-INDEX('[1]Přepravní soustava'!$C$45:$AL$45,1,MATCH(M$5,'[1]Přepravní soustava'!$C$1:$AL$1,0)+1)/1000,"")</f>
        <v/>
      </c>
      <c r="N20" s="530" t="str">
        <f>IF(T!$A$4&gt;=N$42,-INDEX('[1]Přepravní soustava'!$C$45:$AL$45,1,MATCH(N$5,'[1]Přepravní soustava'!$C$1:$AL$1,0)+1)/1000,"")</f>
        <v/>
      </c>
      <c r="O20" s="530" t="str">
        <f>IF(T!$A$4&gt;=O$42,-INDEX('[1]Přepravní soustava'!$C$45:$AL$45,1,MATCH(O$5,'[1]Přepravní soustava'!$C$1:$AL$1,0)+1)/1000,"")</f>
        <v/>
      </c>
      <c r="P20" s="590">
        <f t="shared" si="0"/>
        <v>-926.49538500000006</v>
      </c>
    </row>
    <row r="21" spans="1:19" ht="18" customHeight="1" x14ac:dyDescent="0.2">
      <c r="A21" s="875"/>
      <c r="B21" s="611" t="s">
        <v>160</v>
      </c>
      <c r="C21" s="568" t="s">
        <v>303</v>
      </c>
      <c r="D21" s="543">
        <f>IF(T!$A$4&gt;=D$42,D19+D20,"")</f>
        <v>6884.6724999999997</v>
      </c>
      <c r="E21" s="543">
        <f>IF(T!$A$4&gt;=E$42,E19+E20,"")</f>
        <v>7680.1415020000004</v>
      </c>
      <c r="F21" s="570">
        <f>IF(T!$A$4&gt;=F$42,F19+F20,"")</f>
        <v>5557.1236309999995</v>
      </c>
      <c r="G21" s="543">
        <f>IF(T!$A$4&gt;=G$42,G19+G20,"")</f>
        <v>-121.33715000000007</v>
      </c>
      <c r="H21" s="530" t="str">
        <f>IF(T!$A$4&gt;=H$42,H19+H20,"")</f>
        <v/>
      </c>
      <c r="I21" s="545" t="str">
        <f>IF(T!$A$4&gt;=I$42,I19+I20,"")</f>
        <v/>
      </c>
      <c r="J21" s="530" t="str">
        <f>IF(T!$A$4&gt;=J$42,J19+J20,"")</f>
        <v/>
      </c>
      <c r="K21" s="530" t="str">
        <f>IF(T!$A$4&gt;=K$42,K19+K20,"")</f>
        <v/>
      </c>
      <c r="L21" s="545" t="str">
        <f>IF(T!$A$4&gt;=L$42,L19+L20,"")</f>
        <v/>
      </c>
      <c r="M21" s="530" t="str">
        <f>IF(T!$A$4&gt;=M$42,M19+M20,"")</f>
        <v/>
      </c>
      <c r="N21" s="530" t="str">
        <f>IF(T!$A$4&gt;=N$42,N19+N20,"")</f>
        <v/>
      </c>
      <c r="O21" s="530" t="str">
        <f>IF(T!$A$4&gt;=O$42,O19+O20,"")</f>
        <v/>
      </c>
      <c r="P21" s="590">
        <f t="shared" si="0"/>
        <v>20000.600482999998</v>
      </c>
    </row>
    <row r="22" spans="1:19" ht="18" customHeight="1" x14ac:dyDescent="0.2">
      <c r="A22" s="875"/>
      <c r="B22" s="611" t="s">
        <v>298</v>
      </c>
      <c r="C22" s="568" t="s">
        <v>303</v>
      </c>
      <c r="D22" s="543">
        <f>IF(T!$A$4&gt;=D$42,'[10]Stav zásob ČR'!C4,"")</f>
        <v>16158.764895715989</v>
      </c>
      <c r="E22" s="543">
        <f>IF(T!$A$4&gt;=E$42,'[10]Stav zásob ČR'!D4,"")</f>
        <v>8478.6233937159905</v>
      </c>
      <c r="F22" s="570">
        <f>IF(T!$A$4&gt;=F$42,'[10]Stav zásob ČR'!E4,"")</f>
        <v>2921.4997627159905</v>
      </c>
      <c r="G22" s="543">
        <f>IF(T!$A$4&gt;=G$42,'[10]Stav zásob ČR'!F4,"")</f>
        <v>3042.8369127159904</v>
      </c>
      <c r="H22" s="530" t="str">
        <f>IF(T!$A$4&gt;=H$42,'[10]Stav zásob ČR'!G4,"")</f>
        <v/>
      </c>
      <c r="I22" s="545" t="str">
        <f>IF(T!$A$4&gt;=I$42,'[10]Stav zásob ČR'!H4,"")</f>
        <v/>
      </c>
      <c r="J22" s="530" t="str">
        <f>IF(T!$A$4&gt;=J$42,'[10]Stav zásob ČR'!I4,"")</f>
        <v/>
      </c>
      <c r="K22" s="530" t="str">
        <f>IF(T!$A$4&gt;=K$42,'[10]Stav zásob ČR'!J4,"")</f>
        <v/>
      </c>
      <c r="L22" s="545" t="str">
        <f>IF(T!$A$4&gt;=L$42,'[10]Stav zásob ČR'!K4,"")</f>
        <v/>
      </c>
      <c r="M22" s="530" t="str">
        <f>IF(T!$A$4&gt;=M$42,'[10]Stav zásob ČR'!L4,"")</f>
        <v/>
      </c>
      <c r="N22" s="530" t="str">
        <f>IF(T!$A$4&gt;=N$42,'[10]Stav zásob ČR'!M4,"")</f>
        <v/>
      </c>
      <c r="O22" s="530" t="str">
        <f>IF(T!$A$4&gt;=O$42,'[10]Stav zásob ČR'!N4,"")</f>
        <v/>
      </c>
      <c r="P22" s="590">
        <f>INDEX(D22:O22,,T!$A$4)</f>
        <v>3042.8369127159904</v>
      </c>
    </row>
    <row r="23" spans="1:19" ht="9" customHeight="1" x14ac:dyDescent="0.2">
      <c r="A23" s="876"/>
      <c r="B23" s="514"/>
      <c r="C23" s="502"/>
      <c r="D23" s="547"/>
      <c r="E23" s="547"/>
      <c r="F23" s="578"/>
      <c r="G23" s="547"/>
      <c r="H23" s="549"/>
      <c r="I23" s="550"/>
      <c r="J23" s="549"/>
      <c r="K23" s="549"/>
      <c r="L23" s="550"/>
      <c r="M23" s="549"/>
      <c r="N23" s="549"/>
      <c r="O23" s="549"/>
      <c r="P23" s="591"/>
    </row>
    <row r="24" spans="1:19" ht="9" customHeight="1" x14ac:dyDescent="0.2">
      <c r="A24" s="507"/>
      <c r="B24" s="465"/>
      <c r="C24" s="520"/>
      <c r="D24" s="499"/>
      <c r="E24" s="499"/>
      <c r="F24" s="521"/>
      <c r="G24" s="499"/>
      <c r="H24" s="499"/>
      <c r="I24" s="521"/>
      <c r="J24" s="499"/>
      <c r="K24" s="499"/>
      <c r="L24" s="521"/>
      <c r="M24" s="499"/>
      <c r="N24" s="499"/>
      <c r="O24" s="499"/>
      <c r="P24" s="590"/>
    </row>
    <row r="25" spans="1:19" ht="18" customHeight="1" x14ac:dyDescent="0.2">
      <c r="A25" s="820" t="s">
        <v>261</v>
      </c>
      <c r="B25" s="820"/>
      <c r="C25" s="568" t="s">
        <v>250</v>
      </c>
      <c r="D25" s="530">
        <f>IF(T!$A$4&gt;=D$42,INDEX('[3]Poklady MZ'!$C$17:$Z$17,1,MATCH(D$5,'[3]Poklady MZ'!$C$1:$Z$1,0))/1000,"")</f>
        <v>14.180403000000002</v>
      </c>
      <c r="E25" s="543">
        <f>IF(T!$A$4&gt;=E$42,INDEX('[3]Poklady MZ'!$C$17:$Z$17,1,MATCH(E$5,'[3]Poklady MZ'!$C$1:$Z$1,0))/1000,"")</f>
        <v>13.270028</v>
      </c>
      <c r="F25" s="570">
        <f>IF(T!$A$4&gt;=F$42,INDEX('[3]Poklady MZ'!$C$17:$Z$17,1,MATCH(F$5,'[3]Poklady MZ'!$C$1:$Z$1,0))/1000,"")</f>
        <v>14.707849999999999</v>
      </c>
      <c r="G25" s="543">
        <f>IF(T!$A$4&gt;=G$42,INDEX('[3]Poklady MZ'!$C$17:$Z$17,1,MATCH(G$5,'[3]Poklady MZ'!$C$1:$Z$1,0))/1000,"")</f>
        <v>13.986095999999998</v>
      </c>
      <c r="H25" s="530" t="str">
        <f>IF(T!$A$4&gt;=H$42,INDEX('[3]Poklady MZ'!$C$17:$Z$17,1,MATCH(H$5,'[3]Poklady MZ'!$C$1:$Z$1,0))/1000,"")</f>
        <v/>
      </c>
      <c r="I25" s="545" t="str">
        <f>IF(T!$A$4&gt;=I$42,INDEX('[3]Poklady MZ'!$C$17:$Z$17,1,MATCH(I$5,'[3]Poklady MZ'!$C$1:$Z$1,0))/1000,"")</f>
        <v/>
      </c>
      <c r="J25" s="530" t="str">
        <f>IF(T!$A$4&gt;=J$42,INDEX('[3]Poklady MZ'!$C$17:$Z$17,1,MATCH(J$5,'[3]Poklady MZ'!$C$1:$Z$1,0))/1000,"")</f>
        <v/>
      </c>
      <c r="K25" s="530" t="str">
        <f>IF(T!$A$4&gt;=K$42,INDEX('[3]Poklady MZ'!$C$17:$Z$17,1,MATCH(K$5,'[3]Poklady MZ'!$C$1:$Z$1,0))/1000,"")</f>
        <v/>
      </c>
      <c r="L25" s="545" t="str">
        <f>IF(T!$A$4&gt;=L$42,INDEX('[3]Poklady MZ'!$C$17:$Z$17,1,MATCH(L$5,'[3]Poklady MZ'!$C$1:$Z$1,0))/1000,"")</f>
        <v/>
      </c>
      <c r="M25" s="530" t="str">
        <f>IF(T!$A$4&gt;=M$42,INDEX('[3]Poklady MZ'!$C$17:$Z$17,1,MATCH(M$5,'[3]Poklady MZ'!$C$1:$Z$1,0))/1000,"")</f>
        <v/>
      </c>
      <c r="N25" s="530" t="str">
        <f>IF(T!$A$4&gt;=N$42,INDEX('[3]Poklady MZ'!$C$17:$Z$17,1,MATCH(N$5,'[3]Poklady MZ'!$C$1:$Z$1,0))/1000,"")</f>
        <v/>
      </c>
      <c r="O25" s="530" t="str">
        <f>IF(T!$A$4&gt;=O$42,INDEX('[3]Poklady MZ'!$C$17:$Z$17,1,MATCH(O$5,'[3]Poklady MZ'!$C$1:$Z$1,0))/1000,"")</f>
        <v/>
      </c>
      <c r="P25" s="590">
        <f t="shared" si="0"/>
        <v>56.144376999999999</v>
      </c>
    </row>
    <row r="26" spans="1:19" ht="18" customHeight="1" x14ac:dyDescent="0.2">
      <c r="A26" s="820" t="s">
        <v>261</v>
      </c>
      <c r="B26" s="820"/>
      <c r="C26" s="568" t="s">
        <v>303</v>
      </c>
      <c r="D26" s="543">
        <f>IF(T!$A$4&gt;=D$42,INDEX('[3]Poklady MZ'!$C$17:$Z$17,1,MATCH(D$5,'[3]Poklady MZ'!$C$1:$Z$1,0)+1)/1000,"")</f>
        <v>154.08155320000003</v>
      </c>
      <c r="E26" s="543">
        <f>IF(T!$A$4&gt;=E$42,INDEX('[3]Poklady MZ'!$C$17:$Z$17,1,MATCH(E$5,'[3]Poklady MZ'!$C$1:$Z$1,0)+1)/1000,"")</f>
        <v>144.12608200000003</v>
      </c>
      <c r="F26" s="570">
        <f>IF(T!$A$4&gt;=F$42,INDEX('[3]Poklady MZ'!$C$17:$Z$17,1,MATCH(F$5,'[3]Poklady MZ'!$C$1:$Z$1,0)+1)/1000,"")</f>
        <v>159.14952839489999</v>
      </c>
      <c r="G26" s="543">
        <f>IF(T!$A$4&gt;=G$42,INDEX('[3]Poklady MZ'!$C$17:$Z$17,1,MATCH(G$5,'[3]Poklady MZ'!$C$1:$Z$1,0)+1)/1000,"")</f>
        <v>151.93253561999998</v>
      </c>
      <c r="H26" s="530" t="str">
        <f>IF(T!$A$4&gt;=H$42,INDEX('[3]Poklady MZ'!$C$17:$Z$17,1,MATCH(H$5,'[3]Poklady MZ'!$C$1:$Z$1,0)+1)/1000,"")</f>
        <v/>
      </c>
      <c r="I26" s="545" t="str">
        <f>IF(T!$A$4&gt;=I$42,INDEX('[3]Poklady MZ'!$C$17:$Z$17,1,MATCH(I$5,'[3]Poklady MZ'!$C$1:$Z$1,0)+1)/1000,"")</f>
        <v/>
      </c>
      <c r="J26" s="530" t="str">
        <f>IF(T!$A$4&gt;=J$42,INDEX('[3]Poklady MZ'!$C$17:$Z$17,1,MATCH(J$5,'[3]Poklady MZ'!$C$1:$Z$1,0)+1)/1000,"")</f>
        <v/>
      </c>
      <c r="K26" s="530" t="str">
        <f>IF(T!$A$4&gt;=K$42,INDEX('[3]Poklady MZ'!$C$17:$Z$17,1,MATCH(K$5,'[3]Poklady MZ'!$C$1:$Z$1,0)+1)/1000,"")</f>
        <v/>
      </c>
      <c r="L26" s="545" t="str">
        <f>IF(T!$A$4&gt;=L$42,INDEX('[3]Poklady MZ'!$C$17:$Z$17,1,MATCH(L$5,'[3]Poklady MZ'!$C$1:$Z$1,0)+1)/1000,"")</f>
        <v/>
      </c>
      <c r="M26" s="530" t="str">
        <f>IF(T!$A$4&gt;=M$42,INDEX('[3]Poklady MZ'!$C$17:$Z$17,1,MATCH(M$5,'[3]Poklady MZ'!$C$1:$Z$1,0)+1)/1000,"")</f>
        <v/>
      </c>
      <c r="N26" s="530" t="str">
        <f>IF(T!$A$4&gt;=N$42,INDEX('[3]Poklady MZ'!$C$17:$Z$17,1,MATCH(N$5,'[3]Poklady MZ'!$C$1:$Z$1,0)+1)/1000,"")</f>
        <v/>
      </c>
      <c r="O26" s="530" t="str">
        <f>IF(T!$A$4&gt;=O$42,INDEX('[3]Poklady MZ'!$C$17:$Z$17,1,MATCH(O$5,'[3]Poklady MZ'!$C$1:$Z$1,0)+1)/1000,"")</f>
        <v/>
      </c>
      <c r="P26" s="590">
        <f t="shared" si="0"/>
        <v>609.2896992149</v>
      </c>
    </row>
    <row r="27" spans="1:19" ht="9" customHeight="1" x14ac:dyDescent="0.2">
      <c r="A27" s="506"/>
      <c r="B27" s="613"/>
      <c r="C27" s="573"/>
      <c r="D27" s="547"/>
      <c r="E27" s="547"/>
      <c r="F27" s="578"/>
      <c r="G27" s="547"/>
      <c r="H27" s="549"/>
      <c r="I27" s="550"/>
      <c r="J27" s="549"/>
      <c r="K27" s="549"/>
      <c r="L27" s="550"/>
      <c r="M27" s="549"/>
      <c r="N27" s="549"/>
      <c r="O27" s="549"/>
      <c r="P27" s="591"/>
    </row>
    <row r="28" spans="1:19" ht="9" customHeight="1" x14ac:dyDescent="0.2">
      <c r="A28" s="507"/>
      <c r="B28" s="465"/>
      <c r="C28" s="520"/>
      <c r="D28" s="499"/>
      <c r="E28" s="499"/>
      <c r="F28" s="521"/>
      <c r="G28" s="499"/>
      <c r="H28" s="499"/>
      <c r="I28" s="521"/>
      <c r="J28" s="499"/>
      <c r="K28" s="499"/>
      <c r="L28" s="521"/>
      <c r="M28" s="499"/>
      <c r="N28" s="499"/>
      <c r="O28" s="499"/>
      <c r="P28" s="590"/>
    </row>
    <row r="29" spans="1:19" ht="18" customHeight="1" x14ac:dyDescent="0.2">
      <c r="A29" s="820" t="s">
        <v>260</v>
      </c>
      <c r="B29" s="820"/>
      <c r="C29" s="568" t="s">
        <v>250</v>
      </c>
      <c r="D29" s="530">
        <f>IF(T!$A$4&gt;=D$42,-INDEX('[1]Přepravní soustava'!$C$49:$AL$49,1,MATCH(D$5,'[1]Přepravní soustava'!$C$1:$AL$1,0))/1000,"")</f>
        <v>-18.117960132158839</v>
      </c>
      <c r="E29" s="543">
        <f>IF(T!$A$4&gt;=E$42,-INDEX('[1]Přepravní soustava'!$C$49:$AL$49,1,MATCH(E$5,'[1]Přepravní soustava'!$C$1:$AL$1,0))/1000,"")</f>
        <v>-12.684402622247585</v>
      </c>
      <c r="F29" s="570">
        <f>IF(T!$A$4&gt;=F$42,-INDEX('[1]Přepravní soustava'!$C$49:$AL$49,1,MATCH(F$5,'[1]Přepravní soustava'!$C$1:$AL$1,0))/1000,"")</f>
        <v>-6.0139529915014425</v>
      </c>
      <c r="G29" s="543">
        <f>IF(T!$A$4&gt;=G$42,-INDEX('[1]Přepravní soustava'!$C$49:$AL$49,1,MATCH(G$5,'[1]Přepravní soustava'!$C$1:$AL$1,0))/1000,"")</f>
        <v>-22.13701290711484</v>
      </c>
      <c r="H29" s="530" t="str">
        <f>IF(T!$A$4&gt;=H$42,-INDEX('[1]Přepravní soustava'!$C$49:$AL$49,1,MATCH(H$5,'[1]Přepravní soustava'!$C$1:$AL$1,0))/1000,"")</f>
        <v/>
      </c>
      <c r="I29" s="545" t="str">
        <f>IF(T!$A$4&gt;=I$42,-INDEX('[1]Přepravní soustava'!$C$49:$AL$49,1,MATCH(I$5,'[1]Přepravní soustava'!$C$1:$AL$1,0))/1000,"")</f>
        <v/>
      </c>
      <c r="J29" s="530" t="str">
        <f>IF(T!$A$4&gt;=J$42,-INDEX('[1]Přepravní soustava'!$C$49:$AL$49,1,MATCH(J$5,'[1]Přepravní soustava'!$C$1:$AL$1,0))/1000,"")</f>
        <v/>
      </c>
      <c r="K29" s="530" t="str">
        <f>IF(T!$A$4&gt;=K$42,-INDEX('[1]Přepravní soustava'!$C$49:$AL$49,1,MATCH(K$5,'[1]Přepravní soustava'!$C$1:$AL$1,0))/1000,"")</f>
        <v/>
      </c>
      <c r="L29" s="545" t="str">
        <f>IF(T!$A$4&gt;=L$42,-INDEX('[1]Přepravní soustava'!$C$49:$AL$49,1,MATCH(L$5,'[1]Přepravní soustava'!$C$1:$AL$1,0))/1000,"")</f>
        <v/>
      </c>
      <c r="M29" s="530" t="str">
        <f>IF(T!$A$4&gt;=M$42,-INDEX('[1]Přepravní soustava'!$C$49:$AL$49,1,MATCH(M$5,'[1]Přepravní soustava'!$C$1:$AL$1,0))/1000,"")</f>
        <v/>
      </c>
      <c r="N29" s="530" t="str">
        <f>IF(T!$A$4&gt;=N$42,-INDEX('[1]Přepravní soustava'!$C$49:$AL$49,1,MATCH(N$5,'[1]Přepravní soustava'!$C$1:$AL$1,0))/1000,"")</f>
        <v/>
      </c>
      <c r="O29" s="530" t="str">
        <f>IF(T!$A$4&gt;=O$42,-INDEX('[1]Přepravní soustava'!$C$49:$AL$49,1,MATCH(O$5,'[1]Přepravní soustava'!$C$1:$AL$1,0))/1000,"")</f>
        <v/>
      </c>
      <c r="P29" s="590">
        <f t="shared" si="0"/>
        <v>-58.953328653022709</v>
      </c>
    </row>
    <row r="30" spans="1:19" ht="18" customHeight="1" x14ac:dyDescent="0.2">
      <c r="A30" s="820" t="s">
        <v>260</v>
      </c>
      <c r="B30" s="820"/>
      <c r="C30" s="568" t="s">
        <v>303</v>
      </c>
      <c r="D30" s="543">
        <f>IF(T!$A$4&gt;=D$42,-INDEX('[1]Přepravní soustava'!$C$49:$AL$49,1,MATCH(D$5,'[1]Přepravní soustava'!$C$1:$AL$1,0)+1)/1000,"")</f>
        <v>-179.50949799999512</v>
      </c>
      <c r="E30" s="543">
        <f>IF(T!$A$4&gt;=E$42,-INDEX('[1]Přepravní soustava'!$C$49:$AL$49,1,MATCH(E$5,'[1]Přepravní soustava'!$C$1:$AL$1,0)+1)/1000,"")</f>
        <v>-129.10178000000303</v>
      </c>
      <c r="F30" s="570">
        <f>IF(T!$A$4&gt;=F$42,-INDEX('[1]Přepravní soustava'!$C$49:$AL$49,1,MATCH(F$5,'[1]Přepravní soustava'!$C$1:$AL$1,0)+1)/1000,"")</f>
        <v>-61.052843999995297</v>
      </c>
      <c r="G30" s="543">
        <f>IF(T!$A$4&gt;=G$42,-INDEX('[1]Přepravní soustava'!$C$49:$AL$49,1,MATCH(G$5,'[1]Přepravní soustava'!$C$1:$AL$1,0)+1)/1000,"")</f>
        <v>-234.87534299999791</v>
      </c>
      <c r="H30" s="530" t="str">
        <f>IF(T!$A$4&gt;=H$42,-INDEX('[1]Přepravní soustava'!$C$49:$AL$49,1,MATCH(H$5,'[1]Přepravní soustava'!$C$1:$AL$1,0)+1)/1000,"")</f>
        <v/>
      </c>
      <c r="I30" s="545" t="str">
        <f>IF(T!$A$4&gt;=I$42,-INDEX('[1]Přepravní soustava'!$C$49:$AL$49,1,MATCH(I$5,'[1]Přepravní soustava'!$C$1:$AL$1,0)+1)/1000,"")</f>
        <v/>
      </c>
      <c r="J30" s="530" t="str">
        <f>IF(T!$A$4&gt;=J$42,-INDEX('[1]Přepravní soustava'!$C$49:$AL$49,1,MATCH(J$5,'[1]Přepravní soustava'!$C$1:$AL$1,0)+1)/1000,"")</f>
        <v/>
      </c>
      <c r="K30" s="530" t="str">
        <f>IF(T!$A$4&gt;=K$42,-INDEX('[1]Přepravní soustava'!$C$49:$AL$49,1,MATCH(K$5,'[1]Přepravní soustava'!$C$1:$AL$1,0)+1)/1000,"")</f>
        <v/>
      </c>
      <c r="L30" s="545" t="str">
        <f>IF(T!$A$4&gt;=L$42,-INDEX('[1]Přepravní soustava'!$C$49:$AL$49,1,MATCH(L$5,'[1]Přepravní soustava'!$C$1:$AL$1,0)+1)/1000,"")</f>
        <v/>
      </c>
      <c r="M30" s="530" t="str">
        <f>IF(T!$A$4&gt;=M$42,-INDEX('[1]Přepravní soustava'!$C$49:$AL$49,1,MATCH(M$5,'[1]Přepravní soustava'!$C$1:$AL$1,0)+1)/1000,"")</f>
        <v/>
      </c>
      <c r="N30" s="530" t="str">
        <f>IF(T!$A$4&gt;=N$42,-INDEX('[1]Přepravní soustava'!$C$49:$AL$49,1,MATCH(N$5,'[1]Přepravní soustava'!$C$1:$AL$1,0)+1)/1000,"")</f>
        <v/>
      </c>
      <c r="O30" s="530" t="str">
        <f>IF(T!$A$4&gt;=O$42,-INDEX('[1]Přepravní soustava'!$C$49:$AL$49,1,MATCH(O$5,'[1]Přepravní soustava'!$C$1:$AL$1,0)+1)/1000,"")</f>
        <v/>
      </c>
      <c r="P30" s="590">
        <f t="shared" si="0"/>
        <v>-604.53946499999131</v>
      </c>
    </row>
    <row r="31" spans="1:19" ht="9" customHeight="1" x14ac:dyDescent="0.2">
      <c r="A31" s="506"/>
      <c r="B31" s="613"/>
      <c r="C31" s="573"/>
      <c r="D31" s="547"/>
      <c r="E31" s="547"/>
      <c r="F31" s="578"/>
      <c r="G31" s="547"/>
      <c r="H31" s="549"/>
      <c r="I31" s="550"/>
      <c r="J31" s="549"/>
      <c r="K31" s="549"/>
      <c r="L31" s="550"/>
      <c r="M31" s="549"/>
      <c r="N31" s="549"/>
      <c r="O31" s="549"/>
      <c r="P31" s="591"/>
    </row>
    <row r="32" spans="1:19" ht="9" customHeight="1" x14ac:dyDescent="0.2">
      <c r="A32" s="889"/>
      <c r="B32" s="614"/>
      <c r="C32" s="599"/>
      <c r="D32" s="600"/>
      <c r="E32" s="600"/>
      <c r="F32" s="601"/>
      <c r="G32" s="600"/>
      <c r="H32" s="600"/>
      <c r="I32" s="601"/>
      <c r="J32" s="600"/>
      <c r="K32" s="600"/>
      <c r="L32" s="601"/>
      <c r="M32" s="600"/>
      <c r="N32" s="600"/>
      <c r="O32" s="600"/>
      <c r="P32" s="595"/>
    </row>
    <row r="33" spans="1:16" ht="18" customHeight="1" x14ac:dyDescent="0.2">
      <c r="A33" s="885"/>
      <c r="B33" s="615" t="s">
        <v>85</v>
      </c>
      <c r="C33" s="566" t="s">
        <v>250</v>
      </c>
      <c r="D33" s="522">
        <f>IF(T!$A$4&gt;=D$42,D9+D17+D25+D29,"")</f>
        <v>1081.281222384222</v>
      </c>
      <c r="E33" s="523">
        <f>IF(T!$A$4&gt;=E$42,E9+E17+E25+E29,"")</f>
        <v>989.8668869294786</v>
      </c>
      <c r="F33" s="524">
        <f>IF(T!$A$4&gt;=F$42,F9+F17+F25+F29,"")</f>
        <v>865.53172392396289</v>
      </c>
      <c r="G33" s="523">
        <f>IF(T!$A$4&gt;=G$42,G9+G17+G25+G29,"")</f>
        <v>622.80943485640046</v>
      </c>
      <c r="H33" s="522" t="str">
        <f>IF(T!$A$4&gt;=H$42,H9+H17+H25+H29,"")</f>
        <v/>
      </c>
      <c r="I33" s="525" t="str">
        <f>IF(T!$A$4&gt;=I$42,I9+I17+I25+I29,"")</f>
        <v/>
      </c>
      <c r="J33" s="522" t="str">
        <f>IF(T!$A$4&gt;=J$42,J9+J17+J25+J29,"")</f>
        <v/>
      </c>
      <c r="K33" s="522" t="str">
        <f>IF(T!$A$4&gt;=K$42,K9+K17+K25+K29,"")</f>
        <v/>
      </c>
      <c r="L33" s="525" t="str">
        <f>IF(T!$A$4&gt;=L$42,L9+L17+L25+L29,"")</f>
        <v/>
      </c>
      <c r="M33" s="522" t="str">
        <f>IF(T!$A$4&gt;=M$42,M9+M17+M25+M29,"")</f>
        <v/>
      </c>
      <c r="N33" s="522" t="str">
        <f>IF(T!$A$4&gt;=N$42,N9+N17+N25+N29,"")</f>
        <v/>
      </c>
      <c r="O33" s="522" t="str">
        <f>IF(T!$A$4&gt;=O$42,O9+O17+O25+O29,"")</f>
        <v/>
      </c>
      <c r="P33" s="595">
        <f t="shared" si="0"/>
        <v>3559.4892680940643</v>
      </c>
    </row>
    <row r="34" spans="1:16" ht="18" customHeight="1" x14ac:dyDescent="0.2">
      <c r="A34" s="885"/>
      <c r="B34" s="615" t="s">
        <v>85</v>
      </c>
      <c r="C34" s="566" t="s">
        <v>303</v>
      </c>
      <c r="D34" s="523">
        <f>IF(T!$A$4&gt;=D$42,D12+D21+D26+D30,"")</f>
        <v>11492.758327553393</v>
      </c>
      <c r="E34" s="523">
        <f>IF(T!$A$4&gt;=E$42,E12+E21+E26+E30,"")</f>
        <v>10525.401381702706</v>
      </c>
      <c r="F34" s="524">
        <f>IF(T!$A$4&gt;=F$42,F12+F21+F26+F30,"")</f>
        <v>9201.9028546028949</v>
      </c>
      <c r="G34" s="523">
        <f>IF(T!$A$4&gt;=G$42,G12+G21+G26+G30,"")</f>
        <v>6626.1087584350007</v>
      </c>
      <c r="H34" s="522" t="str">
        <f>IF(T!$A$4&gt;=H$42,H12+H21+H26+H30,"")</f>
        <v/>
      </c>
      <c r="I34" s="525" t="str">
        <f>IF(T!$A$4&gt;=I$42,I12+I21+I26+I30,"")</f>
        <v/>
      </c>
      <c r="J34" s="522" t="str">
        <f>IF(T!$A$4&gt;=J$42,J12+J21+J26+J30,"")</f>
        <v/>
      </c>
      <c r="K34" s="522" t="str">
        <f>IF(T!$A$4&gt;=K$42,K12+K21+K26+K30,"")</f>
        <v/>
      </c>
      <c r="L34" s="525" t="str">
        <f>IF(T!$A$4&gt;=L$42,L12+L21+L26+L30,"")</f>
        <v/>
      </c>
      <c r="M34" s="522" t="str">
        <f>IF(T!$A$4&gt;=M$42,M12+M21+M26+M30,"")</f>
        <v/>
      </c>
      <c r="N34" s="522" t="str">
        <f>IF(T!$A$4&gt;=N$42,N12+N21+N26+N30,"")</f>
        <v/>
      </c>
      <c r="O34" s="522" t="str">
        <f>IF(T!$A$4&gt;=O$42,O12+O21+O26+O30,"")</f>
        <v/>
      </c>
      <c r="P34" s="595">
        <f t="shared" si="0"/>
        <v>37846.171322293994</v>
      </c>
    </row>
    <row r="35" spans="1:16" ht="9" customHeight="1" x14ac:dyDescent="0.2">
      <c r="A35" s="886"/>
      <c r="B35" s="616"/>
      <c r="C35" s="603"/>
      <c r="D35" s="604"/>
      <c r="E35" s="604"/>
      <c r="F35" s="605"/>
      <c r="G35" s="604"/>
      <c r="H35" s="606"/>
      <c r="I35" s="607"/>
      <c r="J35" s="606"/>
      <c r="K35" s="606"/>
      <c r="L35" s="607"/>
      <c r="M35" s="606"/>
      <c r="N35" s="606"/>
      <c r="O35" s="606"/>
      <c r="P35" s="608"/>
    </row>
    <row r="36" spans="1:16" x14ac:dyDescent="0.2">
      <c r="A36" s="39"/>
      <c r="B36" s="505"/>
      <c r="C36" s="580"/>
      <c r="G36" s="510"/>
      <c r="H36" s="505"/>
      <c r="I36" s="504"/>
      <c r="M36" s="510"/>
      <c r="N36" s="505"/>
      <c r="O36" s="505"/>
      <c r="P36" s="612"/>
    </row>
    <row r="37" spans="1:16" x14ac:dyDescent="0.2">
      <c r="P37" s="594"/>
    </row>
    <row r="42" spans="1:16" x14ac:dyDescent="0.2">
      <c r="E42" s="690">
        <v>2</v>
      </c>
      <c r="F42" s="690">
        <v>3</v>
      </c>
      <c r="G42" s="690">
        <v>4</v>
      </c>
      <c r="H42" s="690">
        <v>5</v>
      </c>
      <c r="I42" s="690">
        <v>6</v>
      </c>
      <c r="J42" s="690">
        <v>7</v>
      </c>
      <c r="K42" s="690">
        <v>8</v>
      </c>
      <c r="L42" s="690">
        <v>9</v>
      </c>
      <c r="M42" s="690">
        <v>10</v>
      </c>
      <c r="N42" s="690">
        <v>11</v>
      </c>
      <c r="O42" s="690">
        <v>12</v>
      </c>
    </row>
  </sheetData>
  <mergeCells count="10">
    <mergeCell ref="A32:A35"/>
    <mergeCell ref="A25:B25"/>
    <mergeCell ref="A26:B26"/>
    <mergeCell ref="A29:B29"/>
    <mergeCell ref="O1:P1"/>
    <mergeCell ref="A2:P2"/>
    <mergeCell ref="A3:P3"/>
    <mergeCell ref="A6:A13"/>
    <mergeCell ref="A30:B30"/>
    <mergeCell ref="A14:A2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R45"/>
  <sheetViews>
    <sheetView view="pageBreakPreview" zoomScaleNormal="100" zoomScaleSheetLayoutView="100" workbookViewId="0">
      <selection activeCell="C1" sqref="C1"/>
    </sheetView>
  </sheetViews>
  <sheetFormatPr defaultRowHeight="11.25" x14ac:dyDescent="0.2"/>
  <cols>
    <col min="1" max="1" width="9.140625" style="13" customWidth="1"/>
    <col min="2" max="14" width="8.28515625" style="13" customWidth="1"/>
    <col min="15" max="15" width="1.7109375" style="13" customWidth="1"/>
    <col min="16" max="16" width="8.28515625" style="13" customWidth="1"/>
    <col min="17" max="17" width="7.7109375" style="13" customWidth="1"/>
    <col min="18" max="19" width="2.7109375" style="13" customWidth="1"/>
    <col min="20" max="16384" width="9.140625" style="13"/>
  </cols>
  <sheetData>
    <row r="1" spans="1:18" ht="14.25" customHeight="1" x14ac:dyDescent="0.2">
      <c r="P1" s="821" t="s">
        <v>56</v>
      </c>
      <c r="Q1" s="821"/>
    </row>
    <row r="2" spans="1:18" ht="15" customHeight="1" x14ac:dyDescent="0.25">
      <c r="A2" s="890" t="s">
        <v>48</v>
      </c>
      <c r="B2" s="890"/>
      <c r="C2" s="890"/>
      <c r="D2" s="890"/>
      <c r="E2" s="890"/>
      <c r="F2" s="890"/>
      <c r="G2" s="890"/>
      <c r="H2" s="890"/>
      <c r="I2" s="890"/>
      <c r="J2" s="890"/>
      <c r="K2" s="890"/>
      <c r="L2" s="890"/>
      <c r="M2" s="890"/>
      <c r="N2" s="890"/>
      <c r="O2" s="890"/>
      <c r="P2" s="890"/>
      <c r="Q2" s="890"/>
    </row>
    <row r="3" spans="1:18" ht="15" customHeight="1" x14ac:dyDescent="0.25">
      <c r="A3" s="893">
        <f>T!$I$21</f>
        <v>2015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4"/>
      <c r="O3" s="894"/>
      <c r="P3" s="894"/>
      <c r="Q3" s="894"/>
    </row>
    <row r="4" spans="1:18" ht="9.9499999999999993" customHeight="1" x14ac:dyDescent="0.25">
      <c r="A4" s="9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8" ht="9.9499999999999993" customHeight="1" x14ac:dyDescent="0.2">
      <c r="A5" s="16"/>
      <c r="B5" s="14"/>
      <c r="C5" s="14"/>
      <c r="D5" s="14"/>
      <c r="E5" s="14"/>
      <c r="F5" s="14"/>
      <c r="G5" s="15"/>
      <c r="H5" s="15"/>
      <c r="I5" s="15"/>
      <c r="J5" s="15"/>
      <c r="K5" s="15"/>
      <c r="L5" s="15"/>
      <c r="M5" s="694"/>
      <c r="P5" s="891" t="s">
        <v>78</v>
      </c>
      <c r="Q5" s="54"/>
    </row>
    <row r="6" spans="1:18" ht="15" customHeight="1" thickBot="1" x14ac:dyDescent="0.25">
      <c r="A6" s="118" t="s">
        <v>128</v>
      </c>
      <c r="B6" s="120" t="s">
        <v>13</v>
      </c>
      <c r="C6" s="110" t="s">
        <v>58</v>
      </c>
      <c r="D6" s="110" t="s">
        <v>59</v>
      </c>
      <c r="E6" s="110" t="s">
        <v>60</v>
      </c>
      <c r="F6" s="110" t="s">
        <v>61</v>
      </c>
      <c r="G6" s="110" t="s">
        <v>62</v>
      </c>
      <c r="H6" s="110" t="s">
        <v>63</v>
      </c>
      <c r="I6" s="110" t="s">
        <v>64</v>
      </c>
      <c r="J6" s="110" t="s">
        <v>65</v>
      </c>
      <c r="K6" s="110" t="s">
        <v>66</v>
      </c>
      <c r="L6" s="110" t="s">
        <v>67</v>
      </c>
      <c r="M6" s="111" t="s">
        <v>68</v>
      </c>
      <c r="N6" s="112" t="s">
        <v>2</v>
      </c>
      <c r="O6" s="52"/>
      <c r="P6" s="892"/>
      <c r="Q6" s="111" t="s">
        <v>79</v>
      </c>
      <c r="R6" s="16"/>
    </row>
    <row r="7" spans="1:18" ht="15" customHeight="1" x14ac:dyDescent="0.2">
      <c r="A7" s="637" t="s">
        <v>6</v>
      </c>
      <c r="B7" s="638">
        <f>IF(T!$A$4&gt;=MONTH(B$6&amp;$A$3),'[11]Podklady MZ'!B3,"")</f>
        <v>281</v>
      </c>
      <c r="C7" s="639">
        <f>IF(T!$A$4&gt;=MONTH(C$6&amp;$A$3),'[11]Podklady MZ'!C3,"")</f>
        <v>10</v>
      </c>
      <c r="D7" s="639">
        <f>IF(T!$A$4&gt;=MONTH(D$6&amp;$A$3),'[11]Podklady MZ'!D3,"")</f>
        <v>3</v>
      </c>
      <c r="E7" s="639">
        <f>IF(T!$A$4&gt;=MONTH(E$6&amp;$A$3),'[11]Podklady MZ'!E3,"")</f>
        <v>2</v>
      </c>
      <c r="F7" s="639" t="str">
        <f>IF(T!$A$4&gt;=MONTH(F$6&amp;$A$3),'[11]Podklady MZ'!F3,"")</f>
        <v/>
      </c>
      <c r="G7" s="639" t="str">
        <f>IF(T!$A$4&gt;=MONTH(G$6&amp;$A$3),'[11]Podklady MZ'!G3,"")</f>
        <v/>
      </c>
      <c r="H7" s="639" t="str">
        <f>IF(T!$A$4&gt;=MONTH(H$6&amp;$A$3),'[11]Podklady MZ'!H3,"")</f>
        <v/>
      </c>
      <c r="I7" s="639" t="str">
        <f>IF(T!$A$4&gt;=MONTH(I$6&amp;$A$3),'[11]Podklady MZ'!I3,"")</f>
        <v/>
      </c>
      <c r="J7" s="639" t="str">
        <f>IF(T!$A$4&gt;=MONTH(J$6&amp;$A$3),'[11]Podklady MZ'!J3,"")</f>
        <v/>
      </c>
      <c r="K7" s="639" t="str">
        <f>IF(T!$A$4&gt;=MONTH(K$6&amp;$A$3),'[11]Podklady MZ'!K3,"")</f>
        <v/>
      </c>
      <c r="L7" s="639" t="str">
        <f>IF(T!$A$4&gt;=MONTH(L$6&amp;$A$3),'[11]Podklady MZ'!L3,"")</f>
        <v/>
      </c>
      <c r="M7" s="640" t="str">
        <f>IF(T!$A$4&gt;=MONTH(M$6&amp;$A$3),'[11]Podklady MZ'!M3,"")</f>
        <v/>
      </c>
      <c r="N7" s="641">
        <f>SUM(B7:M7)</f>
        <v>296</v>
      </c>
      <c r="O7" s="53"/>
      <c r="P7" s="642">
        <f>'5'!D11</f>
        <v>1589</v>
      </c>
      <c r="Q7" s="643">
        <f>N7/P7</f>
        <v>0.18628067967275017</v>
      </c>
    </row>
    <row r="8" spans="1:18" ht="15" customHeight="1" x14ac:dyDescent="0.2">
      <c r="A8" s="637" t="s">
        <v>7</v>
      </c>
      <c r="B8" s="638">
        <f>IF(T!$A$4&gt;=MONTH(B$6&amp;$A$3),'[11]Podklady MZ'!B4,"")</f>
        <v>1043</v>
      </c>
      <c r="C8" s="639">
        <f>IF(T!$A$4&gt;=MONTH(C$6&amp;$A$3),'[11]Podklady MZ'!C4,"")</f>
        <v>27</v>
      </c>
      <c r="D8" s="639">
        <f>IF(T!$A$4&gt;=MONTH(D$6&amp;$A$3),'[11]Podklady MZ'!D4,"")</f>
        <v>19</v>
      </c>
      <c r="E8" s="639">
        <f>IF(T!$A$4&gt;=MONTH(E$6&amp;$A$3),'[11]Podklady MZ'!E4,"")</f>
        <v>33</v>
      </c>
      <c r="F8" s="639" t="str">
        <f>IF(T!$A$4&gt;=MONTH(F$6&amp;$A$3),'[11]Podklady MZ'!F4,"")</f>
        <v/>
      </c>
      <c r="G8" s="639" t="str">
        <f>IF(T!$A$4&gt;=MONTH(G$6&amp;$A$3),'[11]Podklady MZ'!G4,"")</f>
        <v/>
      </c>
      <c r="H8" s="639" t="str">
        <f>IF(T!$A$4&gt;=MONTH(H$6&amp;$A$3),'[11]Podklady MZ'!H4,"")</f>
        <v/>
      </c>
      <c r="I8" s="639" t="str">
        <f>IF(T!$A$4&gt;=MONTH(I$6&amp;$A$3),'[11]Podklady MZ'!I4,"")</f>
        <v/>
      </c>
      <c r="J8" s="639" t="str">
        <f>IF(T!$A$4&gt;=MONTH(J$6&amp;$A$3),'[11]Podklady MZ'!J4,"")</f>
        <v/>
      </c>
      <c r="K8" s="639" t="str">
        <f>IF(T!$A$4&gt;=MONTH(K$6&amp;$A$3),'[11]Podklady MZ'!K4,"")</f>
        <v/>
      </c>
      <c r="L8" s="639" t="str">
        <f>IF(T!$A$4&gt;=MONTH(L$6&amp;$A$3),'[11]Podklady MZ'!L4,"")</f>
        <v/>
      </c>
      <c r="M8" s="640" t="str">
        <f>IF(T!$A$4&gt;=MONTH(M$6&amp;$A$3),'[11]Podklady MZ'!M4,"")</f>
        <v/>
      </c>
      <c r="N8" s="641">
        <f t="shared" ref="N8:N10" si="0">SUM(B8:M8)</f>
        <v>1122</v>
      </c>
      <c r="O8" s="53"/>
      <c r="P8" s="642">
        <f>'5'!D12</f>
        <v>6744</v>
      </c>
      <c r="Q8" s="643">
        <f>N8/P8</f>
        <v>0.16637010676156583</v>
      </c>
    </row>
    <row r="9" spans="1:18" ht="15" customHeight="1" x14ac:dyDescent="0.2">
      <c r="A9" s="637" t="s">
        <v>8</v>
      </c>
      <c r="B9" s="638">
        <f>IF(T!$A$4&gt;=MONTH(B$6&amp;$A$3),'[11]Podklady MZ'!B5,"")</f>
        <v>10986</v>
      </c>
      <c r="C9" s="639">
        <f>IF(T!$A$4&gt;=MONTH(C$6&amp;$A$3),'[11]Podklady MZ'!C5,"")</f>
        <v>829</v>
      </c>
      <c r="D9" s="639">
        <f>IF(T!$A$4&gt;=MONTH(D$6&amp;$A$3),'[11]Podklady MZ'!D5,"")</f>
        <v>873</v>
      </c>
      <c r="E9" s="639">
        <f>IF(T!$A$4&gt;=MONTH(E$6&amp;$A$3),'[11]Podklady MZ'!E5,"")</f>
        <v>840</v>
      </c>
      <c r="F9" s="639" t="str">
        <f>IF(T!$A$4&gt;=MONTH(F$6&amp;$A$3),'[11]Podklady MZ'!F5,"")</f>
        <v/>
      </c>
      <c r="G9" s="639" t="str">
        <f>IF(T!$A$4&gt;=MONTH(G$6&amp;$A$3),'[11]Podklady MZ'!G5,"")</f>
        <v/>
      </c>
      <c r="H9" s="639" t="str">
        <f>IF(T!$A$4&gt;=MONTH(H$6&amp;$A$3),'[11]Podklady MZ'!H5,"")</f>
        <v/>
      </c>
      <c r="I9" s="639" t="str">
        <f>IF(T!$A$4&gt;=MONTH(I$6&amp;$A$3),'[11]Podklady MZ'!I5,"")</f>
        <v/>
      </c>
      <c r="J9" s="639" t="str">
        <f>IF(T!$A$4&gt;=MONTH(J$6&amp;$A$3),'[11]Podklady MZ'!J5,"")</f>
        <v/>
      </c>
      <c r="K9" s="639" t="str">
        <f>IF(T!$A$4&gt;=MONTH(K$6&amp;$A$3),'[11]Podklady MZ'!K5,"")</f>
        <v/>
      </c>
      <c r="L9" s="639" t="str">
        <f>IF(T!$A$4&gt;=MONTH(L$6&amp;$A$3),'[11]Podklady MZ'!L5,"")</f>
        <v/>
      </c>
      <c r="M9" s="640" t="str">
        <f>IF(T!$A$4&gt;=MONTH(M$6&amp;$A$3),'[11]Podklady MZ'!M5,"")</f>
        <v/>
      </c>
      <c r="N9" s="641">
        <f t="shared" si="0"/>
        <v>13528</v>
      </c>
      <c r="O9" s="53"/>
      <c r="P9" s="642">
        <f>'5'!D13</f>
        <v>197680</v>
      </c>
      <c r="Q9" s="643">
        <f t="shared" ref="Q9:Q10" si="1">N9/P9</f>
        <v>6.8433832456495342E-2</v>
      </c>
    </row>
    <row r="10" spans="1:18" ht="15" customHeight="1" x14ac:dyDescent="0.2">
      <c r="A10" s="119" t="s">
        <v>9</v>
      </c>
      <c r="B10" s="121">
        <f>IF(T!$A$4&gt;=MONTH(B$6&amp;$A$3),'[11]Podklady MZ'!B6,"")</f>
        <v>17564</v>
      </c>
      <c r="C10" s="113">
        <f>IF(T!$A$4&gt;=MONTH(C$6&amp;$A$3),'[11]Podklady MZ'!C6,"")</f>
        <v>10538</v>
      </c>
      <c r="D10" s="113">
        <f>IF(T!$A$4&gt;=MONTH(D$6&amp;$A$3),'[11]Podklady MZ'!D6,"")</f>
        <v>10953</v>
      </c>
      <c r="E10" s="113">
        <f>IF(T!$A$4&gt;=MONTH(E$6&amp;$A$3),'[11]Podklady MZ'!E6,"")</f>
        <v>11210</v>
      </c>
      <c r="F10" s="113" t="str">
        <f>IF(T!$A$4&gt;=MONTH(F$6&amp;$A$3),'[11]Podklady MZ'!F6,"")</f>
        <v/>
      </c>
      <c r="G10" s="113" t="str">
        <f>IF(T!$A$4&gt;=MONTH(G$6&amp;$A$3),'[11]Podklady MZ'!G6,"")</f>
        <v/>
      </c>
      <c r="H10" s="113" t="str">
        <f>IF(T!$A$4&gt;=MONTH(H$6&amp;$A$3),'[11]Podklady MZ'!H6,"")</f>
        <v/>
      </c>
      <c r="I10" s="113" t="str">
        <f>IF(T!$A$4&gt;=MONTH(I$6&amp;$A$3),'[11]Podklady MZ'!I6,"")</f>
        <v/>
      </c>
      <c r="J10" s="113" t="str">
        <f>IF(T!$A$4&gt;=MONTH(J$6&amp;$A$3),'[11]Podklady MZ'!J6,"")</f>
        <v/>
      </c>
      <c r="K10" s="113" t="str">
        <f>IF(T!$A$4&gt;=MONTH(K$6&amp;$A$3),'[11]Podklady MZ'!K6,"")</f>
        <v/>
      </c>
      <c r="L10" s="113" t="str">
        <f>IF(T!$A$4&gt;=MONTH(L$6&amp;$A$3),'[11]Podklady MZ'!L6,"")</f>
        <v/>
      </c>
      <c r="M10" s="114" t="str">
        <f>IF(T!$A$4&gt;=MONTH(M$6&amp;$A$3),'[11]Podklady MZ'!M6,"")</f>
        <v/>
      </c>
      <c r="N10" s="115">
        <f t="shared" si="0"/>
        <v>50265</v>
      </c>
      <c r="O10" s="53"/>
      <c r="P10" s="116">
        <f>'5'!D14</f>
        <v>2640050</v>
      </c>
      <c r="Q10" s="117">
        <f t="shared" si="1"/>
        <v>1.903941213234598E-2</v>
      </c>
    </row>
    <row r="11" spans="1:18" ht="15" customHeight="1" x14ac:dyDescent="0.2">
      <c r="A11" s="491" t="s">
        <v>2</v>
      </c>
      <c r="B11" s="492">
        <f>IF(T!$A$4&gt;=MONTH(B$6&amp;$A$3),SUM(B7:B10),"")</f>
        <v>29874</v>
      </c>
      <c r="C11" s="493">
        <f>IF(T!$A$4&gt;=MONTH(C$6&amp;$A$3),SUM(C7:C10),"")</f>
        <v>11404</v>
      </c>
      <c r="D11" s="493">
        <f>IF(T!$A$4&gt;=MONTH(D$6&amp;$A$3),SUM(D7:D10),"")</f>
        <v>11848</v>
      </c>
      <c r="E11" s="493">
        <f>IF(T!$A$4&gt;=MONTH(E$6&amp;$A$3),SUM(E7:E10),"")</f>
        <v>12085</v>
      </c>
      <c r="F11" s="493" t="str">
        <f>IF(T!$A$4&gt;=MONTH(F$6&amp;$A$3),SUM(F7:F10),"")</f>
        <v/>
      </c>
      <c r="G11" s="493" t="str">
        <f>IF(T!$A$4&gt;=MONTH(G$6&amp;$A$3),SUM(G7:G10),"")</f>
        <v/>
      </c>
      <c r="H11" s="493" t="str">
        <f>IF(T!$A$4&gt;=MONTH(H$6&amp;$A$3),SUM(H7:H10),"")</f>
        <v/>
      </c>
      <c r="I11" s="493" t="str">
        <f>IF(T!$A$4&gt;=MONTH(I$6&amp;$A$3),SUM(I7:I10),"")</f>
        <v/>
      </c>
      <c r="J11" s="493" t="str">
        <f>IF(T!$A$4&gt;=MONTH(J$6&amp;$A$3),SUM(J7:J10),"")</f>
        <v/>
      </c>
      <c r="K11" s="493" t="str">
        <f>IF(T!$A$4&gt;=MONTH(K$6&amp;$A$3),SUM(K7:K10),"")</f>
        <v/>
      </c>
      <c r="L11" s="493" t="str">
        <f>IF(T!$A$4&gt;=MONTH(L$6&amp;$A$3),SUM(L7:L10),"")</f>
        <v/>
      </c>
      <c r="M11" s="494" t="str">
        <f>IF(T!$A$4&gt;=MONTH(M$6&amp;$A$3),SUM(M7:M10),"")</f>
        <v/>
      </c>
      <c r="N11" s="495">
        <f>SUM(B11:M11)</f>
        <v>65211</v>
      </c>
      <c r="P11" s="490">
        <f>'5'!D15</f>
        <v>2846063</v>
      </c>
      <c r="Q11" s="496">
        <f>N11/P11</f>
        <v>2.2912704321724431E-2</v>
      </c>
    </row>
    <row r="12" spans="1:18" ht="3" customHeight="1" x14ac:dyDescent="0.2">
      <c r="B12" s="122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9"/>
      <c r="P12" s="60"/>
    </row>
    <row r="13" spans="1:18" x14ac:dyDescent="0.2">
      <c r="N13" s="747"/>
    </row>
    <row r="45" spans="1:1" x14ac:dyDescent="0.2">
      <c r="A45" s="13" t="s">
        <v>80</v>
      </c>
    </row>
  </sheetData>
  <mergeCells count="4">
    <mergeCell ref="P1:Q1"/>
    <mergeCell ref="A2:Q2"/>
    <mergeCell ref="P5:P6"/>
    <mergeCell ref="A3:Q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W397"/>
  <sheetViews>
    <sheetView view="pageBreakPreview" zoomScaleNormal="100" zoomScaleSheetLayoutView="100" workbookViewId="0">
      <selection activeCell="C1" sqref="C1"/>
    </sheetView>
  </sheetViews>
  <sheetFormatPr defaultRowHeight="12.75" x14ac:dyDescent="0.2"/>
  <cols>
    <col min="1" max="1" width="6.5703125" style="17" customWidth="1"/>
    <col min="2" max="2" width="12.5703125" style="17" customWidth="1"/>
    <col min="3" max="3" width="10.42578125" style="17" customWidth="1"/>
    <col min="4" max="15" width="9.28515625" style="17" customWidth="1"/>
    <col min="16" max="18" width="9.140625" style="17"/>
    <col min="19" max="20" width="9.140625" style="74"/>
    <col min="21" max="21" width="11.7109375" style="74" bestFit="1" customWidth="1"/>
    <col min="22" max="22" width="9.42578125" style="17" bestFit="1" customWidth="1"/>
    <col min="23" max="23" width="14.7109375" style="17" bestFit="1" customWidth="1"/>
    <col min="24" max="16384" width="9.140625" style="17"/>
  </cols>
  <sheetData>
    <row r="1" spans="1:23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856" t="s">
        <v>57</v>
      </c>
      <c r="O1" s="856"/>
      <c r="T1" s="75">
        <f>A31</f>
        <v>2014</v>
      </c>
      <c r="U1" s="689">
        <f>A27</f>
        <v>2015</v>
      </c>
      <c r="V1" s="689">
        <f>A27</f>
        <v>2015</v>
      </c>
      <c r="W1" s="689" t="s">
        <v>315</v>
      </c>
    </row>
    <row r="2" spans="1:23" ht="15.75" x14ac:dyDescent="0.25">
      <c r="A2" s="890" t="str">
        <f>"Porovnání denní spotřeby zemního plynu v ČR mezi roky "&amp;A31&amp;" a "&amp;A27</f>
        <v>Porovnání denní spotřeby zemního plynu v ČR mezi roky 2014 a 2015</v>
      </c>
      <c r="B2" s="890"/>
      <c r="C2" s="890"/>
      <c r="D2" s="890"/>
      <c r="E2" s="890"/>
      <c r="F2" s="890"/>
      <c r="G2" s="890"/>
      <c r="H2" s="890"/>
      <c r="I2" s="890"/>
      <c r="J2" s="890"/>
      <c r="K2" s="890"/>
      <c r="L2" s="890"/>
      <c r="M2" s="890"/>
      <c r="N2" s="890"/>
      <c r="O2" s="890"/>
      <c r="P2" s="73"/>
      <c r="Q2" s="73"/>
      <c r="S2" s="76">
        <f>DATE(A27,1,1)</f>
        <v>42005</v>
      </c>
      <c r="T2" s="77">
        <f>INDEX([12]ČR!$D$18:$D$383,DATE(2016,MONTH(S2),DAY(S2))-DATE(2016,1,1)+1,1)/1000000</f>
        <v>29.819936957415216</v>
      </c>
      <c r="U2" s="77">
        <f>IF(T!$A$4&gt;=MONTH(S2),VLOOKUP(S2,'[8]Podklady MZ'!$R$2:$S$367,2,FALSE),NA())</f>
        <v>34.064890044007484</v>
      </c>
      <c r="V2" s="176">
        <f>INDEX([5]PT!$AF$16:$AF$381,DATE(2016,MONTH(S2),DAY(S2))-DATE(2016,1,1)+1,1)</f>
        <v>0</v>
      </c>
      <c r="W2" s="176" t="e">
        <f>IF(T!$A$4&lt;MONTH(S2),VLOOKUP(S2,'[8]Podklady MZ'!$R$2:$S$367,2,FALSE),NA())</f>
        <v>#N/A</v>
      </c>
    </row>
    <row r="3" spans="1:23" ht="12" customHeight="1" x14ac:dyDescent="0.25">
      <c r="A3" s="80"/>
      <c r="B3" s="157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73"/>
      <c r="Q3" s="73"/>
      <c r="S3" s="76">
        <f>S2+1</f>
        <v>42006</v>
      </c>
      <c r="T3" s="77">
        <f>INDEX([12]ČR!$D$18:$D$383,DATE(2016,MONTH(S3),DAY(S3))-DATE(2016,1,1)+1,1)/1000000</f>
        <v>32.181140578438225</v>
      </c>
      <c r="U3" s="77">
        <f>IF(T!$A$4&gt;=MONTH(S3),VLOOKUP(S3,'[8]Podklady MZ'!$R$2:$S$367,2,FALSE),NA())</f>
        <v>34.422167061021369</v>
      </c>
      <c r="V3" s="176">
        <f>INDEX([5]PT!$AF$16:$AF$381,DATE(2016,MONTH(S3),DAY(S3))-DATE(2016,1,1)+1,1)</f>
        <v>1.6</v>
      </c>
      <c r="W3" s="176" t="e">
        <f>IF(T!$A$4&lt;MONTH(S3),VLOOKUP(S3,'[8]Podklady MZ'!$R$2:$S$367,2,FALSE),NA())</f>
        <v>#N/A</v>
      </c>
    </row>
    <row r="4" spans="1:23" ht="15.75" x14ac:dyDescent="0.25">
      <c r="A4" s="80"/>
      <c r="B4" s="157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73"/>
      <c r="Q4" s="73"/>
      <c r="S4" s="76">
        <f t="shared" ref="S4:S67" si="0">S3+1</f>
        <v>42007</v>
      </c>
      <c r="T4" s="77">
        <f>INDEX([12]ČR!$D$18:$D$383,DATE(2016,MONTH(S4),DAY(S4))-DATE(2016,1,1)+1,1)/1000000</f>
        <v>30.611301271536977</v>
      </c>
      <c r="U4" s="77">
        <f>IF(T!$A$4&gt;=MONTH(S4),VLOOKUP(S4,'[8]Podklady MZ'!$R$2:$S$367,2,FALSE),NA())</f>
        <v>32.964357257632088</v>
      </c>
      <c r="V4" s="176">
        <f>INDEX([5]PT!$AF$16:$AF$381,DATE(2016,MONTH(S4),DAY(S4))-DATE(2016,1,1)+1,1)</f>
        <v>0.9</v>
      </c>
      <c r="W4" s="176" t="e">
        <f>IF(T!$A$4&lt;MONTH(S4),VLOOKUP(S4,'[8]Podklady MZ'!$R$2:$S$367,2,FALSE),NA())</f>
        <v>#N/A</v>
      </c>
    </row>
    <row r="5" spans="1:23" ht="15.75" x14ac:dyDescent="0.25">
      <c r="A5" s="80"/>
      <c r="B5" s="157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73"/>
      <c r="Q5" s="73"/>
      <c r="S5" s="76">
        <f t="shared" si="0"/>
        <v>42008</v>
      </c>
      <c r="T5" s="77">
        <f>INDEX([12]ČR!$D$18:$D$383,DATE(2016,MONTH(S5),DAY(S5))-DATE(2016,1,1)+1,1)/1000000</f>
        <v>28.224276360862738</v>
      </c>
      <c r="U5" s="77">
        <f>IF(T!$A$4&gt;=MONTH(S5),VLOOKUP(S5,'[8]Podklady MZ'!$R$2:$S$367,2,FALSE),NA())</f>
        <v>34.923265193104555</v>
      </c>
      <c r="V5" s="176">
        <f>INDEX([5]PT!$AF$16:$AF$381,DATE(2016,MONTH(S5),DAY(S5))-DATE(2016,1,1)+1,1)</f>
        <v>0.7</v>
      </c>
      <c r="W5" s="176" t="e">
        <f>IF(T!$A$4&lt;MONTH(S5),VLOOKUP(S5,'[8]Podklady MZ'!$R$2:$S$367,2,FALSE),NA())</f>
        <v>#N/A</v>
      </c>
    </row>
    <row r="6" spans="1:23" ht="15.75" x14ac:dyDescent="0.25">
      <c r="A6" s="80"/>
      <c r="B6" s="15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73"/>
      <c r="Q6" s="73"/>
      <c r="S6" s="76">
        <f t="shared" si="0"/>
        <v>42009</v>
      </c>
      <c r="T6" s="77">
        <f>INDEX([12]ČR!$D$18:$D$383,DATE(2016,MONTH(S6),DAY(S6))-DATE(2016,1,1)+1,1)/1000000</f>
        <v>28.323624258618793</v>
      </c>
      <c r="U6" s="77">
        <f>IF(T!$A$4&gt;=MONTH(S6),VLOOKUP(S6,'[8]Podklady MZ'!$R$2:$S$367,2,FALSE),NA())</f>
        <v>38.71826912537675</v>
      </c>
      <c r="V6" s="176">
        <f>INDEX([5]PT!$AF$16:$AF$381,DATE(2016,MONTH(S6),DAY(S6))-DATE(2016,1,1)+1,1)</f>
        <v>-0.1</v>
      </c>
      <c r="W6" s="176" t="e">
        <f>IF(T!$A$4&lt;MONTH(S6),VLOOKUP(S6,'[8]Podklady MZ'!$R$2:$S$367,2,FALSE),NA())</f>
        <v>#N/A</v>
      </c>
    </row>
    <row r="7" spans="1:23" ht="15.75" x14ac:dyDescent="0.25">
      <c r="A7" s="80"/>
      <c r="B7" s="15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73"/>
      <c r="Q7" s="73"/>
      <c r="S7" s="76">
        <f t="shared" si="0"/>
        <v>42010</v>
      </c>
      <c r="T7" s="77">
        <f>INDEX([12]ČR!$D$18:$D$383,DATE(2016,MONTH(S7),DAY(S7))-DATE(2016,1,1)+1,1)/1000000</f>
        <v>31.17152473981665</v>
      </c>
      <c r="U7" s="77">
        <f>IF(T!$A$4&gt;=MONTH(S7),VLOOKUP(S7,'[8]Podklady MZ'!$R$2:$S$367,2,FALSE),NA())</f>
        <v>39.255939835613098</v>
      </c>
      <c r="V7" s="176">
        <f>INDEX([5]PT!$AF$16:$AF$381,DATE(2016,MONTH(S7),DAY(S7))-DATE(2016,1,1)+1,1)</f>
        <v>-3.6</v>
      </c>
      <c r="W7" s="176" t="e">
        <f>IF(T!$A$4&lt;MONTH(S7),VLOOKUP(S7,'[8]Podklady MZ'!$R$2:$S$367,2,FALSE),NA())</f>
        <v>#N/A</v>
      </c>
    </row>
    <row r="8" spans="1:23" ht="15.75" x14ac:dyDescent="0.25">
      <c r="A8" s="80"/>
      <c r="B8" s="15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73"/>
      <c r="Q8" s="73"/>
      <c r="S8" s="76">
        <f t="shared" si="0"/>
        <v>42011</v>
      </c>
      <c r="T8" s="77">
        <f>INDEX([12]ČR!$D$18:$D$383,DATE(2016,MONTH(S8),DAY(S8))-DATE(2016,1,1)+1,1)/1000000</f>
        <v>30.816836681936199</v>
      </c>
      <c r="U8" s="77">
        <f>IF(T!$A$4&gt;=MONTH(S8),VLOOKUP(S8,'[8]Podklady MZ'!$R$2:$S$367,2,FALSE),NA())</f>
        <v>41.345389040398715</v>
      </c>
      <c r="V8" s="176">
        <f>INDEX([5]PT!$AF$16:$AF$381,DATE(2016,MONTH(S8),DAY(S8))-DATE(2016,1,1)+1,1)</f>
        <v>-3.6</v>
      </c>
      <c r="W8" s="176" t="e">
        <f>IF(T!$A$4&lt;MONTH(S8),VLOOKUP(S8,'[8]Podklady MZ'!$R$2:$S$367,2,FALSE),NA())</f>
        <v>#N/A</v>
      </c>
    </row>
    <row r="9" spans="1:23" ht="15.75" x14ac:dyDescent="0.25">
      <c r="A9" s="80"/>
      <c r="B9" s="15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73"/>
      <c r="Q9" s="73"/>
      <c r="S9" s="76">
        <f t="shared" si="0"/>
        <v>42012</v>
      </c>
      <c r="T9" s="77">
        <f>INDEX([12]ČR!$D$18:$D$383,DATE(2016,MONTH(S9),DAY(S9))-DATE(2016,1,1)+1,1)/1000000</f>
        <v>30.577419431284611</v>
      </c>
      <c r="U9" s="77">
        <f>IF(T!$A$4&gt;=MONTH(S9),VLOOKUP(S9,'[8]Podklady MZ'!$R$2:$S$367,2,FALSE),NA())</f>
        <v>39.126477683777225</v>
      </c>
      <c r="V9" s="176">
        <f>INDEX([5]PT!$AF$16:$AF$381,DATE(2016,MONTH(S9),DAY(S9))-DATE(2016,1,1)+1,1)</f>
        <v>-0.6</v>
      </c>
      <c r="W9" s="176" t="e">
        <f>IF(T!$A$4&lt;MONTH(S9),VLOOKUP(S9,'[8]Podklady MZ'!$R$2:$S$367,2,FALSE),NA())</f>
        <v>#N/A</v>
      </c>
    </row>
    <row r="10" spans="1:23" ht="15.75" x14ac:dyDescent="0.25">
      <c r="A10" s="80"/>
      <c r="B10" s="15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73"/>
      <c r="Q10" s="73"/>
      <c r="S10" s="76">
        <f t="shared" si="0"/>
        <v>42013</v>
      </c>
      <c r="T10" s="77">
        <f>INDEX([12]ČR!$D$18:$D$383,DATE(2016,MONTH(S10),DAY(S10))-DATE(2016,1,1)+1,1)/1000000</f>
        <v>30.77791814439302</v>
      </c>
      <c r="U10" s="77">
        <f>IF(T!$A$4&gt;=MONTH(S10),VLOOKUP(S10,'[8]Podklady MZ'!$R$2:$S$367,2,FALSE),NA())</f>
        <v>33.924466260058615</v>
      </c>
      <c r="V10" s="176">
        <f>INDEX([5]PT!$AF$16:$AF$381,DATE(2016,MONTH(S10),DAY(S10))-DATE(2016,1,1)+1,1)</f>
        <v>5.6</v>
      </c>
      <c r="W10" s="176" t="e">
        <f>IF(T!$A$4&lt;MONTH(S10),VLOOKUP(S10,'[8]Podklady MZ'!$R$2:$S$367,2,FALSE),NA())</f>
        <v>#N/A</v>
      </c>
    </row>
    <row r="11" spans="1:23" ht="15.75" x14ac:dyDescent="0.25">
      <c r="A11" s="80"/>
      <c r="B11" s="157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73"/>
      <c r="Q11" s="73"/>
      <c r="S11" s="76">
        <f t="shared" si="0"/>
        <v>42014</v>
      </c>
      <c r="T11" s="77">
        <f>INDEX([12]ČR!$D$18:$D$383,DATE(2016,MONTH(S11),DAY(S11))-DATE(2016,1,1)+1,1)/1000000</f>
        <v>30.132613917439219</v>
      </c>
      <c r="U11" s="77">
        <f>IF(T!$A$4&gt;=MONTH(S11),VLOOKUP(S11,'[8]Podklady MZ'!$R$2:$S$367,2,FALSE),NA())</f>
        <v>26.684387110760138</v>
      </c>
      <c r="V11" s="176">
        <f>INDEX([5]PT!$AF$16:$AF$381,DATE(2016,MONTH(S11),DAY(S11))-DATE(2016,1,1)+1,1)</f>
        <v>11</v>
      </c>
      <c r="W11" s="176" t="e">
        <f>IF(T!$A$4&lt;MONTH(S11),VLOOKUP(S11,'[8]Podklady MZ'!$R$2:$S$367,2,FALSE),NA())</f>
        <v>#N/A</v>
      </c>
    </row>
    <row r="12" spans="1:23" ht="15.75" x14ac:dyDescent="0.25">
      <c r="A12" s="80"/>
      <c r="B12" s="157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73"/>
      <c r="Q12" s="73"/>
      <c r="S12" s="76">
        <f t="shared" si="0"/>
        <v>42015</v>
      </c>
      <c r="T12" s="77">
        <f>INDEX([12]ČR!$D$18:$D$383,DATE(2016,MONTH(S12),DAY(S12))-DATE(2016,1,1)+1,1)/1000000</f>
        <v>28.231570981800594</v>
      </c>
      <c r="U12" s="77">
        <f>IF(T!$A$4&gt;=MONTH(S12),VLOOKUP(S12,'[8]Podklady MZ'!$R$2:$S$367,2,FALSE),NA())</f>
        <v>31.703477973309223</v>
      </c>
      <c r="V12" s="176">
        <f>INDEX([5]PT!$AF$16:$AF$381,DATE(2016,MONTH(S12),DAY(S12))-DATE(2016,1,1)+1,1)</f>
        <v>2.2999999999999998</v>
      </c>
      <c r="W12" s="176" t="e">
        <f>IF(T!$A$4&lt;MONTH(S12),VLOOKUP(S12,'[8]Podklady MZ'!$R$2:$S$367,2,FALSE),NA())</f>
        <v>#N/A</v>
      </c>
    </row>
    <row r="13" spans="1:23" ht="15.75" x14ac:dyDescent="0.25">
      <c r="A13" s="80"/>
      <c r="B13" s="157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73"/>
      <c r="Q13" s="73"/>
      <c r="S13" s="76">
        <f t="shared" si="0"/>
        <v>42016</v>
      </c>
      <c r="T13" s="77">
        <f>INDEX([12]ČR!$D$18:$D$383,DATE(2016,MONTH(S13),DAY(S13))-DATE(2016,1,1)+1,1)/1000000</f>
        <v>31.152940276994567</v>
      </c>
      <c r="U13" s="77">
        <f>IF(T!$A$4&gt;=MONTH(S13),VLOOKUP(S13,'[8]Podklady MZ'!$R$2:$S$367,2,FALSE),NA())</f>
        <v>34.493693489259286</v>
      </c>
      <c r="V13" s="176">
        <f>INDEX([5]PT!$AF$16:$AF$381,DATE(2016,MONTH(S13),DAY(S13))-DATE(2016,1,1)+1,1)</f>
        <v>3.6</v>
      </c>
      <c r="W13" s="176" t="e">
        <f>IF(T!$A$4&lt;MONTH(S13),VLOOKUP(S13,'[8]Podklady MZ'!$R$2:$S$367,2,FALSE),NA())</f>
        <v>#N/A</v>
      </c>
    </row>
    <row r="14" spans="1:23" ht="15.75" x14ac:dyDescent="0.25">
      <c r="A14" s="80"/>
      <c r="B14" s="157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73"/>
      <c r="Q14" s="73"/>
      <c r="S14" s="76">
        <f t="shared" si="0"/>
        <v>42017</v>
      </c>
      <c r="T14" s="77">
        <f>INDEX([12]ČR!$D$18:$D$383,DATE(2016,MONTH(S14),DAY(S14))-DATE(2016,1,1)+1,1)/1000000</f>
        <v>35.425663245407186</v>
      </c>
      <c r="U14" s="77">
        <f>IF(T!$A$4&gt;=MONTH(S14),VLOOKUP(S14,'[8]Podklady MZ'!$R$2:$S$367,2,FALSE),NA())</f>
        <v>31.606491980922041</v>
      </c>
      <c r="V14" s="176">
        <f>INDEX([5]PT!$AF$16:$AF$381,DATE(2016,MONTH(S14),DAY(S14))-DATE(2016,1,1)+1,1)</f>
        <v>4.4000000000000004</v>
      </c>
      <c r="W14" s="176" t="e">
        <f>IF(T!$A$4&lt;MONTH(S14),VLOOKUP(S14,'[8]Podklady MZ'!$R$2:$S$367,2,FALSE),NA())</f>
        <v>#N/A</v>
      </c>
    </row>
    <row r="15" spans="1:23" ht="15.75" x14ac:dyDescent="0.25">
      <c r="A15" s="80"/>
      <c r="B15" s="157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73"/>
      <c r="Q15" s="73"/>
      <c r="S15" s="76">
        <f t="shared" si="0"/>
        <v>42018</v>
      </c>
      <c r="T15" s="77">
        <f>INDEX([12]ČR!$D$18:$D$383,DATE(2016,MONTH(S15),DAY(S15))-DATE(2016,1,1)+1,1)/1000000</f>
        <v>34.838520341589764</v>
      </c>
      <c r="U15" s="77">
        <f>IF(T!$A$4&gt;=MONTH(S15),VLOOKUP(S15,'[8]Podklady MZ'!$R$2:$S$367,2,FALSE),NA())</f>
        <v>32.53763604938851</v>
      </c>
      <c r="V15" s="176">
        <f>INDEX([5]PT!$AF$16:$AF$381,DATE(2016,MONTH(S15),DAY(S15))-DATE(2016,1,1)+1,1)</f>
        <v>3.9</v>
      </c>
      <c r="W15" s="176" t="e">
        <f>IF(T!$A$4&lt;MONTH(S15),VLOOKUP(S15,'[8]Podklady MZ'!$R$2:$S$367,2,FALSE),NA())</f>
        <v>#N/A</v>
      </c>
    </row>
    <row r="16" spans="1:23" ht="15.75" x14ac:dyDescent="0.25">
      <c r="A16" s="80"/>
      <c r="B16" s="157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73"/>
      <c r="Q16" s="73"/>
      <c r="S16" s="76">
        <f t="shared" si="0"/>
        <v>42019</v>
      </c>
      <c r="T16" s="77">
        <f>INDEX([12]ČR!$D$18:$D$383,DATE(2016,MONTH(S16),DAY(S16))-DATE(2016,1,1)+1,1)/1000000</f>
        <v>34.682102113843577</v>
      </c>
      <c r="U16" s="77">
        <f>IF(T!$A$4&gt;=MONTH(S16),VLOOKUP(S16,'[8]Podklady MZ'!$R$2:$S$367,2,FALSE),NA())</f>
        <v>33.557131227489101</v>
      </c>
      <c r="V16" s="176">
        <f>INDEX([5]PT!$AF$16:$AF$381,DATE(2016,MONTH(S16),DAY(S16))-DATE(2016,1,1)+1,1)</f>
        <v>2</v>
      </c>
      <c r="W16" s="176" t="e">
        <f>IF(T!$A$4&lt;MONTH(S16),VLOOKUP(S16,'[8]Podklady MZ'!$R$2:$S$367,2,FALSE),NA())</f>
        <v>#N/A</v>
      </c>
    </row>
    <row r="17" spans="1:23" ht="15.75" x14ac:dyDescent="0.25">
      <c r="A17" s="80"/>
      <c r="B17" s="157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73"/>
      <c r="Q17" s="73"/>
      <c r="S17" s="76">
        <f t="shared" si="0"/>
        <v>42020</v>
      </c>
      <c r="T17" s="77">
        <f>INDEX([12]ČR!$D$18:$D$383,DATE(2016,MONTH(S17),DAY(S17))-DATE(2016,1,1)+1,1)/1000000</f>
        <v>34.384923936924856</v>
      </c>
      <c r="U17" s="77">
        <f>IF(T!$A$4&gt;=MONTH(S17),VLOOKUP(S17,'[8]Podklady MZ'!$R$2:$S$367,2,FALSE),NA())</f>
        <v>31.887471148067611</v>
      </c>
      <c r="V17" s="176">
        <f>INDEX([5]PT!$AF$16:$AF$381,DATE(2016,MONTH(S17),DAY(S17))-DATE(2016,1,1)+1,1)</f>
        <v>2.7</v>
      </c>
      <c r="W17" s="176" t="e">
        <f>IF(T!$A$4&lt;MONTH(S17),VLOOKUP(S17,'[8]Podklady MZ'!$R$2:$S$367,2,FALSE),NA())</f>
        <v>#N/A</v>
      </c>
    </row>
    <row r="18" spans="1:23" ht="15.75" x14ac:dyDescent="0.25">
      <c r="A18" s="80"/>
      <c r="B18" s="157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73"/>
      <c r="Q18" s="73"/>
      <c r="S18" s="76">
        <f t="shared" si="0"/>
        <v>42021</v>
      </c>
      <c r="T18" s="77">
        <f>INDEX([12]ČR!$D$18:$D$383,DATE(2016,MONTH(S18),DAY(S18))-DATE(2016,1,1)+1,1)/1000000</f>
        <v>32.004779962782678</v>
      </c>
      <c r="U18" s="77">
        <f>IF(T!$A$4&gt;=MONTH(S18),VLOOKUP(S18,'[8]Podklady MZ'!$R$2:$S$367,2,FALSE),NA())</f>
        <v>29.413626425814616</v>
      </c>
      <c r="V18" s="176">
        <f>INDEX([5]PT!$AF$16:$AF$381,DATE(2016,MONTH(S18),DAY(S18))-DATE(2016,1,1)+1,1)</f>
        <v>2.2000000000000002</v>
      </c>
      <c r="W18" s="176" t="e">
        <f>IF(T!$A$4&lt;MONTH(S18),VLOOKUP(S18,'[8]Podklady MZ'!$R$2:$S$367,2,FALSE),NA())</f>
        <v>#N/A</v>
      </c>
    </row>
    <row r="19" spans="1:23" ht="15.75" x14ac:dyDescent="0.25">
      <c r="A19" s="80"/>
      <c r="B19" s="157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73"/>
      <c r="Q19" s="73"/>
      <c r="S19" s="76">
        <f t="shared" si="0"/>
        <v>42022</v>
      </c>
      <c r="T19" s="77">
        <f>INDEX([12]ČR!$D$18:$D$383,DATE(2016,MONTH(S19),DAY(S19))-DATE(2016,1,1)+1,1)/1000000</f>
        <v>28.838252436416099</v>
      </c>
      <c r="U19" s="77">
        <f>IF(T!$A$4&gt;=MONTH(S19),VLOOKUP(S19,'[8]Podklady MZ'!$R$2:$S$367,2,FALSE),NA())</f>
        <v>30.849765259316179</v>
      </c>
      <c r="V19" s="176">
        <f>INDEX([5]PT!$AF$16:$AF$381,DATE(2016,MONTH(S19),DAY(S19))-DATE(2016,1,1)+1,1)</f>
        <v>1.2</v>
      </c>
      <c r="W19" s="176" t="e">
        <f>IF(T!$A$4&lt;MONTH(S19),VLOOKUP(S19,'[8]Podklady MZ'!$R$2:$S$367,2,FALSE),NA())</f>
        <v>#N/A</v>
      </c>
    </row>
    <row r="20" spans="1:23" ht="15.75" x14ac:dyDescent="0.25">
      <c r="A20" s="80"/>
      <c r="B20" s="157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3"/>
      <c r="Q20" s="73"/>
      <c r="S20" s="76">
        <f t="shared" si="0"/>
        <v>42023</v>
      </c>
      <c r="T20" s="77">
        <f>INDEX([12]ČR!$D$18:$D$383,DATE(2016,MONTH(S20),DAY(S20))-DATE(2016,1,1)+1,1)/1000000</f>
        <v>26.914539897812865</v>
      </c>
      <c r="U20" s="77">
        <f>IF(T!$A$4&gt;=MONTH(S20),VLOOKUP(S20,'[8]Podklady MZ'!$R$2:$S$367,2,FALSE),NA())</f>
        <v>36.90100471395121</v>
      </c>
      <c r="V20" s="176">
        <f>INDEX([5]PT!$AF$16:$AF$381,DATE(2016,MONTH(S20),DAY(S20))-DATE(2016,1,1)+1,1)</f>
        <v>0.7</v>
      </c>
      <c r="W20" s="176" t="e">
        <f>IF(T!$A$4&lt;MONTH(S20),VLOOKUP(S20,'[8]Podklady MZ'!$R$2:$S$367,2,FALSE),NA())</f>
        <v>#N/A</v>
      </c>
    </row>
    <row r="21" spans="1:23" ht="15.75" x14ac:dyDescent="0.25">
      <c r="A21" s="80"/>
      <c r="B21" s="157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73"/>
      <c r="Q21" s="73"/>
      <c r="S21" s="76">
        <f t="shared" si="0"/>
        <v>42024</v>
      </c>
      <c r="T21" s="77">
        <f>INDEX([12]ČR!$D$18:$D$383,DATE(2016,MONTH(S21),DAY(S21))-DATE(2016,1,1)+1,1)/1000000</f>
        <v>30.805382238471903</v>
      </c>
      <c r="U21" s="77">
        <f>IF(T!$A$4&gt;=MONTH(S21),VLOOKUP(S21,'[8]Podklady MZ'!$R$2:$S$367,2,FALSE),NA())</f>
        <v>37.099908640861287</v>
      </c>
      <c r="V21" s="176">
        <f>INDEX([5]PT!$AF$16:$AF$381,DATE(2016,MONTH(S21),DAY(S21))-DATE(2016,1,1)+1,1)</f>
        <v>0.7</v>
      </c>
      <c r="W21" s="176" t="e">
        <f>IF(T!$A$4&lt;MONTH(S21),VLOOKUP(S21,'[8]Podklady MZ'!$R$2:$S$367,2,FALSE),NA())</f>
        <v>#N/A</v>
      </c>
    </row>
    <row r="22" spans="1:23" ht="15.75" x14ac:dyDescent="0.25">
      <c r="A22" s="80"/>
      <c r="B22" s="157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73"/>
      <c r="Q22" s="73"/>
      <c r="S22" s="76">
        <f t="shared" si="0"/>
        <v>42025</v>
      </c>
      <c r="T22" s="77">
        <f>INDEX([12]ČR!$D$18:$D$383,DATE(2016,MONTH(S22),DAY(S22))-DATE(2016,1,1)+1,1)/1000000</f>
        <v>34.268652363794793</v>
      </c>
      <c r="U22" s="77">
        <f>IF(T!$A$4&gt;=MONTH(S22),VLOOKUP(S22,'[8]Podklady MZ'!$R$2:$S$367,2,FALSE),NA())</f>
        <v>37.194872700903773</v>
      </c>
      <c r="V22" s="176">
        <f>INDEX([5]PT!$AF$16:$AF$381,DATE(2016,MONTH(S22),DAY(S22))-DATE(2016,1,1)+1,1)</f>
        <v>1.2</v>
      </c>
      <c r="W22" s="176" t="e">
        <f>IF(T!$A$4&lt;MONTH(S22),VLOOKUP(S22,'[8]Podklady MZ'!$R$2:$S$367,2,FALSE),NA())</f>
        <v>#N/A</v>
      </c>
    </row>
    <row r="23" spans="1:23" ht="15.75" x14ac:dyDescent="0.25">
      <c r="A23" s="80"/>
      <c r="B23" s="157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73"/>
      <c r="Q23" s="73"/>
      <c r="S23" s="76">
        <f t="shared" si="0"/>
        <v>42026</v>
      </c>
      <c r="T23" s="77">
        <f>INDEX([12]ČR!$D$18:$D$383,DATE(2016,MONTH(S23),DAY(S23))-DATE(2016,1,1)+1,1)/1000000</f>
        <v>36.969258318739719</v>
      </c>
      <c r="U23" s="77">
        <f>IF(T!$A$4&gt;=MONTH(S23),VLOOKUP(S23,'[8]Podklady MZ'!$R$2:$S$367,2,FALSE),NA())</f>
        <v>35.784854231467648</v>
      </c>
      <c r="V23" s="176">
        <f>INDEX([5]PT!$AF$16:$AF$381,DATE(2016,MONTH(S23),DAY(S23))-DATE(2016,1,1)+1,1)</f>
        <v>3.5</v>
      </c>
      <c r="W23" s="176" t="e">
        <f>IF(T!$A$4&lt;MONTH(S23),VLOOKUP(S23,'[8]Podklady MZ'!$R$2:$S$367,2,FALSE),NA())</f>
        <v>#N/A</v>
      </c>
    </row>
    <row r="24" spans="1:23" ht="15.75" x14ac:dyDescent="0.25">
      <c r="A24" s="895" t="s">
        <v>196</v>
      </c>
      <c r="B24" s="895"/>
      <c r="C24" s="895"/>
      <c r="D24" s="895"/>
      <c r="E24" s="895"/>
      <c r="F24" s="895"/>
      <c r="G24" s="895"/>
      <c r="H24" s="895"/>
      <c r="I24" s="895"/>
      <c r="J24" s="895"/>
      <c r="K24" s="895"/>
      <c r="L24" s="895"/>
      <c r="M24" s="895"/>
      <c r="N24" s="895"/>
      <c r="O24" s="895"/>
      <c r="P24" s="73"/>
      <c r="Q24" s="73"/>
      <c r="S24" s="76">
        <f t="shared" si="0"/>
        <v>42027</v>
      </c>
      <c r="T24" s="77">
        <f>INDEX([12]ČR!$D$18:$D$383,DATE(2016,MONTH(S24),DAY(S24))-DATE(2016,1,1)+1,1)/1000000</f>
        <v>39.515937993420224</v>
      </c>
      <c r="U24" s="77">
        <f>IF(T!$A$4&gt;=MONTH(S24),VLOOKUP(S24,'[8]Podklady MZ'!$R$2:$S$367,2,FALSE),NA())</f>
        <v>36.443515386851018</v>
      </c>
      <c r="V24" s="176">
        <f>INDEX([5]PT!$AF$16:$AF$381,DATE(2016,MONTH(S24),DAY(S24))-DATE(2016,1,1)+1,1)</f>
        <v>1.5</v>
      </c>
      <c r="W24" s="176" t="e">
        <f>IF(T!$A$4&lt;MONTH(S24),VLOOKUP(S24,'[8]Podklady MZ'!$R$2:$S$367,2,FALSE),NA())</f>
        <v>#N/A</v>
      </c>
    </row>
    <row r="25" spans="1:23" ht="9.9499999999999993" customHeight="1" x14ac:dyDescent="0.25">
      <c r="C25" s="132"/>
      <c r="D25" s="83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3"/>
      <c r="P25" s="73"/>
      <c r="Q25" s="73"/>
      <c r="S25" s="76">
        <f t="shared" si="0"/>
        <v>42028</v>
      </c>
      <c r="T25" s="77">
        <f>INDEX([12]ČR!$D$18:$D$383,DATE(2016,MONTH(S25),DAY(S25))-DATE(2016,1,1)+1,1)/1000000</f>
        <v>39.912823833141239</v>
      </c>
      <c r="U25" s="77">
        <f>IF(T!$A$4&gt;=MONTH(S25),VLOOKUP(S25,'[8]Podklady MZ'!$R$2:$S$367,2,FALSE),NA())</f>
        <v>33.255457453561711</v>
      </c>
      <c r="V25" s="176">
        <f>INDEX([5]PT!$AF$16:$AF$381,DATE(2016,MONTH(S25),DAY(S25))-DATE(2016,1,1)+1,1)</f>
        <v>-1.1000000000000001</v>
      </c>
      <c r="W25" s="176" t="e">
        <f>IF(T!$A$4&lt;MONTH(S25),VLOOKUP(S25,'[8]Podklady MZ'!$R$2:$S$367,2,FALSE),NA())</f>
        <v>#N/A</v>
      </c>
    </row>
    <row r="26" spans="1:23" ht="15" customHeight="1" thickBot="1" x14ac:dyDescent="0.3">
      <c r="A26" s="90"/>
      <c r="B26" s="90"/>
      <c r="C26" s="133"/>
      <c r="D26" s="131" t="s">
        <v>13</v>
      </c>
      <c r="E26" s="123" t="s">
        <v>58</v>
      </c>
      <c r="F26" s="123" t="s">
        <v>59</v>
      </c>
      <c r="G26" s="123" t="s">
        <v>60</v>
      </c>
      <c r="H26" s="123" t="s">
        <v>61</v>
      </c>
      <c r="I26" s="123" t="s">
        <v>62</v>
      </c>
      <c r="J26" s="123" t="s">
        <v>63</v>
      </c>
      <c r="K26" s="123" t="s">
        <v>64</v>
      </c>
      <c r="L26" s="123" t="s">
        <v>65</v>
      </c>
      <c r="M26" s="123" t="s">
        <v>66</v>
      </c>
      <c r="N26" s="123" t="s">
        <v>67</v>
      </c>
      <c r="O26" s="125" t="s">
        <v>68</v>
      </c>
      <c r="P26" s="73"/>
      <c r="Q26" s="73"/>
      <c r="S26" s="76">
        <f t="shared" si="0"/>
        <v>42029</v>
      </c>
      <c r="T26" s="77">
        <f>INDEX([12]ČR!$D$18:$D$383,DATE(2016,MONTH(S26),DAY(S26))-DATE(2016,1,1)+1,1)/1000000</f>
        <v>41.907181763192099</v>
      </c>
      <c r="U26" s="77">
        <f>IF(T!$A$4&gt;=MONTH(S26),VLOOKUP(S26,'[8]Podklady MZ'!$R$2:$S$367,2,FALSE),NA())</f>
        <v>34.315673270230164</v>
      </c>
      <c r="V26" s="176">
        <f>INDEX([5]PT!$AF$16:$AF$381,DATE(2016,MONTH(S26),DAY(S26))-DATE(2016,1,1)+1,1)</f>
        <v>-0.2</v>
      </c>
      <c r="W26" s="176" t="e">
        <f>IF(T!$A$4&lt;MONTH(S26),VLOOKUP(S26,'[8]Podklady MZ'!$R$2:$S$367,2,FALSE),NA())</f>
        <v>#N/A</v>
      </c>
    </row>
    <row r="27" spans="1:23" ht="15" customHeight="1" x14ac:dyDescent="0.25">
      <c r="A27" s="898">
        <f>T!$I$21</f>
        <v>2015</v>
      </c>
      <c r="B27" s="896" t="s">
        <v>197</v>
      </c>
      <c r="C27" s="161" t="s">
        <v>47</v>
      </c>
      <c r="D27" s="184">
        <f>'[8]Podklady MZ'!D4</f>
        <v>34.88002079711061</v>
      </c>
      <c r="E27" s="185">
        <f>'[8]Podklady MZ'!E4</f>
        <v>35.352388987403877</v>
      </c>
      <c r="F27" s="185">
        <f>'[8]Podklady MZ'!F4</f>
        <v>27.920403884227461</v>
      </c>
      <c r="G27" s="185">
        <f>'[8]Podklady MZ'!G4</f>
        <v>20.760285538130443</v>
      </c>
      <c r="H27" s="185">
        <f>'[8]Podklady MZ'!H4</f>
        <v>13.085252567457902</v>
      </c>
      <c r="I27" s="185">
        <f>'[8]Podklady MZ'!I4</f>
        <v>10.333333333333334</v>
      </c>
      <c r="J27" s="185">
        <f>'[8]Podklady MZ'!J4</f>
        <v>9.3548387096774182</v>
      </c>
      <c r="K27" s="185">
        <f>'[8]Podklady MZ'!K4</f>
        <v>9.3548387096774182</v>
      </c>
      <c r="L27" s="185">
        <f>'[8]Podklady MZ'!L4</f>
        <v>12.66666666666667</v>
      </c>
      <c r="M27" s="185">
        <f>'[8]Podklady MZ'!M4</f>
        <v>20.96774193548389</v>
      </c>
      <c r="N27" s="185">
        <f>'[8]Podklady MZ'!N4</f>
        <v>30.666666666666654</v>
      </c>
      <c r="O27" s="186">
        <f>'[8]Podklady MZ'!O4</f>
        <v>34.838709677419359</v>
      </c>
      <c r="P27" s="73"/>
      <c r="Q27" s="73"/>
      <c r="S27" s="76">
        <f t="shared" si="0"/>
        <v>42030</v>
      </c>
      <c r="T27" s="77">
        <f>INDEX([12]ČR!$D$18:$D$383,DATE(2016,MONTH(S27),DAY(S27))-DATE(2016,1,1)+1,1)/1000000</f>
        <v>43.863809054503498</v>
      </c>
      <c r="U27" s="77">
        <f>IF(T!$A$4&gt;=MONTH(S27),VLOOKUP(S27,'[8]Podklady MZ'!$R$2:$S$367,2,FALSE),NA())</f>
        <v>37.706031532256496</v>
      </c>
      <c r="V27" s="176">
        <f>INDEX([5]PT!$AF$16:$AF$381,DATE(2016,MONTH(S27),DAY(S27))-DATE(2016,1,1)+1,1)</f>
        <v>-1</v>
      </c>
      <c r="W27" s="176" t="e">
        <f>IF(T!$A$4&lt;MONTH(S27),VLOOKUP(S27,'[8]Podklady MZ'!$R$2:$S$367,2,FALSE),NA())</f>
        <v>#N/A</v>
      </c>
    </row>
    <row r="28" spans="1:23" ht="15" customHeight="1" x14ac:dyDescent="0.2">
      <c r="A28" s="899"/>
      <c r="B28" s="897"/>
      <c r="C28" s="162" t="s">
        <v>16</v>
      </c>
      <c r="D28" s="187">
        <f>'[8]Podklady MZ'!D5</f>
        <v>370.73412690967734</v>
      </c>
      <c r="E28" s="188">
        <f>'[8]Podklady MZ'!E5</f>
        <v>375.90719064285713</v>
      </c>
      <c r="F28" s="188">
        <f>'[8]Podklady MZ'!F5</f>
        <v>296.83556915483865</v>
      </c>
      <c r="G28" s="188">
        <f>'[8]Podklady MZ'!G5</f>
        <v>220.87029000666678</v>
      </c>
      <c r="H28" s="188">
        <f>'[8]Podklady MZ'!H5</f>
        <v>138.7036772150538</v>
      </c>
      <c r="I28" s="188">
        <f>'[8]Podklady MZ'!I5</f>
        <v>109.66666666666661</v>
      </c>
      <c r="J28" s="188">
        <f>'[8]Podklady MZ'!J5</f>
        <v>99.354838709677452</v>
      </c>
      <c r="K28" s="188">
        <f>'[8]Podklady MZ'!K5</f>
        <v>99.354838709677452</v>
      </c>
      <c r="L28" s="188">
        <f>'[8]Podklady MZ'!L5</f>
        <v>134.6666666666666</v>
      </c>
      <c r="M28" s="188">
        <f>'[8]Podklady MZ'!M5</f>
        <v>222.58064516129045</v>
      </c>
      <c r="N28" s="188">
        <f>'[8]Podklady MZ'!N5</f>
        <v>325.66666666666663</v>
      </c>
      <c r="O28" s="189">
        <f>'[8]Podklady MZ'!O5</f>
        <v>370</v>
      </c>
      <c r="S28" s="76">
        <f t="shared" si="0"/>
        <v>42031</v>
      </c>
      <c r="T28" s="77">
        <f>INDEX([12]ČR!$D$18:$D$383,DATE(2016,MONTH(S28),DAY(S28))-DATE(2016,1,1)+1,1)/1000000</f>
        <v>44.959295144984566</v>
      </c>
      <c r="U28" s="77">
        <f>IF(T!$A$4&gt;=MONTH(S28),VLOOKUP(S28,'[8]Podklady MZ'!$R$2:$S$367,2,FALSE),NA())</f>
        <v>37.401552210421542</v>
      </c>
      <c r="V28" s="176">
        <f>INDEX([5]PT!$AF$16:$AF$381,DATE(2016,MONTH(S28),DAY(S28))-DATE(2016,1,1)+1,1)</f>
        <v>-0.1</v>
      </c>
      <c r="W28" s="176" t="e">
        <f>IF(T!$A$4&lt;MONTH(S28),VLOOKUP(S28,'[8]Podklady MZ'!$R$2:$S$367,2,FALSE),NA())</f>
        <v>#N/A</v>
      </c>
    </row>
    <row r="29" spans="1:23" ht="15" customHeight="1" x14ac:dyDescent="0.2">
      <c r="A29" s="899"/>
      <c r="B29" s="901" t="s">
        <v>129</v>
      </c>
      <c r="C29" s="159" t="s">
        <v>91</v>
      </c>
      <c r="D29" s="184">
        <f>'[8]Podklady MZ'!D6</f>
        <v>0.91219251430331394</v>
      </c>
      <c r="E29" s="185">
        <f>'[8]Podklady MZ'!E6</f>
        <v>1.3110234890123738</v>
      </c>
      <c r="F29" s="185">
        <f>'[8]Podklady MZ'!F6</f>
        <v>1.1251568759219512</v>
      </c>
      <c r="G29" s="185">
        <f>'[8]Podklady MZ'!G6</f>
        <v>1.2859358325557315</v>
      </c>
      <c r="H29" s="185">
        <f>'[8]Podklady MZ'!H6</f>
        <v>0.26915816694990341</v>
      </c>
      <c r="I29" s="185">
        <f>'[8]Podklady MZ'!I6</f>
        <v>0.25</v>
      </c>
      <c r="J29" s="185">
        <f>'[8]Podklady MZ'!J6</f>
        <v>0.12</v>
      </c>
      <c r="K29" s="185">
        <f>'[8]Podklady MZ'!K6</f>
        <v>0.15</v>
      </c>
      <c r="L29" s="185">
        <f>'[8]Podklady MZ'!L6</f>
        <v>0.81</v>
      </c>
      <c r="M29" s="185">
        <f>'[8]Podklady MZ'!M6</f>
        <v>1.05</v>
      </c>
      <c r="N29" s="185">
        <f>'[8]Podklady MZ'!N6</f>
        <v>1.41</v>
      </c>
      <c r="O29" s="186">
        <f>'[8]Podklady MZ'!O6</f>
        <v>1.48</v>
      </c>
      <c r="S29" s="76">
        <f t="shared" si="0"/>
        <v>42032</v>
      </c>
      <c r="T29" s="77">
        <f>INDEX([12]ČR!$D$18:$D$383,DATE(2016,MONTH(S29),DAY(S29))-DATE(2016,1,1)+1,1)/1000000</f>
        <v>42.900737261999915</v>
      </c>
      <c r="U29" s="77">
        <f>IF(T!$A$4&gt;=MONTH(S29),VLOOKUP(S29,'[8]Podklady MZ'!$R$2:$S$367,2,FALSE),NA())</f>
        <v>36.851973996198218</v>
      </c>
      <c r="V29" s="176">
        <f>INDEX([5]PT!$AF$16:$AF$381,DATE(2016,MONTH(S29),DAY(S29))-DATE(2016,1,1)+1,1)</f>
        <v>0.4</v>
      </c>
      <c r="W29" s="176" t="e">
        <f>IF(T!$A$4&lt;MONTH(S29),VLOOKUP(S29,'[8]Podklady MZ'!$R$2:$S$367,2,FALSE),NA())</f>
        <v>#N/A</v>
      </c>
    </row>
    <row r="30" spans="1:23" ht="15" customHeight="1" x14ac:dyDescent="0.2">
      <c r="A30" s="900"/>
      <c r="B30" s="902"/>
      <c r="C30" s="160" t="s">
        <v>202</v>
      </c>
      <c r="D30" s="187">
        <f>'[8]Podklady MZ'!D7</f>
        <v>9.6955474118236964</v>
      </c>
      <c r="E30" s="188">
        <f>'[8]Podklady MZ'!E7</f>
        <v>13.940307026974384</v>
      </c>
      <c r="F30" s="188">
        <f>'[8]Podklady MZ'!F7</f>
        <v>11.962097075588696</v>
      </c>
      <c r="G30" s="188">
        <f>'[8]Podklady MZ'!G7</f>
        <v>13.681171183550427</v>
      </c>
      <c r="H30" s="188">
        <f>'[8]Podklady MZ'!H7</f>
        <v>2.853076569668977</v>
      </c>
      <c r="I30" s="188">
        <f>'[8]Podklady MZ'!I7</f>
        <v>2.6532258064516117</v>
      </c>
      <c r="J30" s="188">
        <f>'[8]Podklady MZ'!J7</f>
        <v>1.2744827586206902</v>
      </c>
      <c r="K30" s="188">
        <f>'[8]Podklady MZ'!K7</f>
        <v>1.5931034482758626</v>
      </c>
      <c r="L30" s="188">
        <f>'[8]Podklady MZ'!L7</f>
        <v>8.6115789473684146</v>
      </c>
      <c r="M30" s="188">
        <f>'[8]Podklady MZ'!M7</f>
        <v>11.146153846153842</v>
      </c>
      <c r="N30" s="188">
        <f>'[8]Podklady MZ'!N7</f>
        <v>14.973586956521745</v>
      </c>
      <c r="O30" s="189">
        <f>'[8]Podklady MZ'!O7</f>
        <v>15.718148148148146</v>
      </c>
      <c r="S30" s="76">
        <f t="shared" si="0"/>
        <v>42033</v>
      </c>
      <c r="T30" s="77">
        <f>INDEX([12]ČR!$D$18:$D$383,DATE(2016,MONTH(S30),DAY(S30))-DATE(2016,1,1)+1,1)/1000000</f>
        <v>43.300079571630462</v>
      </c>
      <c r="U30" s="77">
        <f>IF(T!$A$4&gt;=MONTH(S30),VLOOKUP(S30,'[8]Podklady MZ'!$R$2:$S$367,2,FALSE),NA())</f>
        <v>36.422352732700475</v>
      </c>
      <c r="V30" s="176">
        <f>INDEX([5]PT!$AF$16:$AF$381,DATE(2016,MONTH(S30),DAY(S30))-DATE(2016,1,1)+1,1)</f>
        <v>0</v>
      </c>
      <c r="W30" s="176" t="e">
        <f>IF(T!$A$4&lt;MONTH(S30),VLOOKUP(S30,'[8]Podklady MZ'!$R$2:$S$367,2,FALSE),NA())</f>
        <v>#N/A</v>
      </c>
    </row>
    <row r="31" spans="1:23" ht="15" customHeight="1" x14ac:dyDescent="0.2">
      <c r="A31" s="904">
        <f>A27-1</f>
        <v>2014</v>
      </c>
      <c r="B31" s="906" t="s">
        <v>197</v>
      </c>
      <c r="C31" s="172" t="s">
        <v>198</v>
      </c>
      <c r="D31" s="165">
        <f>'[13]Podklady MZ'!D4</f>
        <v>34.426418786756024</v>
      </c>
      <c r="E31" s="166">
        <f>'[13]Podklady MZ'!E4</f>
        <v>31.969366569568837</v>
      </c>
      <c r="F31" s="166">
        <f>'[13]Podklady MZ'!F4</f>
        <v>24.143655429913611</v>
      </c>
      <c r="G31" s="166">
        <f>'[13]Podklady MZ'!G4</f>
        <v>17.799591482063381</v>
      </c>
      <c r="H31" s="166">
        <f>'[13]Podklady MZ'!H4</f>
        <v>14.029818022003704</v>
      </c>
      <c r="I31" s="166">
        <f>'[13]Podklady MZ'!I4</f>
        <v>10.296530917335085</v>
      </c>
      <c r="J31" s="166">
        <f>'[13]Podklady MZ'!J4</f>
        <v>9.8536517348819075</v>
      </c>
      <c r="K31" s="166">
        <f>'[13]Podklady MZ'!K4</f>
        <v>9.6812899388848699</v>
      </c>
      <c r="L31" s="166">
        <f>'[13]Podklady MZ'!L4</f>
        <v>12.15872859562001</v>
      </c>
      <c r="M31" s="166">
        <f>'[13]Podklady MZ'!M4</f>
        <v>18.278340649690602</v>
      </c>
      <c r="N31" s="166">
        <f>'[13]Podklady MZ'!N4</f>
        <v>25.565706350094761</v>
      </c>
      <c r="O31" s="167">
        <f>'[13]Podklady MZ'!O4</f>
        <v>31.866204963614152</v>
      </c>
      <c r="S31" s="76">
        <f t="shared" si="0"/>
        <v>42034</v>
      </c>
      <c r="T31" s="77">
        <f>INDEX([12]ČR!$D$18:$D$383,DATE(2016,MONTH(S31),DAY(S31))-DATE(2016,1,1)+1,1)/1000000</f>
        <v>42.101394085754599</v>
      </c>
      <c r="U31" s="77">
        <f>IF(T!$A$4&gt;=MONTH(S31),VLOOKUP(S31,'[8]Podklady MZ'!$R$2:$S$367,2,FALSE),NA())</f>
        <v>36.207908544785177</v>
      </c>
      <c r="V31" s="176">
        <f>INDEX([5]PT!$AF$16:$AF$381,DATE(2016,MONTH(S31),DAY(S31))-DATE(2016,1,1)+1,1)</f>
        <v>-0.4</v>
      </c>
      <c r="W31" s="176" t="e">
        <f>IF(T!$A$4&lt;MONTH(S31),VLOOKUP(S31,'[8]Podklady MZ'!$R$2:$S$367,2,FALSE),NA())</f>
        <v>#N/A</v>
      </c>
    </row>
    <row r="32" spans="1:23" ht="15" customHeight="1" x14ac:dyDescent="0.2">
      <c r="A32" s="904"/>
      <c r="B32" s="907"/>
      <c r="C32" s="163" t="s">
        <v>16</v>
      </c>
      <c r="D32" s="169">
        <f>'[13]Podklady MZ'!D5</f>
        <v>366.70694240674038</v>
      </c>
      <c r="E32" s="170">
        <f>'[13]Podklady MZ'!E5</f>
        <v>339.93743587233706</v>
      </c>
      <c r="F32" s="170">
        <f>'[13]Podklady MZ'!F5</f>
        <v>256.47298146433201</v>
      </c>
      <c r="G32" s="170">
        <f>'[13]Podklady MZ'!G5</f>
        <v>189.30613124016651</v>
      </c>
      <c r="H32" s="170">
        <f>'[13]Podklady MZ'!H5</f>
        <v>149.31306196781159</v>
      </c>
      <c r="I32" s="170">
        <f>'[13]Podklady MZ'!I5</f>
        <v>109.61034014534772</v>
      </c>
      <c r="J32" s="170">
        <f>'[13]Podklady MZ'!J5</f>
        <v>104.42863376725933</v>
      </c>
      <c r="K32" s="170">
        <f>'[13]Podklady MZ'!K5</f>
        <v>103.3116008201003</v>
      </c>
      <c r="L32" s="170">
        <f>'[13]Podklady MZ'!L5</f>
        <v>129.52152849227559</v>
      </c>
      <c r="M32" s="170">
        <f>'[13]Podklady MZ'!M5</f>
        <v>194.21809878892401</v>
      </c>
      <c r="N32" s="170">
        <f>'[13]Podklady MZ'!N5</f>
        <v>271.54852778688797</v>
      </c>
      <c r="O32" s="171">
        <f>'[13]Podklady MZ'!O5</f>
        <v>338.17047241786503</v>
      </c>
      <c r="S32" s="76">
        <f t="shared" si="0"/>
        <v>42035</v>
      </c>
      <c r="T32" s="77">
        <f>INDEX([12]ČR!$D$18:$D$383,DATE(2016,MONTH(S32),DAY(S32))-DATE(2016,1,1)+1,1)/1000000</f>
        <v>37.604357527995035</v>
      </c>
      <c r="U32" s="77">
        <f>IF(T!$A$4&gt;=MONTH(S32),VLOOKUP(S32,'[8]Podklady MZ'!$R$2:$S$367,2,FALSE),NA())</f>
        <v>34.216637130923509</v>
      </c>
      <c r="V32" s="176">
        <f>INDEX([5]PT!$AF$16:$AF$381,DATE(2016,MONTH(S32),DAY(S32))-DATE(2016,1,1)+1,1)</f>
        <v>-1.7</v>
      </c>
      <c r="W32" s="176" t="e">
        <f>IF(T!$A$4&lt;MONTH(S32),VLOOKUP(S32,'[8]Podklady MZ'!$R$2:$S$367,2,FALSE),NA())</f>
        <v>#N/A</v>
      </c>
    </row>
    <row r="33" spans="1:23" ht="15" customHeight="1" x14ac:dyDescent="0.2">
      <c r="A33" s="904"/>
      <c r="B33" s="908" t="s">
        <v>129</v>
      </c>
      <c r="C33" s="164" t="s">
        <v>199</v>
      </c>
      <c r="D33" s="165">
        <f>'[13]Podklady MZ'!D6</f>
        <v>1.5321804729824582</v>
      </c>
      <c r="E33" s="166">
        <f>'[13]Podklady MZ'!E6</f>
        <v>1.562740852404906</v>
      </c>
      <c r="F33" s="166">
        <f>'[13]Podklady MZ'!F6</f>
        <v>0.97956040953488865</v>
      </c>
      <c r="G33" s="166">
        <f>'[13]Podklady MZ'!G6</f>
        <v>1.1020731733440596</v>
      </c>
      <c r="H33" s="166">
        <f>'[13]Podklady MZ'!H6</f>
        <v>0.57410943884344612</v>
      </c>
      <c r="I33" s="166">
        <f>'[13]Podklady MZ'!I6</f>
        <v>0.13831682531817241</v>
      </c>
      <c r="J33" s="166">
        <f>'[13]Podklady MZ'!J6</f>
        <v>0.22886050046818632</v>
      </c>
      <c r="K33" s="166">
        <f>'[13]Podklady MZ'!K6</f>
        <v>0.32703314228528513</v>
      </c>
      <c r="L33" s="166">
        <f>'[13]Podklady MZ'!L6</f>
        <v>0.5537919709257193</v>
      </c>
      <c r="M33" s="166">
        <f>'[13]Podklady MZ'!M6</f>
        <v>1.2295590453146168</v>
      </c>
      <c r="N33" s="166">
        <f>'[13]Podklady MZ'!N6</f>
        <v>1.2210835941697429</v>
      </c>
      <c r="O33" s="167">
        <f>'[13]Podklady MZ'!O6</f>
        <v>1.285121574442708</v>
      </c>
      <c r="S33" s="76">
        <f t="shared" si="0"/>
        <v>42036</v>
      </c>
      <c r="T33" s="77">
        <f>INDEX([12]ČR!$D$18:$D$383,DATE(2016,MONTH(S33),DAY(S33))-DATE(2016,1,1)+1,1)/1000000</f>
        <v>35.40180564039769</v>
      </c>
      <c r="U33" s="77">
        <f>IF(T!$A$4&gt;=MONTH(S33),VLOOKUP(S33,'[8]Podklady MZ'!$R$2:$S$367,2,FALSE),NA())</f>
        <v>34.443999782272932</v>
      </c>
      <c r="V33" s="176">
        <f>INDEX([5]PT!$AF$16:$AF$381,DATE(2016,MONTH(S33),DAY(S33))-DATE(2016,1,1)+1,1)</f>
        <v>-1.4</v>
      </c>
      <c r="W33" s="176" t="e">
        <f>IF(T!$A$4&lt;MONTH(S33),VLOOKUP(S33,'[8]Podklady MZ'!$R$2:$S$367,2,FALSE),NA())</f>
        <v>#N/A</v>
      </c>
    </row>
    <row r="34" spans="1:23" ht="15" customHeight="1" x14ac:dyDescent="0.2">
      <c r="A34" s="905"/>
      <c r="B34" s="909"/>
      <c r="C34" s="168" t="s">
        <v>202</v>
      </c>
      <c r="D34" s="169">
        <f>'[13]Podklady MZ'!D7</f>
        <v>16.320640841064211</v>
      </c>
      <c r="E34" s="170">
        <f>'[13]Podklady MZ'!E7</f>
        <v>16.616973537572306</v>
      </c>
      <c r="F34" s="170">
        <f>'[13]Podklady MZ'!F7</f>
        <v>10.40566452280312</v>
      </c>
      <c r="G34" s="170">
        <f>'[13]Podklady MZ'!G7</f>
        <v>11.721011069246879</v>
      </c>
      <c r="H34" s="170">
        <f>'[13]Podklady MZ'!H7</f>
        <v>6.1099893158909557</v>
      </c>
      <c r="I34" s="170">
        <f>'[13]Podklady MZ'!I7</f>
        <v>1.4724332294700115</v>
      </c>
      <c r="J34" s="170">
        <f>'[13]Podklady MZ'!J7</f>
        <v>2.4254550526257601</v>
      </c>
      <c r="K34" s="170">
        <f>'[13]Podklady MZ'!K7</f>
        <v>3.489856998809405</v>
      </c>
      <c r="L34" s="170">
        <f>'[13]Podklady MZ'!L7</f>
        <v>5.8992995835837538</v>
      </c>
      <c r="M34" s="170">
        <f>'[13]Podklady MZ'!M7</f>
        <v>13.064786607627402</v>
      </c>
      <c r="N34" s="170">
        <f>'[13]Podklady MZ'!N7</f>
        <v>12.969852964781724</v>
      </c>
      <c r="O34" s="171">
        <f>'[13]Podklady MZ'!O7</f>
        <v>13.637964434105347</v>
      </c>
      <c r="S34" s="76">
        <f t="shared" si="0"/>
        <v>42037</v>
      </c>
      <c r="T34" s="77">
        <f>INDEX([12]ČR!$D$18:$D$383,DATE(2016,MONTH(S34),DAY(S34))-DATE(2016,1,1)+1,1)/1000000</f>
        <v>36.256133201110949</v>
      </c>
      <c r="U34" s="77">
        <f>IF(T!$A$4&gt;=MONTH(S34),VLOOKUP(S34,'[8]Podklady MZ'!$R$2:$S$367,2,FALSE),NA())</f>
        <v>37.810030602166719</v>
      </c>
      <c r="V34" s="176">
        <f>INDEX([5]PT!$AF$16:$AF$381,DATE(2016,MONTH(S34),DAY(S34))-DATE(2016,1,1)+1,1)</f>
        <v>-1.6</v>
      </c>
      <c r="W34" s="176" t="e">
        <f>IF(T!$A$4&lt;MONTH(S34),VLOOKUP(S34,'[8]Podklady MZ'!$R$2:$S$367,2,FALSE),NA())</f>
        <v>#N/A</v>
      </c>
    </row>
    <row r="35" spans="1:23" ht="8.25" customHeight="1" x14ac:dyDescent="0.2">
      <c r="A35" s="48"/>
      <c r="B35" s="48"/>
      <c r="C35" s="134"/>
      <c r="D35" s="124"/>
      <c r="E35" s="46"/>
      <c r="F35" s="81"/>
      <c r="G35" s="81"/>
      <c r="H35" s="81"/>
      <c r="I35" s="81"/>
      <c r="J35" s="82"/>
      <c r="K35" s="82"/>
      <c r="L35" s="82"/>
      <c r="M35" s="82"/>
      <c r="N35" s="82"/>
      <c r="O35" s="78"/>
      <c r="S35" s="76">
        <f t="shared" si="0"/>
        <v>42038</v>
      </c>
      <c r="T35" s="77">
        <f>INDEX([12]ČR!$D$18:$D$383,DATE(2016,MONTH(S35),DAY(S35))-DATE(2016,1,1)+1,1)/1000000</f>
        <v>38.572839522920816</v>
      </c>
      <c r="U35" s="77">
        <f>IF(T!$A$4&gt;=MONTH(S35),VLOOKUP(S35,'[8]Podklady MZ'!$R$2:$S$367,2,FALSE),NA())</f>
        <v>40.079616216670246</v>
      </c>
      <c r="V35" s="176">
        <f>INDEX([5]PT!$AF$16:$AF$381,DATE(2016,MONTH(S35),DAY(S35))-DATE(2016,1,1)+1,1)</f>
        <v>-2.5</v>
      </c>
      <c r="W35" s="176" t="e">
        <f>IF(T!$A$4&lt;MONTH(S35),VLOOKUP(S35,'[8]Podklady MZ'!$R$2:$S$367,2,FALSE),NA())</f>
        <v>#N/A</v>
      </c>
    </row>
    <row r="36" spans="1:23" ht="7.5" customHeight="1" x14ac:dyDescent="0.2">
      <c r="S36" s="76">
        <f t="shared" si="0"/>
        <v>42039</v>
      </c>
      <c r="T36" s="77">
        <f>INDEX([12]ČR!$D$18:$D$383,DATE(2016,MONTH(S36),DAY(S36))-DATE(2016,1,1)+1,1)/1000000</f>
        <v>38.774449049186302</v>
      </c>
      <c r="U36" s="77">
        <f>IF(T!$A$4&gt;=MONTH(S36),VLOOKUP(S36,'[8]Podklady MZ'!$R$2:$S$367,2,FALSE),NA())</f>
        <v>41.461490277269561</v>
      </c>
      <c r="V36" s="176">
        <f>INDEX([5]PT!$AF$16:$AF$381,DATE(2016,MONTH(S36),DAY(S36))-DATE(2016,1,1)+1,1)</f>
        <v>-2.9</v>
      </c>
      <c r="W36" s="176" t="e">
        <f>IF(T!$A$4&lt;MONTH(S36),VLOOKUP(S36,'[8]Podklady MZ'!$R$2:$S$367,2,FALSE),NA())</f>
        <v>#N/A</v>
      </c>
    </row>
    <row r="37" spans="1:23" ht="12.95" customHeight="1" x14ac:dyDescent="0.2">
      <c r="A37" s="13"/>
      <c r="I37" s="47"/>
      <c r="J37" s="68"/>
      <c r="K37" s="68"/>
      <c r="S37" s="76">
        <f t="shared" si="0"/>
        <v>42040</v>
      </c>
      <c r="T37" s="77">
        <f>INDEX([12]ČR!$D$18:$D$383,DATE(2016,MONTH(S37),DAY(S37))-DATE(2016,1,1)+1,1)/1000000</f>
        <v>38.146355387707018</v>
      </c>
      <c r="U37" s="77">
        <f>IF(T!$A$4&gt;=MONTH(S37),VLOOKUP(S37,'[8]Podklady MZ'!$R$2:$S$367,2,FALSE),NA())</f>
        <v>42.621557004484409</v>
      </c>
      <c r="V37" s="176">
        <f>INDEX([5]PT!$AF$16:$AF$381,DATE(2016,MONTH(S37),DAY(S37))-DATE(2016,1,1)+1,1)</f>
        <v>-3.4</v>
      </c>
      <c r="W37" s="176" t="e">
        <f>IF(T!$A$4&lt;MONTH(S37),VLOOKUP(S37,'[8]Podklady MZ'!$R$2:$S$367,2,FALSE),NA())</f>
        <v>#N/A</v>
      </c>
    </row>
    <row r="38" spans="1:23" ht="12.95" customHeight="1" x14ac:dyDescent="0.2">
      <c r="A38" s="903" t="s">
        <v>308</v>
      </c>
      <c r="B38" s="903"/>
      <c r="C38" s="903"/>
      <c r="D38" s="903"/>
      <c r="E38" s="903"/>
      <c r="F38" s="903"/>
      <c r="G38" s="903"/>
      <c r="H38" s="903"/>
      <c r="I38" s="903"/>
      <c r="J38" s="903"/>
      <c r="K38" s="903"/>
      <c r="L38" s="903"/>
      <c r="M38" s="903"/>
      <c r="N38" s="903"/>
      <c r="O38" s="903"/>
      <c r="S38" s="76">
        <f t="shared" si="0"/>
        <v>42041</v>
      </c>
      <c r="T38" s="77">
        <f>INDEX([12]ČR!$D$18:$D$383,DATE(2016,MONTH(S38),DAY(S38))-DATE(2016,1,1)+1,1)/1000000</f>
        <v>35.601336772849407</v>
      </c>
      <c r="U38" s="77">
        <f>IF(T!$A$4&gt;=MONTH(S38),VLOOKUP(S38,'[8]Podklady MZ'!$R$2:$S$367,2,FALSE),NA())</f>
        <v>41.002694837526164</v>
      </c>
      <c r="V38" s="176">
        <f>INDEX([5]PT!$AF$16:$AF$381,DATE(2016,MONTH(S38),DAY(S38))-DATE(2016,1,1)+1,1)</f>
        <v>-3.9</v>
      </c>
      <c r="W38" s="176" t="e">
        <f>IF(T!$A$4&lt;MONTH(S38),VLOOKUP(S38,'[8]Podklady MZ'!$R$2:$S$367,2,FALSE),NA())</f>
        <v>#N/A</v>
      </c>
    </row>
    <row r="39" spans="1:23" ht="12.95" customHeight="1" x14ac:dyDescent="0.2">
      <c r="A39" s="903"/>
      <c r="B39" s="903"/>
      <c r="C39" s="903"/>
      <c r="D39" s="903"/>
      <c r="E39" s="903"/>
      <c r="F39" s="903"/>
      <c r="G39" s="644"/>
      <c r="H39" s="644"/>
      <c r="I39" s="47"/>
      <c r="J39" s="68"/>
      <c r="K39" s="68"/>
      <c r="S39" s="76">
        <f t="shared" si="0"/>
        <v>42042</v>
      </c>
      <c r="T39" s="77">
        <f>INDEX([12]ČR!$D$18:$D$383,DATE(2016,MONTH(S39),DAY(S39))-DATE(2016,1,1)+1,1)/1000000</f>
        <v>34.086895744836866</v>
      </c>
      <c r="U39" s="77">
        <f>IF(T!$A$4&gt;=MONTH(S39),VLOOKUP(S39,'[8]Podklady MZ'!$R$2:$S$367,2,FALSE),NA())</f>
        <v>36.310293564588683</v>
      </c>
      <c r="V39" s="176">
        <f>INDEX([5]PT!$AF$16:$AF$381,DATE(2016,MONTH(S39),DAY(S39))-DATE(2016,1,1)+1,1)</f>
        <v>-3.7</v>
      </c>
      <c r="W39" s="176" t="e">
        <f>IF(T!$A$4&lt;MONTH(S39),VLOOKUP(S39,'[8]Podklady MZ'!$R$2:$S$367,2,FALSE),NA())</f>
        <v>#N/A</v>
      </c>
    </row>
    <row r="40" spans="1:23" ht="12.95" customHeight="1" x14ac:dyDescent="0.2">
      <c r="A40" s="48"/>
      <c r="B40" s="48"/>
      <c r="C40" s="71"/>
      <c r="D40" s="71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S40" s="76">
        <f t="shared" si="0"/>
        <v>42043</v>
      </c>
      <c r="T40" s="77">
        <f>INDEX([12]ČR!$D$18:$D$383,DATE(2016,MONTH(S40),DAY(S40))-DATE(2016,1,1)+1,1)/1000000</f>
        <v>28.27191480409385</v>
      </c>
      <c r="U40" s="77">
        <f>IF(T!$A$4&gt;=MONTH(S40),VLOOKUP(S40,'[8]Podklady MZ'!$R$2:$S$367,2,FALSE),NA())</f>
        <v>37.694738891570495</v>
      </c>
      <c r="V40" s="176">
        <f>INDEX([5]PT!$AF$16:$AF$381,DATE(2016,MONTH(S40),DAY(S40))-DATE(2016,1,1)+1,1)</f>
        <v>-2.2999999999999998</v>
      </c>
      <c r="W40" s="176" t="e">
        <f>IF(T!$A$4&lt;MONTH(S40),VLOOKUP(S40,'[8]Podklady MZ'!$R$2:$S$367,2,FALSE),NA())</f>
        <v>#N/A</v>
      </c>
    </row>
    <row r="41" spans="1:23" ht="12.95" customHeight="1" x14ac:dyDescent="0.2">
      <c r="A41" s="48"/>
      <c r="B41" s="48"/>
      <c r="C41" s="71"/>
      <c r="D41" s="71"/>
      <c r="E41" s="71"/>
      <c r="F41" s="47"/>
      <c r="G41" s="47"/>
      <c r="H41" s="47"/>
      <c r="I41" s="47"/>
      <c r="J41" s="68"/>
      <c r="K41" s="47"/>
      <c r="S41" s="76">
        <f t="shared" si="0"/>
        <v>42044</v>
      </c>
      <c r="T41" s="77">
        <f>INDEX([12]ČR!$D$18:$D$383,DATE(2016,MONTH(S41),DAY(S41))-DATE(2016,1,1)+1,1)/1000000</f>
        <v>30.067092573339991</v>
      </c>
      <c r="U41" s="77">
        <f>IF(T!$A$4&gt;=MONTH(S41),VLOOKUP(S41,'[8]Podklady MZ'!$R$2:$S$367,2,FALSE),NA())</f>
        <v>39.125366627788033</v>
      </c>
      <c r="V41" s="176">
        <f>INDEX([5]PT!$AF$16:$AF$381,DATE(2016,MONTH(S41),DAY(S41))-DATE(2016,1,1)+1,1)</f>
        <v>0.4</v>
      </c>
      <c r="W41" s="176" t="e">
        <f>IF(T!$A$4&lt;MONTH(S41),VLOOKUP(S41,'[8]Podklady MZ'!$R$2:$S$367,2,FALSE),NA())</f>
        <v>#N/A</v>
      </c>
    </row>
    <row r="42" spans="1:23" ht="12.95" customHeight="1" x14ac:dyDescent="0.2">
      <c r="A42" s="48"/>
      <c r="B42" s="48"/>
      <c r="C42" s="71"/>
      <c r="D42" s="71"/>
      <c r="E42" s="71"/>
      <c r="F42" s="47"/>
      <c r="G42" s="47"/>
      <c r="H42" s="47"/>
      <c r="I42" s="47"/>
      <c r="J42" s="68"/>
      <c r="K42" s="47"/>
      <c r="S42" s="76">
        <f t="shared" si="0"/>
        <v>42045</v>
      </c>
      <c r="T42" s="77">
        <f>INDEX([12]ČR!$D$18:$D$383,DATE(2016,MONTH(S42),DAY(S42))-DATE(2016,1,1)+1,1)/1000000</f>
        <v>32.448626975947981</v>
      </c>
      <c r="U42" s="77">
        <f>IF(T!$A$4&gt;=MONTH(S42),VLOOKUP(S42,'[8]Podklady MZ'!$R$2:$S$367,2,FALSE),NA())</f>
        <v>35.860134716284335</v>
      </c>
      <c r="V42" s="176">
        <f>INDEX([5]PT!$AF$16:$AF$381,DATE(2016,MONTH(S42),DAY(S42))-DATE(2016,1,1)+1,1)</f>
        <v>2.4</v>
      </c>
      <c r="W42" s="176" t="e">
        <f>IF(T!$A$4&lt;MONTH(S42),VLOOKUP(S42,'[8]Podklady MZ'!$R$2:$S$367,2,FALSE),NA())</f>
        <v>#N/A</v>
      </c>
    </row>
    <row r="43" spans="1:23" ht="12.95" customHeight="1" x14ac:dyDescent="0.2">
      <c r="A43" s="48"/>
      <c r="B43" s="48"/>
      <c r="C43" s="71"/>
      <c r="D43" s="71"/>
      <c r="E43" s="71"/>
      <c r="F43" s="47"/>
      <c r="G43" s="47"/>
      <c r="H43" s="47"/>
      <c r="I43" s="47"/>
      <c r="J43" s="68"/>
      <c r="K43" s="47"/>
      <c r="S43" s="76">
        <f t="shared" si="0"/>
        <v>42046</v>
      </c>
      <c r="T43" s="77">
        <f>INDEX([12]ČR!$D$18:$D$383,DATE(2016,MONTH(S43),DAY(S43))-DATE(2016,1,1)+1,1)/1000000</f>
        <v>32.699052033250474</v>
      </c>
      <c r="U43" s="77">
        <f>IF(T!$A$4&gt;=MONTH(S43),VLOOKUP(S43,'[8]Podklady MZ'!$R$2:$S$367,2,FALSE),NA())</f>
        <v>35.500375108909473</v>
      </c>
      <c r="V43" s="176">
        <f>INDEX([5]PT!$AF$16:$AF$381,DATE(2016,MONTH(S43),DAY(S43))-DATE(2016,1,1)+1,1)</f>
        <v>0.8</v>
      </c>
      <c r="W43" s="176" t="e">
        <f>IF(T!$A$4&lt;MONTH(S43),VLOOKUP(S43,'[8]Podklady MZ'!$R$2:$S$367,2,FALSE),NA())</f>
        <v>#N/A</v>
      </c>
    </row>
    <row r="44" spans="1:23" ht="12.95" customHeight="1" x14ac:dyDescent="0.2">
      <c r="A44" s="48"/>
      <c r="B44" s="48"/>
      <c r="C44" s="71"/>
      <c r="D44" s="71"/>
      <c r="E44" s="71"/>
      <c r="F44" s="47"/>
      <c r="G44" s="47"/>
      <c r="H44" s="47"/>
      <c r="I44" s="47"/>
      <c r="J44" s="68"/>
      <c r="K44" s="47"/>
      <c r="S44" s="76">
        <f t="shared" si="0"/>
        <v>42047</v>
      </c>
      <c r="T44" s="77">
        <f>INDEX([12]ČR!$D$18:$D$383,DATE(2016,MONTH(S44),DAY(S44))-DATE(2016,1,1)+1,1)/1000000</f>
        <v>34.882585752032831</v>
      </c>
      <c r="U44" s="77">
        <f>IF(T!$A$4&gt;=MONTH(S44),VLOOKUP(S44,'[8]Podklady MZ'!$R$2:$S$367,2,FALSE),NA())</f>
        <v>35.94283126686328</v>
      </c>
      <c r="V44" s="176">
        <f>INDEX([5]PT!$AF$16:$AF$381,DATE(2016,MONTH(S44),DAY(S44))-DATE(2016,1,1)+1,1)</f>
        <v>0.6</v>
      </c>
      <c r="W44" s="176" t="e">
        <f>IF(T!$A$4&lt;MONTH(S44),VLOOKUP(S44,'[8]Podklady MZ'!$R$2:$S$367,2,FALSE),NA())</f>
        <v>#N/A</v>
      </c>
    </row>
    <row r="45" spans="1:23" ht="12.95" customHeight="1" x14ac:dyDescent="0.2">
      <c r="A45" s="48"/>
      <c r="B45" s="48"/>
      <c r="C45" s="71"/>
      <c r="D45" s="71"/>
      <c r="E45" s="71"/>
      <c r="F45" s="47"/>
      <c r="G45" s="47"/>
      <c r="H45" s="47"/>
      <c r="I45" s="47"/>
      <c r="J45" s="68"/>
      <c r="K45" s="47"/>
      <c r="N45" s="66"/>
      <c r="O45" s="66"/>
      <c r="P45" s="66"/>
      <c r="Q45" s="66"/>
      <c r="R45" s="66"/>
      <c r="S45" s="76">
        <f t="shared" si="0"/>
        <v>42048</v>
      </c>
      <c r="T45" s="77">
        <f>INDEX([12]ČR!$D$18:$D$383,DATE(2016,MONTH(S45),DAY(S45))-DATE(2016,1,1)+1,1)/1000000</f>
        <v>33.101919421790853</v>
      </c>
      <c r="U45" s="77">
        <f>IF(T!$A$4&gt;=MONTH(S45),VLOOKUP(S45,'[8]Podklady MZ'!$R$2:$S$367,2,FALSE),NA())</f>
        <v>35.457735692935167</v>
      </c>
      <c r="V45" s="176">
        <f>INDEX([5]PT!$AF$16:$AF$381,DATE(2016,MONTH(S45),DAY(S45))-DATE(2016,1,1)+1,1)</f>
        <v>-0.1</v>
      </c>
      <c r="W45" s="176" t="e">
        <f>IF(T!$A$4&lt;MONTH(S45),VLOOKUP(S45,'[8]Podklady MZ'!$R$2:$S$367,2,FALSE),NA())</f>
        <v>#N/A</v>
      </c>
    </row>
    <row r="46" spans="1:23" ht="12.95" customHeight="1" x14ac:dyDescent="0.2">
      <c r="A46" s="48"/>
      <c r="B46" s="48"/>
      <c r="C46" s="71"/>
      <c r="D46" s="71"/>
      <c r="E46" s="71"/>
      <c r="F46" s="69"/>
      <c r="G46" s="69"/>
      <c r="H46" s="69"/>
      <c r="I46" s="69"/>
      <c r="J46" s="69"/>
      <c r="K46" s="69"/>
      <c r="S46" s="76">
        <f t="shared" si="0"/>
        <v>42049</v>
      </c>
      <c r="T46" s="77">
        <f>INDEX([12]ČR!$D$18:$D$383,DATE(2016,MONTH(S46),DAY(S46))-DATE(2016,1,1)+1,1)/1000000</f>
        <v>31.440608091089793</v>
      </c>
      <c r="U46" s="77">
        <f>IF(T!$A$4&gt;=MONTH(S46),VLOOKUP(S46,'[8]Podklady MZ'!$R$2:$S$367,2,FALSE),NA())</f>
        <v>32.32461074416856</v>
      </c>
      <c r="V46" s="176">
        <f>INDEX([5]PT!$AF$16:$AF$381,DATE(2016,MONTH(S46),DAY(S46))-DATE(2016,1,1)+1,1)</f>
        <v>0.7</v>
      </c>
      <c r="W46" s="176" t="e">
        <f>IF(T!$A$4&lt;MONTH(S46),VLOOKUP(S46,'[8]Podklady MZ'!$R$2:$S$367,2,FALSE),NA())</f>
        <v>#N/A</v>
      </c>
    </row>
    <row r="47" spans="1:23" ht="12.95" customHeight="1" x14ac:dyDescent="0.2">
      <c r="A47" s="48"/>
      <c r="B47" s="48"/>
      <c r="C47" s="71"/>
      <c r="D47" s="71"/>
      <c r="E47" s="71"/>
      <c r="F47" s="69"/>
      <c r="G47" s="69"/>
      <c r="H47" s="69"/>
      <c r="I47" s="69"/>
      <c r="J47" s="69"/>
      <c r="K47" s="69"/>
      <c r="S47" s="76">
        <f t="shared" si="0"/>
        <v>42050</v>
      </c>
      <c r="T47" s="77">
        <f>INDEX([12]ČR!$D$18:$D$383,DATE(2016,MONTH(S47),DAY(S47))-DATE(2016,1,1)+1,1)/1000000</f>
        <v>28.101454696781424</v>
      </c>
      <c r="U47" s="77">
        <f>IF(T!$A$4&gt;=MONTH(S47),VLOOKUP(S47,'[8]Podklady MZ'!$R$2:$S$367,2,FALSE),NA())</f>
        <v>31.653059206051871</v>
      </c>
      <c r="V47" s="176">
        <f>INDEX([5]PT!$AF$16:$AF$381,DATE(2016,MONTH(S47),DAY(S47))-DATE(2016,1,1)+1,1)</f>
        <v>2.2999999999999998</v>
      </c>
      <c r="W47" s="176" t="e">
        <f>IF(T!$A$4&lt;MONTH(S47),VLOOKUP(S47,'[8]Podklady MZ'!$R$2:$S$367,2,FALSE),NA())</f>
        <v>#N/A</v>
      </c>
    </row>
    <row r="48" spans="1:23" ht="12.95" customHeight="1" x14ac:dyDescent="0.2">
      <c r="A48" s="48"/>
      <c r="B48" s="48"/>
      <c r="C48" s="71"/>
      <c r="D48" s="71"/>
      <c r="E48" s="71"/>
      <c r="F48" s="69"/>
      <c r="G48" s="69"/>
      <c r="H48" s="69"/>
      <c r="I48" s="69"/>
      <c r="J48" s="69"/>
      <c r="K48" s="69"/>
      <c r="S48" s="76">
        <f t="shared" si="0"/>
        <v>42051</v>
      </c>
      <c r="T48" s="77">
        <f>INDEX([12]ČR!$D$18:$D$383,DATE(2016,MONTH(S48),DAY(S48))-DATE(2016,1,1)+1,1)/1000000</f>
        <v>29.299297569510962</v>
      </c>
      <c r="U48" s="77">
        <f>IF(T!$A$4&gt;=MONTH(S48),VLOOKUP(S48,'[8]Podklady MZ'!$R$2:$S$367,2,FALSE),NA())</f>
        <v>35.010214404985817</v>
      </c>
      <c r="V48" s="176">
        <f>INDEX([5]PT!$AF$16:$AF$381,DATE(2016,MONTH(S48),DAY(S48))-DATE(2016,1,1)+1,1)</f>
        <v>0.8</v>
      </c>
      <c r="W48" s="176" t="e">
        <f>IF(T!$A$4&lt;MONTH(S48),VLOOKUP(S48,'[8]Podklady MZ'!$R$2:$S$367,2,FALSE),NA())</f>
        <v>#N/A</v>
      </c>
    </row>
    <row r="49" spans="1:23" ht="12.95" customHeight="1" x14ac:dyDescent="0.2">
      <c r="A49" s="48"/>
      <c r="B49" s="48"/>
      <c r="C49" s="71"/>
      <c r="D49" s="71"/>
      <c r="E49" s="71"/>
      <c r="F49" s="69"/>
      <c r="G49" s="69"/>
      <c r="H49" s="69"/>
      <c r="I49" s="69"/>
      <c r="J49" s="69"/>
      <c r="K49" s="69"/>
      <c r="S49" s="76">
        <f t="shared" si="0"/>
        <v>42052</v>
      </c>
      <c r="T49" s="77">
        <f>INDEX([12]ČR!$D$18:$D$383,DATE(2016,MONTH(S49),DAY(S49))-DATE(2016,1,1)+1,1)/1000000</f>
        <v>30.772013046219641</v>
      </c>
      <c r="U49" s="77">
        <f>IF(T!$A$4&gt;=MONTH(S49),VLOOKUP(S49,'[8]Podklady MZ'!$R$2:$S$367,2,FALSE),NA())</f>
        <v>36.27382433829149</v>
      </c>
      <c r="V49" s="176">
        <f>INDEX([5]PT!$AF$16:$AF$381,DATE(2016,MONTH(S49),DAY(S49))-DATE(2016,1,1)+1,1)</f>
        <v>-0.2</v>
      </c>
      <c r="W49" s="176" t="e">
        <f>IF(T!$A$4&lt;MONTH(S49),VLOOKUP(S49,'[8]Podklady MZ'!$R$2:$S$367,2,FALSE),NA())</f>
        <v>#N/A</v>
      </c>
    </row>
    <row r="50" spans="1:23" ht="12.95" customHeight="1" x14ac:dyDescent="0.2">
      <c r="A50" s="48"/>
      <c r="B50" s="48"/>
      <c r="C50" s="71"/>
      <c r="D50" s="71"/>
      <c r="E50" s="71"/>
      <c r="F50" s="69"/>
      <c r="G50" s="69"/>
      <c r="H50" s="69"/>
      <c r="I50" s="69"/>
      <c r="J50" s="69"/>
      <c r="K50" s="69"/>
      <c r="S50" s="76">
        <f t="shared" si="0"/>
        <v>42053</v>
      </c>
      <c r="T50" s="77">
        <f>INDEX([12]ČR!$D$18:$D$383,DATE(2016,MONTH(S50),DAY(S50))-DATE(2016,1,1)+1,1)/1000000</f>
        <v>31.843277658628132</v>
      </c>
      <c r="U50" s="77">
        <f>IF(T!$A$4&gt;=MONTH(S50),VLOOKUP(S50,'[8]Podklady MZ'!$R$2:$S$367,2,FALSE),NA())</f>
        <v>36.879590118145963</v>
      </c>
      <c r="V50" s="176">
        <f>INDEX([5]PT!$AF$16:$AF$381,DATE(2016,MONTH(S50),DAY(S50))-DATE(2016,1,1)+1,1)</f>
        <v>-0.3</v>
      </c>
      <c r="W50" s="176" t="e">
        <f>IF(T!$A$4&lt;MONTH(S50),VLOOKUP(S50,'[8]Podklady MZ'!$R$2:$S$367,2,FALSE),NA())</f>
        <v>#N/A</v>
      </c>
    </row>
    <row r="51" spans="1:23" ht="12.95" customHeight="1" x14ac:dyDescent="0.2">
      <c r="A51" s="48"/>
      <c r="B51" s="48"/>
      <c r="C51" s="71"/>
      <c r="D51" s="71"/>
      <c r="E51" s="71"/>
      <c r="F51" s="69"/>
      <c r="G51" s="69"/>
      <c r="H51" s="69"/>
      <c r="I51" s="69"/>
      <c r="J51" s="69"/>
      <c r="K51" s="69"/>
      <c r="S51" s="76">
        <f t="shared" si="0"/>
        <v>42054</v>
      </c>
      <c r="T51" s="77">
        <f>INDEX([12]ČR!$D$18:$D$383,DATE(2016,MONTH(S51),DAY(S51))-DATE(2016,1,1)+1,1)/1000000</f>
        <v>30.934519984747681</v>
      </c>
      <c r="U51" s="77">
        <f>IF(T!$A$4&gt;=MONTH(S51),VLOOKUP(S51,'[8]Podklady MZ'!$R$2:$S$367,2,FALSE),NA())</f>
        <v>36.528261146452671</v>
      </c>
      <c r="V51" s="176">
        <f>INDEX([5]PT!$AF$16:$AF$381,DATE(2016,MONTH(S51),DAY(S51))-DATE(2016,1,1)+1,1)</f>
        <v>-0.6</v>
      </c>
      <c r="W51" s="176" t="e">
        <f>IF(T!$A$4&lt;MONTH(S51),VLOOKUP(S51,'[8]Podklady MZ'!$R$2:$S$367,2,FALSE),NA())</f>
        <v>#N/A</v>
      </c>
    </row>
    <row r="52" spans="1:23" ht="12.95" customHeight="1" x14ac:dyDescent="0.2">
      <c r="A52" s="48"/>
      <c r="B52" s="48"/>
      <c r="C52" s="71"/>
      <c r="D52" s="71"/>
      <c r="E52" s="71"/>
      <c r="F52" s="69"/>
      <c r="G52" s="69"/>
      <c r="H52" s="69"/>
      <c r="I52" s="69"/>
      <c r="J52" s="69"/>
      <c r="K52" s="69"/>
      <c r="S52" s="76">
        <f t="shared" si="0"/>
        <v>42055</v>
      </c>
      <c r="T52" s="77">
        <f>INDEX([12]ČR!$D$18:$D$383,DATE(2016,MONTH(S52),DAY(S52))-DATE(2016,1,1)+1,1)/1000000</f>
        <v>29.665237368062613</v>
      </c>
      <c r="U52" s="77">
        <f>IF(T!$A$4&gt;=MONTH(S52),VLOOKUP(S52,'[8]Podklady MZ'!$R$2:$S$367,2,FALSE),NA())</f>
        <v>33.703544034626219</v>
      </c>
      <c r="V52" s="176">
        <f>INDEX([5]PT!$AF$16:$AF$381,DATE(2016,MONTH(S52),DAY(S52))-DATE(2016,1,1)+1,1)</f>
        <v>1.2</v>
      </c>
      <c r="W52" s="176" t="e">
        <f>IF(T!$A$4&lt;MONTH(S52),VLOOKUP(S52,'[8]Podklady MZ'!$R$2:$S$367,2,FALSE),NA())</f>
        <v>#N/A</v>
      </c>
    </row>
    <row r="53" spans="1:23" ht="9" customHeight="1" x14ac:dyDescent="0.2">
      <c r="A53" s="48"/>
      <c r="B53" s="48"/>
      <c r="C53" s="49"/>
      <c r="D53" s="49"/>
      <c r="E53" s="49"/>
      <c r="F53" s="47"/>
      <c r="G53" s="47"/>
      <c r="H53" s="50"/>
      <c r="I53" s="47"/>
      <c r="J53" s="47"/>
      <c r="K53" s="50"/>
      <c r="S53" s="76">
        <f t="shared" si="0"/>
        <v>42056</v>
      </c>
      <c r="T53" s="77">
        <f>INDEX([12]ČR!$D$18:$D$383,DATE(2016,MONTH(S53),DAY(S53))-DATE(2016,1,1)+1,1)/1000000</f>
        <v>28.690933982194814</v>
      </c>
      <c r="U53" s="77">
        <f>IF(T!$A$4&gt;=MONTH(S53),VLOOKUP(S53,'[8]Podklady MZ'!$R$2:$S$367,2,FALSE),NA())</f>
        <v>29.747995538224668</v>
      </c>
      <c r="V53" s="176">
        <f>INDEX([5]PT!$AF$16:$AF$381,DATE(2016,MONTH(S53),DAY(S53))-DATE(2016,1,1)+1,1)</f>
        <v>2</v>
      </c>
      <c r="W53" s="176" t="e">
        <f>IF(T!$A$4&lt;MONTH(S53),VLOOKUP(S53,'[8]Podklady MZ'!$R$2:$S$367,2,FALSE),NA())</f>
        <v>#N/A</v>
      </c>
    </row>
    <row r="54" spans="1:23" x14ac:dyDescent="0.2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S54" s="76">
        <f t="shared" si="0"/>
        <v>42057</v>
      </c>
      <c r="T54" s="77">
        <f>INDEX([12]ČR!$D$18:$D$383,DATE(2016,MONTH(S54),DAY(S54))-DATE(2016,1,1)+1,1)/1000000</f>
        <v>26.488220342388296</v>
      </c>
      <c r="U54" s="77">
        <f>IF(T!$A$4&gt;=MONTH(S54),VLOOKUP(S54,'[8]Podklady MZ'!$R$2:$S$367,2,FALSE),NA())</f>
        <v>30.593376885161437</v>
      </c>
      <c r="V54" s="176">
        <f>INDEX([5]PT!$AF$16:$AF$381,DATE(2016,MONTH(S54),DAY(S54))-DATE(2016,1,1)+1,1)</f>
        <v>2</v>
      </c>
      <c r="W54" s="176" t="e">
        <f>IF(T!$A$4&lt;MONTH(S54),VLOOKUP(S54,'[8]Podklady MZ'!$R$2:$S$367,2,FALSE),NA())</f>
        <v>#N/A</v>
      </c>
    </row>
    <row r="55" spans="1:23" x14ac:dyDescent="0.2">
      <c r="S55" s="76">
        <f t="shared" si="0"/>
        <v>42058</v>
      </c>
      <c r="T55" s="77">
        <f>INDEX([12]ČR!$D$18:$D$383,DATE(2016,MONTH(S55),DAY(S55))-DATE(2016,1,1)+1,1)/1000000</f>
        <v>27.234455430524132</v>
      </c>
      <c r="U55" s="77">
        <f>IF(T!$A$4&gt;=MONTH(S55),VLOOKUP(S55,'[8]Podklady MZ'!$R$2:$S$367,2,FALSE),NA())</f>
        <v>33.462862272904239</v>
      </c>
      <c r="V55" s="176">
        <f>INDEX([5]PT!$AF$16:$AF$381,DATE(2016,MONTH(S55),DAY(S55))-DATE(2016,1,1)+1,1)</f>
        <v>3.1</v>
      </c>
      <c r="W55" s="176" t="e">
        <f>IF(T!$A$4&lt;MONTH(S55),VLOOKUP(S55,'[8]Podklady MZ'!$R$2:$S$367,2,FALSE),NA())</f>
        <v>#N/A</v>
      </c>
    </row>
    <row r="56" spans="1:23" x14ac:dyDescent="0.2">
      <c r="S56" s="76">
        <f t="shared" si="0"/>
        <v>42059</v>
      </c>
      <c r="T56" s="77">
        <f>INDEX([12]ČR!$D$18:$D$383,DATE(2016,MONTH(S56),DAY(S56))-DATE(2016,1,1)+1,1)/1000000</f>
        <v>29.906002272638524</v>
      </c>
      <c r="U56" s="77">
        <f>IF(T!$A$4&gt;=MONTH(S56),VLOOKUP(S56,'[8]Podklady MZ'!$R$2:$S$367,2,FALSE),NA())</f>
        <v>32.092613243413886</v>
      </c>
      <c r="V56" s="176">
        <f>INDEX([5]PT!$AF$16:$AF$381,DATE(2016,MONTH(S56),DAY(S56))-DATE(2016,1,1)+1,1)</f>
        <v>3.7</v>
      </c>
      <c r="W56" s="176" t="e">
        <f>IF(T!$A$4&lt;MONTH(S56),VLOOKUP(S56,'[8]Podklady MZ'!$R$2:$S$367,2,FALSE),NA())</f>
        <v>#N/A</v>
      </c>
    </row>
    <row r="57" spans="1:23" x14ac:dyDescent="0.2">
      <c r="S57" s="76">
        <f t="shared" si="0"/>
        <v>42060</v>
      </c>
      <c r="T57" s="77">
        <f>INDEX([12]ČR!$D$18:$D$383,DATE(2016,MONTH(S57),DAY(S57))-DATE(2016,1,1)+1,1)/1000000</f>
        <v>31.25101908209286</v>
      </c>
      <c r="U57" s="77">
        <f>IF(T!$A$4&gt;=MONTH(S57),VLOOKUP(S57,'[8]Podklady MZ'!$R$2:$S$367,2,FALSE),NA())</f>
        <v>33.199114901346874</v>
      </c>
      <c r="V57" s="176">
        <f>INDEX([5]PT!$AF$16:$AF$381,DATE(2016,MONTH(S57),DAY(S57))-DATE(2016,1,1)+1,1)</f>
        <v>2.4</v>
      </c>
      <c r="W57" s="176" t="e">
        <f>IF(T!$A$4&lt;MONTH(S57),VLOOKUP(S57,'[8]Podklady MZ'!$R$2:$S$367,2,FALSE),NA())</f>
        <v>#N/A</v>
      </c>
    </row>
    <row r="58" spans="1:23" x14ac:dyDescent="0.2">
      <c r="S58" s="76">
        <f t="shared" si="0"/>
        <v>42061</v>
      </c>
      <c r="T58" s="77">
        <f>INDEX([12]ČR!$D$18:$D$383,DATE(2016,MONTH(S58),DAY(S58))-DATE(2016,1,1)+1,1)/1000000</f>
        <v>30.588975385689579</v>
      </c>
      <c r="U58" s="77">
        <f>IF(T!$A$4&gt;=MONTH(S58),VLOOKUP(S58,'[8]Podklady MZ'!$R$2:$S$367,2,FALSE),NA())</f>
        <v>33.339268505793576</v>
      </c>
      <c r="V58" s="176">
        <f>INDEX([5]PT!$AF$16:$AF$381,DATE(2016,MONTH(S58),DAY(S58))-DATE(2016,1,1)+1,1)</f>
        <v>2</v>
      </c>
      <c r="W58" s="176" t="e">
        <f>IF(T!$A$4&lt;MONTH(S58),VLOOKUP(S58,'[8]Podklady MZ'!$R$2:$S$367,2,FALSE),NA())</f>
        <v>#N/A</v>
      </c>
    </row>
    <row r="59" spans="1:23" x14ac:dyDescent="0.2">
      <c r="D59" s="13"/>
      <c r="E59" s="13"/>
      <c r="F59" s="13"/>
      <c r="G59" s="13"/>
      <c r="S59" s="76">
        <f t="shared" si="0"/>
        <v>42062</v>
      </c>
      <c r="T59" s="77">
        <f>INDEX([12]ČR!$D$18:$D$383,DATE(2016,MONTH(S59),DAY(S59))-DATE(2016,1,1)+1,1)/1000000</f>
        <v>30.438781690691069</v>
      </c>
      <c r="U59" s="77">
        <f>IF(T!$A$4&gt;=MONTH(S59),VLOOKUP(S59,'[8]Podklady MZ'!$R$2:$S$367,2,FALSE),NA())</f>
        <v>32.085560383060248</v>
      </c>
      <c r="V59" s="176">
        <f>INDEX([5]PT!$AF$16:$AF$381,DATE(2016,MONTH(S59),DAY(S59))-DATE(2016,1,1)+1,1)</f>
        <v>2.5</v>
      </c>
      <c r="W59" s="176" t="e">
        <f>IF(T!$A$4&lt;MONTH(S59),VLOOKUP(S59,'[8]Podklady MZ'!$R$2:$S$367,2,FALSE),NA())</f>
        <v>#N/A</v>
      </c>
    </row>
    <row r="60" spans="1:23" x14ac:dyDescent="0.2">
      <c r="D60" s="13"/>
      <c r="E60" s="70"/>
      <c r="F60" s="70"/>
      <c r="G60" s="70"/>
      <c r="S60" s="76">
        <f t="shared" si="0"/>
        <v>42063</v>
      </c>
      <c r="T60" s="77">
        <f>INDEX([12]ČR!$D$18:$D$383,DATE(2016,MONTH(S60),DAY(S60))-DATE(2016,1,1)+1,1)/1000000</f>
        <v>30.176460467202809</v>
      </c>
      <c r="U60" s="77">
        <f>IF(T!$A$4&gt;=MONTH(S60),VLOOKUP(S60,'[8]Podklady MZ'!$R$2:$S$367,2,FALSE),NA())</f>
        <v>29.662131335351482</v>
      </c>
      <c r="V60" s="176">
        <f>INDEX([5]PT!$AF$16:$AF$381,DATE(2016,MONTH(S60),DAY(S60))-DATE(2016,1,1)+1,1)</f>
        <v>2.2000000000000002</v>
      </c>
      <c r="W60" s="176" t="e">
        <f>IF(T!$A$4&lt;MONTH(S60),VLOOKUP(S60,'[8]Podklady MZ'!$R$2:$S$367,2,FALSE),NA())</f>
        <v>#N/A</v>
      </c>
    </row>
    <row r="61" spans="1:23" x14ac:dyDescent="0.2">
      <c r="D61" s="13"/>
      <c r="E61" s="70"/>
      <c r="F61" s="70"/>
      <c r="G61" s="70"/>
      <c r="S61" s="76">
        <f t="shared" si="0"/>
        <v>42064</v>
      </c>
      <c r="T61" s="77">
        <f>INDEX([12]ČR!$D$18:$D$383,DATE(2016,MONTH(S61),DAY(S61))-DATE(2016,1,1)+1,1)/1000000</f>
        <v>26.972210961170788</v>
      </c>
      <c r="U61" s="77">
        <f>IF(T!$A$4&gt;=MONTH(S61),VLOOKUP(S61,'[8]Podklady MZ'!$R$2:$S$367,2,FALSE),NA())</f>
        <v>30.248075103459318</v>
      </c>
      <c r="V61" s="176">
        <f>INDEX([5]PT!$AF$16:$AF$381,DATE(2016,MONTH(S61),DAY(S61))-DATE(2016,1,1)+1,1)</f>
        <v>2.7</v>
      </c>
      <c r="W61" s="176" t="e">
        <f>IF(T!$A$4&lt;MONTH(S61),VLOOKUP(S61,'[8]Podklady MZ'!$R$2:$S$367,2,FALSE),NA())</f>
        <v>#N/A</v>
      </c>
    </row>
    <row r="62" spans="1:23" x14ac:dyDescent="0.2">
      <c r="D62" s="13"/>
      <c r="E62" s="70"/>
      <c r="F62" s="70"/>
      <c r="G62" s="70"/>
      <c r="S62" s="76">
        <f t="shared" si="0"/>
        <v>42065</v>
      </c>
      <c r="T62" s="77">
        <f>INDEX([12]ČR!$D$18:$D$383,DATE(2016,MONTH(S62),DAY(S62))-DATE(2016,1,1)+1,1)/1000000</f>
        <v>25.663281690544249</v>
      </c>
      <c r="U62" s="77">
        <f>IF(T!$A$4&gt;=MONTH(S62),VLOOKUP(S62,'[8]Podklady MZ'!$R$2:$S$367,2,FALSE),NA())</f>
        <v>32.156299075508116</v>
      </c>
      <c r="V62" s="176">
        <f>INDEX([5]PT!$AF$16:$AF$381,DATE(2016,MONTH(S62),DAY(S62))-DATE(2016,1,1)+1,1)</f>
        <v>3.8</v>
      </c>
      <c r="W62" s="176" t="e">
        <f>IF(T!$A$4&lt;MONTH(S62),VLOOKUP(S62,'[8]Podklady MZ'!$R$2:$S$367,2,FALSE),NA())</f>
        <v>#N/A</v>
      </c>
    </row>
    <row r="63" spans="1:23" x14ac:dyDescent="0.2">
      <c r="D63" s="13"/>
      <c r="E63" s="70"/>
      <c r="F63" s="70"/>
      <c r="G63" s="70"/>
      <c r="S63" s="76">
        <f t="shared" si="0"/>
        <v>42066</v>
      </c>
      <c r="T63" s="77">
        <f>INDEX([12]ČR!$D$18:$D$383,DATE(2016,MONTH(S63),DAY(S63))-DATE(2016,1,1)+1,1)/1000000</f>
        <v>29.095378971123555</v>
      </c>
      <c r="U63" s="77">
        <f>IF(T!$A$4&gt;=MONTH(S63),VLOOKUP(S63,'[8]Podklady MZ'!$R$2:$S$367,2,FALSE),NA())</f>
        <v>32.090406012723975</v>
      </c>
      <c r="V63" s="176">
        <f>INDEX([5]PT!$AF$16:$AF$381,DATE(2016,MONTH(S63),DAY(S63))-DATE(2016,1,1)+1,1)</f>
        <v>2.7</v>
      </c>
      <c r="W63" s="176" t="e">
        <f>IF(T!$A$4&lt;MONTH(S63),VLOOKUP(S63,'[8]Podklady MZ'!$R$2:$S$367,2,FALSE),NA())</f>
        <v>#N/A</v>
      </c>
    </row>
    <row r="64" spans="1:23" x14ac:dyDescent="0.2">
      <c r="D64" s="13"/>
      <c r="E64" s="70"/>
      <c r="F64" s="70"/>
      <c r="G64" s="70"/>
      <c r="S64" s="76">
        <f t="shared" si="0"/>
        <v>42067</v>
      </c>
      <c r="T64" s="77">
        <f>INDEX([12]ČR!$D$18:$D$383,DATE(2016,MONTH(S64),DAY(S64))-DATE(2016,1,1)+1,1)/1000000</f>
        <v>28.783560334980706</v>
      </c>
      <c r="U64" s="77">
        <f>IF(T!$A$4&gt;=MONTH(S64),VLOOKUP(S64,'[8]Podklady MZ'!$R$2:$S$367,2,FALSE),NA())</f>
        <v>32.451208446596773</v>
      </c>
      <c r="V64" s="176">
        <f>INDEX([5]PT!$AF$16:$AF$381,DATE(2016,MONTH(S64),DAY(S64))-DATE(2016,1,1)+1,1)</f>
        <v>2.2999999999999998</v>
      </c>
      <c r="W64" s="176" t="e">
        <f>IF(T!$A$4&lt;MONTH(S64),VLOOKUP(S64,'[8]Podklady MZ'!$R$2:$S$367,2,FALSE),NA())</f>
        <v>#N/A</v>
      </c>
    </row>
    <row r="65" spans="1:23" x14ac:dyDescent="0.2">
      <c r="D65" s="13"/>
      <c r="E65" s="70"/>
      <c r="F65" s="70"/>
      <c r="G65" s="70"/>
      <c r="S65" s="76">
        <f t="shared" si="0"/>
        <v>42068</v>
      </c>
      <c r="T65" s="77">
        <f>INDEX([12]ČR!$D$18:$D$383,DATE(2016,MONTH(S65),DAY(S65))-DATE(2016,1,1)+1,1)/1000000</f>
        <v>30.254379727024507</v>
      </c>
      <c r="U65" s="77">
        <f>IF(T!$A$4&gt;=MONTH(S65),VLOOKUP(S65,'[8]Podklady MZ'!$R$2:$S$367,2,FALSE),NA())</f>
        <v>33.669323046807904</v>
      </c>
      <c r="V65" s="176">
        <f>INDEX([5]PT!$AF$16:$AF$381,DATE(2016,MONTH(S65),DAY(S65))-DATE(2016,1,1)+1,1)</f>
        <v>1</v>
      </c>
      <c r="W65" s="176" t="e">
        <f>IF(T!$A$4&lt;MONTH(S65),VLOOKUP(S65,'[8]Podklady MZ'!$R$2:$S$367,2,FALSE),NA())</f>
        <v>#N/A</v>
      </c>
    </row>
    <row r="66" spans="1:23" x14ac:dyDescent="0.2">
      <c r="D66" s="13"/>
      <c r="E66" s="70"/>
      <c r="F66" s="70"/>
      <c r="G66" s="70"/>
      <c r="S66" s="76">
        <f t="shared" si="0"/>
        <v>42069</v>
      </c>
      <c r="T66" s="77">
        <f>INDEX([12]ČR!$D$18:$D$383,DATE(2016,MONTH(S66),DAY(S66))-DATE(2016,1,1)+1,1)/1000000</f>
        <v>30.899557070456758</v>
      </c>
      <c r="U66" s="77">
        <f>IF(T!$A$4&gt;=MONTH(S66),VLOOKUP(S66,'[8]Podklady MZ'!$R$2:$S$367,2,FALSE),NA())</f>
        <v>31.400656794319055</v>
      </c>
      <c r="V66" s="176">
        <f>INDEX([5]PT!$AF$16:$AF$381,DATE(2016,MONTH(S66),DAY(S66))-DATE(2016,1,1)+1,1)</f>
        <v>2.4</v>
      </c>
      <c r="W66" s="176" t="e">
        <f>IF(T!$A$4&lt;MONTH(S66),VLOOKUP(S66,'[8]Podklady MZ'!$R$2:$S$367,2,FALSE),NA())</f>
        <v>#N/A</v>
      </c>
    </row>
    <row r="67" spans="1:23" x14ac:dyDescent="0.2">
      <c r="G67" s="79"/>
      <c r="H67" s="51"/>
      <c r="I67" s="51"/>
      <c r="J67" s="51"/>
      <c r="K67" s="51"/>
      <c r="L67" s="51"/>
      <c r="M67" s="51"/>
      <c r="N67" s="51"/>
      <c r="O67" s="51"/>
      <c r="S67" s="76">
        <f t="shared" si="0"/>
        <v>42070</v>
      </c>
      <c r="T67" s="77">
        <f>INDEX([12]ČR!$D$18:$D$383,DATE(2016,MONTH(S67),DAY(S67))-DATE(2016,1,1)+1,1)/1000000</f>
        <v>28.308059275973523</v>
      </c>
      <c r="U67" s="77">
        <f>IF(T!$A$4&gt;=MONTH(S67),VLOOKUP(S67,'[8]Podklady MZ'!$R$2:$S$367,2,FALSE),NA())</f>
        <v>26.889062833535807</v>
      </c>
      <c r="V67" s="176">
        <f>INDEX([5]PT!$AF$16:$AF$381,DATE(2016,MONTH(S67),DAY(S67))-DATE(2016,1,1)+1,1)</f>
        <v>3</v>
      </c>
      <c r="W67" s="176" t="e">
        <f>IF(T!$A$4&lt;MONTH(S67),VLOOKUP(S67,'[8]Podklady MZ'!$R$2:$S$367,2,FALSE),NA())</f>
        <v>#N/A</v>
      </c>
    </row>
    <row r="68" spans="1:23" x14ac:dyDescent="0.2">
      <c r="D68" s="13"/>
      <c r="E68" s="70"/>
      <c r="F68" s="70"/>
      <c r="G68" s="70"/>
      <c r="S68" s="76">
        <f t="shared" ref="S68:S131" si="1">S67+1</f>
        <v>42071</v>
      </c>
      <c r="T68" s="77">
        <f>INDEX([12]ČR!$D$18:$D$383,DATE(2016,MONTH(S68),DAY(S68))-DATE(2016,1,1)+1,1)/1000000</f>
        <v>24.33782410442922</v>
      </c>
      <c r="U68" s="77">
        <f>IF(T!$A$4&gt;=MONTH(S68),VLOOKUP(S68,'[8]Podklady MZ'!$R$2:$S$367,2,FALSE),NA())</f>
        <v>26.222814517200824</v>
      </c>
      <c r="V68" s="176">
        <f>INDEX([5]PT!$AF$16:$AF$381,DATE(2016,MONTH(S68),DAY(S68))-DATE(2016,1,1)+1,1)</f>
        <v>4.3</v>
      </c>
      <c r="W68" s="176" t="e">
        <f>IF(T!$A$4&lt;MONTH(S68),VLOOKUP(S68,'[8]Podklady MZ'!$R$2:$S$367,2,FALSE),NA())</f>
        <v>#N/A</v>
      </c>
    </row>
    <row r="69" spans="1:23" x14ac:dyDescent="0.2">
      <c r="A69" s="13"/>
      <c r="B69" s="13"/>
      <c r="D69" s="13"/>
      <c r="E69" s="70"/>
      <c r="F69" s="70"/>
      <c r="G69" s="70"/>
      <c r="S69" s="76">
        <f t="shared" si="1"/>
        <v>42072</v>
      </c>
      <c r="T69" s="77">
        <f>INDEX([12]ČR!$D$18:$D$383,DATE(2016,MONTH(S69),DAY(S69))-DATE(2016,1,1)+1,1)/1000000</f>
        <v>24.660186937602599</v>
      </c>
      <c r="U69" s="77">
        <f>IF(T!$A$4&gt;=MONTH(S69),VLOOKUP(S69,'[8]Podklady MZ'!$R$2:$S$367,2,FALSE),NA())</f>
        <v>29.386647034852071</v>
      </c>
      <c r="V69" s="176">
        <f>INDEX([5]PT!$AF$16:$AF$381,DATE(2016,MONTH(S69),DAY(S69))-DATE(2016,1,1)+1,1)</f>
        <v>3.3</v>
      </c>
      <c r="W69" s="176" t="e">
        <f>IF(T!$A$4&lt;MONTH(S69),VLOOKUP(S69,'[8]Podklady MZ'!$R$2:$S$367,2,FALSE),NA())</f>
        <v>#N/A</v>
      </c>
    </row>
    <row r="70" spans="1:23" x14ac:dyDescent="0.2">
      <c r="D70" s="13"/>
      <c r="E70" s="70"/>
      <c r="F70" s="70"/>
      <c r="G70" s="70"/>
      <c r="S70" s="76">
        <f t="shared" si="1"/>
        <v>42073</v>
      </c>
      <c r="T70" s="77">
        <f>INDEX([12]ČR!$D$18:$D$383,DATE(2016,MONTH(S70),DAY(S70))-DATE(2016,1,1)+1,1)/1000000</f>
        <v>26.562216932931666</v>
      </c>
      <c r="U70" s="77">
        <f>IF(T!$A$4&gt;=MONTH(S70),VLOOKUP(S70,'[8]Podklady MZ'!$R$2:$S$367,2,FALSE),NA())</f>
        <v>27.738521034828363</v>
      </c>
      <c r="V70" s="176">
        <f>INDEX([5]PT!$AF$16:$AF$381,DATE(2016,MONTH(S70),DAY(S70))-DATE(2016,1,1)+1,1)</f>
        <v>4.4000000000000004</v>
      </c>
      <c r="W70" s="176" t="e">
        <f>IF(T!$A$4&lt;MONTH(S70),VLOOKUP(S70,'[8]Podklady MZ'!$R$2:$S$367,2,FALSE),NA())</f>
        <v>#N/A</v>
      </c>
    </row>
    <row r="71" spans="1:23" x14ac:dyDescent="0.2">
      <c r="D71" s="13"/>
      <c r="E71" s="70"/>
      <c r="F71" s="70"/>
      <c r="G71" s="70"/>
      <c r="S71" s="76">
        <f t="shared" si="1"/>
        <v>42074</v>
      </c>
      <c r="T71" s="77">
        <f>INDEX([12]ČR!$D$18:$D$383,DATE(2016,MONTH(S71),DAY(S71))-DATE(2016,1,1)+1,1)/1000000</f>
        <v>25.574273232705337</v>
      </c>
      <c r="U71" s="77">
        <f>IF(T!$A$4&gt;=MONTH(S71),VLOOKUP(S71,'[8]Podklady MZ'!$R$2:$S$367,2,FALSE),NA())</f>
        <v>30.854267580128589</v>
      </c>
      <c r="V71" s="176">
        <f>INDEX([5]PT!$AF$16:$AF$381,DATE(2016,MONTH(S71),DAY(S71))-DATE(2016,1,1)+1,1)</f>
        <v>2.9</v>
      </c>
      <c r="W71" s="176" t="e">
        <f>IF(T!$A$4&lt;MONTH(S71),VLOOKUP(S71,'[8]Podklady MZ'!$R$2:$S$367,2,FALSE),NA())</f>
        <v>#N/A</v>
      </c>
    </row>
    <row r="72" spans="1:23" x14ac:dyDescent="0.2">
      <c r="S72" s="76">
        <f t="shared" si="1"/>
        <v>42075</v>
      </c>
      <c r="T72" s="77">
        <f>INDEX([12]ČR!$D$18:$D$383,DATE(2016,MONTH(S72),DAY(S72))-DATE(2016,1,1)+1,1)/1000000</f>
        <v>25.344286920612642</v>
      </c>
      <c r="U72" s="77">
        <f>IF(T!$A$4&gt;=MONTH(S72),VLOOKUP(S72,'[8]Podklady MZ'!$R$2:$S$367,2,FALSE),NA())</f>
        <v>31.574844789370491</v>
      </c>
      <c r="V72" s="176">
        <f>INDEX([5]PT!$AF$16:$AF$381,DATE(2016,MONTH(S72),DAY(S72))-DATE(2016,1,1)+1,1)</f>
        <v>2.6</v>
      </c>
      <c r="W72" s="176" t="e">
        <f>IF(T!$A$4&lt;MONTH(S72),VLOOKUP(S72,'[8]Podklady MZ'!$R$2:$S$367,2,FALSE),NA())</f>
        <v>#N/A</v>
      </c>
    </row>
    <row r="73" spans="1:23" x14ac:dyDescent="0.2">
      <c r="S73" s="76">
        <f t="shared" si="1"/>
        <v>42076</v>
      </c>
      <c r="T73" s="77">
        <f>INDEX([12]ČR!$D$18:$D$383,DATE(2016,MONTH(S73),DAY(S73))-DATE(2016,1,1)+1,1)/1000000</f>
        <v>24.545954423747514</v>
      </c>
      <c r="U73" s="77">
        <f>IF(T!$A$4&gt;=MONTH(S73),VLOOKUP(S73,'[8]Podklady MZ'!$R$2:$S$367,2,FALSE),NA())</f>
        <v>31.625360099086652</v>
      </c>
      <c r="V73" s="176">
        <f>INDEX([5]PT!$AF$16:$AF$381,DATE(2016,MONTH(S73),DAY(S73))-DATE(2016,1,1)+1,1)</f>
        <v>2.1</v>
      </c>
      <c r="W73" s="176" t="e">
        <f>IF(T!$A$4&lt;MONTH(S73),VLOOKUP(S73,'[8]Podklady MZ'!$R$2:$S$367,2,FALSE),NA())</f>
        <v>#N/A</v>
      </c>
    </row>
    <row r="74" spans="1:23" x14ac:dyDescent="0.2">
      <c r="S74" s="76">
        <f t="shared" si="1"/>
        <v>42077</v>
      </c>
      <c r="T74" s="77">
        <f>INDEX([12]ČR!$D$18:$D$383,DATE(2016,MONTH(S74),DAY(S74))-DATE(2016,1,1)+1,1)/1000000</f>
        <v>22.59019259581887</v>
      </c>
      <c r="U74" s="77">
        <f>IF(T!$A$4&gt;=MONTH(S74),VLOOKUP(S74,'[8]Podklady MZ'!$R$2:$S$367,2,FALSE),NA())</f>
        <v>28.96030229554378</v>
      </c>
      <c r="V74" s="176">
        <f>INDEX([5]PT!$AF$16:$AF$381,DATE(2016,MONTH(S74),DAY(S74))-DATE(2016,1,1)+1,1)</f>
        <v>1.8</v>
      </c>
      <c r="W74" s="176" t="e">
        <f>IF(T!$A$4&lt;MONTH(S74),VLOOKUP(S74,'[8]Podklady MZ'!$R$2:$S$367,2,FALSE),NA())</f>
        <v>#N/A</v>
      </c>
    </row>
    <row r="75" spans="1:23" x14ac:dyDescent="0.2">
      <c r="S75" s="76">
        <f t="shared" si="1"/>
        <v>42078</v>
      </c>
      <c r="T75" s="77">
        <f>INDEX([12]ČR!$D$18:$D$383,DATE(2016,MONTH(S75),DAY(S75))-DATE(2016,1,1)+1,1)/1000000</f>
        <v>23.847542653437056</v>
      </c>
      <c r="U75" s="77">
        <f>IF(T!$A$4&gt;=MONTH(S75),VLOOKUP(S75,'[8]Podklady MZ'!$R$2:$S$367,2,FALSE),NA())</f>
        <v>28.31739726729889</v>
      </c>
      <c r="V75" s="176">
        <f>INDEX([5]PT!$AF$16:$AF$381,DATE(2016,MONTH(S75),DAY(S75))-DATE(2016,1,1)+1,1)</f>
        <v>4.4000000000000004</v>
      </c>
      <c r="W75" s="176" t="e">
        <f>IF(T!$A$4&lt;MONTH(S75),VLOOKUP(S75,'[8]Podklady MZ'!$R$2:$S$367,2,FALSE),NA())</f>
        <v>#N/A</v>
      </c>
    </row>
    <row r="76" spans="1:23" x14ac:dyDescent="0.2">
      <c r="E76" s="13"/>
      <c r="F76" s="13"/>
      <c r="G76" s="13"/>
      <c r="S76" s="76">
        <f t="shared" si="1"/>
        <v>42079</v>
      </c>
      <c r="T76" s="77">
        <f>INDEX([12]ČR!$D$18:$D$383,DATE(2016,MONTH(S76),DAY(S76))-DATE(2016,1,1)+1,1)/1000000</f>
        <v>23.956114755002901</v>
      </c>
      <c r="U76" s="77">
        <f>IF(T!$A$4&gt;=MONTH(S76),VLOOKUP(S76,'[8]Podklady MZ'!$R$2:$S$367,2,FALSE),NA())</f>
        <v>28.14865477769661</v>
      </c>
      <c r="V76" s="176">
        <f>INDEX([5]PT!$AF$16:$AF$381,DATE(2016,MONTH(S76),DAY(S76))-DATE(2016,1,1)+1,1)</f>
        <v>7.1</v>
      </c>
      <c r="W76" s="176" t="e">
        <f>IF(T!$A$4&lt;MONTH(S76),VLOOKUP(S76,'[8]Podklady MZ'!$R$2:$S$367,2,FALSE),NA())</f>
        <v>#N/A</v>
      </c>
    </row>
    <row r="77" spans="1:23" x14ac:dyDescent="0.2">
      <c r="D77" s="13"/>
      <c r="E77" s="70"/>
      <c r="F77" s="70"/>
      <c r="G77" s="70"/>
      <c r="S77" s="76">
        <f t="shared" si="1"/>
        <v>42080</v>
      </c>
      <c r="T77" s="77">
        <f>INDEX([12]ČR!$D$18:$D$383,DATE(2016,MONTH(S77),DAY(S77))-DATE(2016,1,1)+1,1)/1000000</f>
        <v>25.065700199484379</v>
      </c>
      <c r="U77" s="77">
        <f>IF(T!$A$4&gt;=MONTH(S77),VLOOKUP(S77,'[8]Podklady MZ'!$R$2:$S$367,2,FALSE),NA())</f>
        <v>26.093459538175829</v>
      </c>
      <c r="V77" s="176">
        <f>INDEX([5]PT!$AF$16:$AF$381,DATE(2016,MONTH(S77),DAY(S77))-DATE(2016,1,1)+1,1)</f>
        <v>6.7</v>
      </c>
      <c r="W77" s="176" t="e">
        <f>IF(T!$A$4&lt;MONTH(S77),VLOOKUP(S77,'[8]Podklady MZ'!$R$2:$S$367,2,FALSE),NA())</f>
        <v>#N/A</v>
      </c>
    </row>
    <row r="78" spans="1:23" x14ac:dyDescent="0.2">
      <c r="S78" s="76">
        <f t="shared" si="1"/>
        <v>42081</v>
      </c>
      <c r="T78" s="77">
        <f>INDEX([12]ČR!$D$18:$D$383,DATE(2016,MONTH(S78),DAY(S78))-DATE(2016,1,1)+1,1)/1000000</f>
        <v>22.511141909055233</v>
      </c>
      <c r="U78" s="77">
        <f>IF(T!$A$4&gt;=MONTH(S78),VLOOKUP(S78,'[8]Podklady MZ'!$R$2:$S$367,2,FALSE),NA())</f>
        <v>26.280282803073259</v>
      </c>
      <c r="V78" s="176">
        <f>INDEX([5]PT!$AF$16:$AF$381,DATE(2016,MONTH(S78),DAY(S78))-DATE(2016,1,1)+1,1)</f>
        <v>4.5999999999999996</v>
      </c>
      <c r="W78" s="176" t="e">
        <f>IF(T!$A$4&lt;MONTH(S78),VLOOKUP(S78,'[8]Podklady MZ'!$R$2:$S$367,2,FALSE),NA())</f>
        <v>#N/A</v>
      </c>
    </row>
    <row r="79" spans="1:23" x14ac:dyDescent="0.2">
      <c r="S79" s="76">
        <f t="shared" si="1"/>
        <v>42082</v>
      </c>
      <c r="T79" s="77">
        <f>INDEX([12]ČR!$D$18:$D$383,DATE(2016,MONTH(S79),DAY(S79))-DATE(2016,1,1)+1,1)/1000000</f>
        <v>24.370961695726791</v>
      </c>
      <c r="U79" s="77">
        <f>IF(T!$A$4&gt;=MONTH(S79),VLOOKUP(S79,'[8]Podklady MZ'!$R$2:$S$367,2,FALSE),NA())</f>
        <v>27.010399859523108</v>
      </c>
      <c r="V79" s="176">
        <f>INDEX([5]PT!$AF$16:$AF$381,DATE(2016,MONTH(S79),DAY(S79))-DATE(2016,1,1)+1,1)</f>
        <v>3.6</v>
      </c>
      <c r="W79" s="176" t="e">
        <f>IF(T!$A$4&lt;MONTH(S79),VLOOKUP(S79,'[8]Podklady MZ'!$R$2:$S$367,2,FALSE),NA())</f>
        <v>#N/A</v>
      </c>
    </row>
    <row r="80" spans="1:23" x14ac:dyDescent="0.2">
      <c r="S80" s="76">
        <f t="shared" si="1"/>
        <v>42083</v>
      </c>
      <c r="T80" s="77">
        <f>INDEX([12]ČR!$D$18:$D$383,DATE(2016,MONTH(S80),DAY(S80))-DATE(2016,1,1)+1,1)/1000000</f>
        <v>20.078517049785525</v>
      </c>
      <c r="U80" s="77">
        <f>IF(T!$A$4&gt;=MONTH(S80),VLOOKUP(S80,'[8]Podklady MZ'!$R$2:$S$367,2,FALSE),NA())</f>
        <v>26.666290526830888</v>
      </c>
      <c r="V80" s="176">
        <f>INDEX([5]PT!$AF$16:$AF$381,DATE(2016,MONTH(S80),DAY(S80))-DATE(2016,1,1)+1,1)</f>
        <v>3.3</v>
      </c>
      <c r="W80" s="176" t="e">
        <f>IF(T!$A$4&lt;MONTH(S80),VLOOKUP(S80,'[8]Podklady MZ'!$R$2:$S$367,2,FALSE),NA())</f>
        <v>#N/A</v>
      </c>
    </row>
    <row r="81" spans="19:23" x14ac:dyDescent="0.2">
      <c r="S81" s="76">
        <f t="shared" si="1"/>
        <v>42084</v>
      </c>
      <c r="T81" s="77">
        <f>INDEX([12]ČR!$D$18:$D$383,DATE(2016,MONTH(S81),DAY(S81))-DATE(2016,1,1)+1,1)/1000000</f>
        <v>17.453166014873293</v>
      </c>
      <c r="U81" s="77">
        <f>IF(T!$A$4&gt;=MONTH(S81),VLOOKUP(S81,'[8]Podklady MZ'!$R$2:$S$367,2,FALSE),NA())</f>
        <v>22.949801596471193</v>
      </c>
      <c r="V81" s="176">
        <f>INDEX([5]PT!$AF$16:$AF$381,DATE(2016,MONTH(S81),DAY(S81))-DATE(2016,1,1)+1,1)</f>
        <v>6.1</v>
      </c>
      <c r="W81" s="176" t="e">
        <f>IF(T!$A$4&lt;MONTH(S81),VLOOKUP(S81,'[8]Podklady MZ'!$R$2:$S$367,2,FALSE),NA())</f>
        <v>#N/A</v>
      </c>
    </row>
    <row r="82" spans="19:23" x14ac:dyDescent="0.2">
      <c r="S82" s="76">
        <f t="shared" si="1"/>
        <v>42085</v>
      </c>
      <c r="T82" s="77">
        <f>INDEX([12]ČR!$D$18:$D$383,DATE(2016,MONTH(S82),DAY(S82))-DATE(2016,1,1)+1,1)/1000000</f>
        <v>15.233368138291082</v>
      </c>
      <c r="U82" s="77">
        <f>IF(T!$A$4&gt;=MONTH(S82),VLOOKUP(S82,'[8]Podklady MZ'!$R$2:$S$367,2,FALSE),NA())</f>
        <v>27.487312139148294</v>
      </c>
      <c r="V82" s="176">
        <f>INDEX([5]PT!$AF$16:$AF$381,DATE(2016,MONTH(S82),DAY(S82))-DATE(2016,1,1)+1,1)</f>
        <v>2.4</v>
      </c>
      <c r="W82" s="176" t="e">
        <f>IF(T!$A$4&lt;MONTH(S82),VLOOKUP(S82,'[8]Podklady MZ'!$R$2:$S$367,2,FALSE),NA())</f>
        <v>#N/A</v>
      </c>
    </row>
    <row r="83" spans="19:23" x14ac:dyDescent="0.2">
      <c r="S83" s="76">
        <f t="shared" si="1"/>
        <v>42086</v>
      </c>
      <c r="T83" s="77">
        <f>INDEX([12]ČR!$D$18:$D$383,DATE(2016,MONTH(S83),DAY(S83))-DATE(2016,1,1)+1,1)/1000000</f>
        <v>20.936694638516901</v>
      </c>
      <c r="U83" s="77">
        <f>IF(T!$A$4&gt;=MONTH(S83),VLOOKUP(S83,'[8]Podklady MZ'!$R$2:$S$367,2,FALSE),NA())</f>
        <v>28.462368120622408</v>
      </c>
      <c r="V83" s="176">
        <f>INDEX([5]PT!$AF$16:$AF$381,DATE(2016,MONTH(S83),DAY(S83))-DATE(2016,1,1)+1,1)</f>
        <v>3.1</v>
      </c>
      <c r="W83" s="176" t="e">
        <f>IF(T!$A$4&lt;MONTH(S83),VLOOKUP(S83,'[8]Podklady MZ'!$R$2:$S$367,2,FALSE),NA())</f>
        <v>#N/A</v>
      </c>
    </row>
    <row r="84" spans="19:23" x14ac:dyDescent="0.2">
      <c r="S84" s="76">
        <f t="shared" si="1"/>
        <v>42087</v>
      </c>
      <c r="T84" s="77">
        <f>INDEX([12]ČR!$D$18:$D$383,DATE(2016,MONTH(S84),DAY(S84))-DATE(2016,1,1)+1,1)/1000000</f>
        <v>26.456047238237613</v>
      </c>
      <c r="U84" s="77">
        <f>IF(T!$A$4&gt;=MONTH(S84),VLOOKUP(S84,'[8]Podklady MZ'!$R$2:$S$367,2,FALSE),NA())</f>
        <v>25.948151206212366</v>
      </c>
      <c r="V84" s="176">
        <f>INDEX([5]PT!$AF$16:$AF$381,DATE(2016,MONTH(S84),DAY(S84))-DATE(2016,1,1)+1,1)</f>
        <v>6.7</v>
      </c>
      <c r="W84" s="176" t="e">
        <f>IF(T!$A$4&lt;MONTH(S84),VLOOKUP(S84,'[8]Podklady MZ'!$R$2:$S$367,2,FALSE),NA())</f>
        <v>#N/A</v>
      </c>
    </row>
    <row r="85" spans="19:23" x14ac:dyDescent="0.2">
      <c r="S85" s="76">
        <f t="shared" si="1"/>
        <v>42088</v>
      </c>
      <c r="T85" s="77">
        <f>INDEX([12]ČR!$D$18:$D$383,DATE(2016,MONTH(S85),DAY(S85))-DATE(2016,1,1)+1,1)/1000000</f>
        <v>26.817220206434342</v>
      </c>
      <c r="U85" s="77">
        <f>IF(T!$A$4&gt;=MONTH(S85),VLOOKUP(S85,'[8]Podklady MZ'!$R$2:$S$367,2,FALSE),NA())</f>
        <v>22.929421912694004</v>
      </c>
      <c r="V85" s="176">
        <f>INDEX([5]PT!$AF$16:$AF$381,DATE(2016,MONTH(S85),DAY(S85))-DATE(2016,1,1)+1,1)</f>
        <v>10.1</v>
      </c>
      <c r="W85" s="176" t="e">
        <f>IF(T!$A$4&lt;MONTH(S85),VLOOKUP(S85,'[8]Podklady MZ'!$R$2:$S$367,2,FALSE),NA())</f>
        <v>#N/A</v>
      </c>
    </row>
    <row r="86" spans="19:23" x14ac:dyDescent="0.2">
      <c r="S86" s="76">
        <f t="shared" si="1"/>
        <v>42089</v>
      </c>
      <c r="T86" s="77">
        <f>INDEX([12]ČR!$D$18:$D$383,DATE(2016,MONTH(S86),DAY(S86))-DATE(2016,1,1)+1,1)/1000000</f>
        <v>25.921574714853516</v>
      </c>
      <c r="U86" s="77">
        <f>IF(T!$A$4&gt;=MONTH(S86),VLOOKUP(S86,'[8]Podklady MZ'!$R$2:$S$367,2,FALSE),NA())</f>
        <v>22.748236472923228</v>
      </c>
      <c r="V86" s="176">
        <f>INDEX([5]PT!$AF$16:$AF$381,DATE(2016,MONTH(S86),DAY(S86))-DATE(2016,1,1)+1,1)</f>
        <v>9.5</v>
      </c>
      <c r="W86" s="176" t="e">
        <f>IF(T!$A$4&lt;MONTH(S86),VLOOKUP(S86,'[8]Podklady MZ'!$R$2:$S$367,2,FALSE),NA())</f>
        <v>#N/A</v>
      </c>
    </row>
    <row r="87" spans="19:23" x14ac:dyDescent="0.2">
      <c r="S87" s="76">
        <f t="shared" si="1"/>
        <v>42090</v>
      </c>
      <c r="T87" s="77">
        <f>INDEX([12]ČR!$D$18:$D$383,DATE(2016,MONTH(S87),DAY(S87))-DATE(2016,1,1)+1,1)/1000000</f>
        <v>23.174491647715868</v>
      </c>
      <c r="U87" s="77">
        <f>IF(T!$A$4&gt;=MONTH(S87),VLOOKUP(S87,'[8]Podklady MZ'!$R$2:$S$367,2,FALSE),NA())</f>
        <v>24.769419577712856</v>
      </c>
      <c r="V87" s="176">
        <f>INDEX([5]PT!$AF$16:$AF$381,DATE(2016,MONTH(S87),DAY(S87))-DATE(2016,1,1)+1,1)</f>
        <v>5.8</v>
      </c>
      <c r="W87" s="176" t="e">
        <f>IF(T!$A$4&lt;MONTH(S87),VLOOKUP(S87,'[8]Podklady MZ'!$R$2:$S$367,2,FALSE),NA())</f>
        <v>#N/A</v>
      </c>
    </row>
    <row r="88" spans="19:23" x14ac:dyDescent="0.2">
      <c r="S88" s="76">
        <f t="shared" si="1"/>
        <v>42091</v>
      </c>
      <c r="T88" s="77">
        <f>INDEX([12]ČR!$D$18:$D$383,DATE(2016,MONTH(S88),DAY(S88))-DATE(2016,1,1)+1,1)/1000000</f>
        <v>21.959607500542024</v>
      </c>
      <c r="U88" s="77">
        <f>IF(T!$A$4&gt;=MONTH(S88),VLOOKUP(S88,'[8]Podklady MZ'!$R$2:$S$367,2,FALSE),NA())</f>
        <v>22.43004746355092</v>
      </c>
      <c r="V88" s="176">
        <f>INDEX([5]PT!$AF$16:$AF$381,DATE(2016,MONTH(S88),DAY(S88))-DATE(2016,1,1)+1,1)</f>
        <v>4.2</v>
      </c>
      <c r="W88" s="176" t="e">
        <f>IF(T!$A$4&lt;MONTH(S88),VLOOKUP(S88,'[8]Podklady MZ'!$R$2:$S$367,2,FALSE),NA())</f>
        <v>#N/A</v>
      </c>
    </row>
    <row r="89" spans="19:23" x14ac:dyDescent="0.2">
      <c r="S89" s="76">
        <f t="shared" si="1"/>
        <v>42092</v>
      </c>
      <c r="T89" s="77">
        <f>INDEX([12]ČR!$D$18:$D$383,DATE(2016,MONTH(S89),DAY(S89))-DATE(2016,1,1)+1,1)/1000000</f>
        <v>17.409087975599434</v>
      </c>
      <c r="U89" s="77">
        <f>IF(T!$A$4&gt;=MONTH(S89),VLOOKUP(S89,'[8]Podklady MZ'!$R$2:$S$367,2,FALSE),NA())</f>
        <v>23.594608677240302</v>
      </c>
      <c r="V89" s="176">
        <f>INDEX([5]PT!$AF$16:$AF$381,DATE(2016,MONTH(S89),DAY(S89))-DATE(2016,1,1)+1,1)</f>
        <v>7.4</v>
      </c>
      <c r="W89" s="176" t="e">
        <f>IF(T!$A$4&lt;MONTH(S89),VLOOKUP(S89,'[8]Podklady MZ'!$R$2:$S$367,2,FALSE),NA())</f>
        <v>#N/A</v>
      </c>
    </row>
    <row r="90" spans="19:23" x14ac:dyDescent="0.2">
      <c r="S90" s="76">
        <f t="shared" si="1"/>
        <v>42093</v>
      </c>
      <c r="T90" s="77">
        <f>INDEX([12]ČR!$D$18:$D$383,DATE(2016,MONTH(S90),DAY(S90))-DATE(2016,1,1)+1,1)/1000000</f>
        <v>17.2534749707158</v>
      </c>
      <c r="U90" s="77">
        <f>IF(T!$A$4&gt;=MONTH(S90),VLOOKUP(S90,'[8]Podklady MZ'!$R$2:$S$367,2,FALSE),NA())</f>
        <v>27.27579699878557</v>
      </c>
      <c r="V90" s="176">
        <f>INDEX([5]PT!$AF$16:$AF$381,DATE(2016,MONTH(S90),DAY(S90))-DATE(2016,1,1)+1,1)</f>
        <v>4.5</v>
      </c>
      <c r="W90" s="176" t="e">
        <f>IF(T!$A$4&lt;MONTH(S90),VLOOKUP(S90,'[8]Podklady MZ'!$R$2:$S$367,2,FALSE),NA())</f>
        <v>#N/A</v>
      </c>
    </row>
    <row r="91" spans="19:23" x14ac:dyDescent="0.2">
      <c r="S91" s="76">
        <f t="shared" si="1"/>
        <v>42094</v>
      </c>
      <c r="T91" s="77">
        <f>INDEX([12]ČR!$D$18:$D$383,DATE(2016,MONTH(S91),DAY(S91))-DATE(2016,1,1)+1,1)/1000000</f>
        <v>22.417243839928457</v>
      </c>
      <c r="U91" s="77">
        <f>IF(T!$A$4&gt;=MONTH(S91),VLOOKUP(S91,'[8]Podklady MZ'!$R$2:$S$367,2,FALSE),NA())</f>
        <v>29.153082809129909</v>
      </c>
      <c r="V91" s="176">
        <f>INDEX([5]PT!$AF$16:$AF$381,DATE(2016,MONTH(S91),DAY(S91))-DATE(2016,1,1)+1,1)</f>
        <v>5.3</v>
      </c>
      <c r="W91" s="176" t="e">
        <f>IF(T!$A$4&lt;MONTH(S91),VLOOKUP(S91,'[8]Podklady MZ'!$R$2:$S$367,2,FALSE),NA())</f>
        <v>#N/A</v>
      </c>
    </row>
    <row r="92" spans="19:23" x14ac:dyDescent="0.2">
      <c r="S92" s="76">
        <f t="shared" si="1"/>
        <v>42095</v>
      </c>
      <c r="T92" s="77">
        <f>INDEX([12]ČR!$D$18:$D$383,DATE(2016,MONTH(S92),DAY(S92))-DATE(2016,1,1)+1,1)/1000000</f>
        <v>19.912844636720571</v>
      </c>
      <c r="U92" s="77">
        <f>IF(T!$A$4&gt;=MONTH(S92),VLOOKUP(S92,'[8]Podklady MZ'!$R$2:$S$367,2,FALSE),NA())</f>
        <v>30.677245431457621</v>
      </c>
      <c r="V92" s="176">
        <f>INDEX([5]PT!$AF$16:$AF$381,DATE(2016,MONTH(S92),DAY(S92))-DATE(2016,1,1)+1,1)</f>
        <v>2.2000000000000002</v>
      </c>
      <c r="W92" s="176" t="e">
        <f>IF(T!$A$4&lt;MONTH(S92),VLOOKUP(S92,'[8]Podklady MZ'!$R$2:$S$367,2,FALSE),NA())</f>
        <v>#N/A</v>
      </c>
    </row>
    <row r="93" spans="19:23" x14ac:dyDescent="0.2">
      <c r="S93" s="76">
        <f t="shared" si="1"/>
        <v>42096</v>
      </c>
      <c r="T93" s="77">
        <f>INDEX([12]ČR!$D$18:$D$383,DATE(2016,MONTH(S93),DAY(S93))-DATE(2016,1,1)+1,1)/1000000</f>
        <v>18.678675095415521</v>
      </c>
      <c r="U93" s="77">
        <f>IF(T!$A$4&gt;=MONTH(S93),VLOOKUP(S93,'[8]Podklady MZ'!$R$2:$S$367,2,FALSE),NA())</f>
        <v>32.46272056517094</v>
      </c>
      <c r="V93" s="176">
        <f>INDEX([5]PT!$AF$16:$AF$381,DATE(2016,MONTH(S93),DAY(S93))-DATE(2016,1,1)+1,1)</f>
        <v>1.3</v>
      </c>
      <c r="W93" s="176" t="e">
        <f>IF(T!$A$4&lt;MONTH(S93),VLOOKUP(S93,'[8]Podklady MZ'!$R$2:$S$367,2,FALSE),NA())</f>
        <v>#N/A</v>
      </c>
    </row>
    <row r="94" spans="19:23" x14ac:dyDescent="0.2">
      <c r="S94" s="76">
        <f t="shared" si="1"/>
        <v>42097</v>
      </c>
      <c r="T94" s="77">
        <f>INDEX([12]ČR!$D$18:$D$383,DATE(2016,MONTH(S94),DAY(S94))-DATE(2016,1,1)+1,1)/1000000</f>
        <v>18.85328570666216</v>
      </c>
      <c r="U94" s="77">
        <f>IF(T!$A$4&gt;=MONTH(S94),VLOOKUP(S94,'[8]Podklady MZ'!$R$2:$S$367,2,FALSE),NA())</f>
        <v>30.588397627558081</v>
      </c>
      <c r="V94" s="176">
        <f>INDEX([5]PT!$AF$16:$AF$381,DATE(2016,MONTH(S94),DAY(S94))-DATE(2016,1,1)+1,1)</f>
        <v>1.8</v>
      </c>
      <c r="W94" s="176" t="e">
        <f>IF(T!$A$4&lt;MONTH(S94),VLOOKUP(S94,'[8]Podklady MZ'!$R$2:$S$367,2,FALSE),NA())</f>
        <v>#N/A</v>
      </c>
    </row>
    <row r="95" spans="19:23" x14ac:dyDescent="0.2">
      <c r="S95" s="76">
        <f t="shared" si="1"/>
        <v>42098</v>
      </c>
      <c r="T95" s="77">
        <f>INDEX([12]ČR!$D$18:$D$383,DATE(2016,MONTH(S95),DAY(S95))-DATE(2016,1,1)+1,1)/1000000</f>
        <v>16.457363285482895</v>
      </c>
      <c r="U95" s="77">
        <f>IF(T!$A$4&gt;=MONTH(S95),VLOOKUP(S95,'[8]Podklady MZ'!$R$2:$S$367,2,FALSE),NA())</f>
        <v>26.488452883092407</v>
      </c>
      <c r="V95" s="176">
        <f>INDEX([5]PT!$AF$16:$AF$381,DATE(2016,MONTH(S95),DAY(S95))-DATE(2016,1,1)+1,1)</f>
        <v>1.6</v>
      </c>
      <c r="W95" s="176" t="e">
        <f>IF(T!$A$4&lt;MONTH(S95),VLOOKUP(S95,'[8]Podklady MZ'!$R$2:$S$367,2,FALSE),NA())</f>
        <v>#N/A</v>
      </c>
    </row>
    <row r="96" spans="19:23" x14ac:dyDescent="0.2">
      <c r="S96" s="76">
        <f t="shared" si="1"/>
        <v>42099</v>
      </c>
      <c r="T96" s="77">
        <f>INDEX([12]ČR!$D$18:$D$383,DATE(2016,MONTH(S96),DAY(S96))-DATE(2016,1,1)+1,1)/1000000</f>
        <v>15.742495912198221</v>
      </c>
      <c r="U96" s="77">
        <f>IF(T!$A$4&gt;=MONTH(S96),VLOOKUP(S96,'[8]Podklady MZ'!$R$2:$S$367,2,FALSE),NA())</f>
        <v>26.800253939111631</v>
      </c>
      <c r="V96" s="176">
        <f>INDEX([5]PT!$AF$16:$AF$381,DATE(2016,MONTH(S96),DAY(S96))-DATE(2016,1,1)+1,1)</f>
        <v>1.7</v>
      </c>
      <c r="W96" s="176" t="e">
        <f>IF(T!$A$4&lt;MONTH(S96),VLOOKUP(S96,'[8]Podklady MZ'!$R$2:$S$367,2,FALSE),NA())</f>
        <v>#N/A</v>
      </c>
    </row>
    <row r="97" spans="19:23" x14ac:dyDescent="0.2">
      <c r="S97" s="76">
        <f t="shared" si="1"/>
        <v>42100</v>
      </c>
      <c r="T97" s="77">
        <f>INDEX([12]ČR!$D$18:$D$383,DATE(2016,MONTH(S97),DAY(S97))-DATE(2016,1,1)+1,1)/1000000</f>
        <v>16.45697769577739</v>
      </c>
      <c r="U97" s="77">
        <f>IF(T!$A$4&gt;=MONTH(S97),VLOOKUP(S97,'[8]Podklady MZ'!$R$2:$S$367,2,FALSE),NA())</f>
        <v>28.979467533714494</v>
      </c>
      <c r="V97" s="176">
        <f>INDEX([5]PT!$AF$16:$AF$381,DATE(2016,MONTH(S97),DAY(S97))-DATE(2016,1,1)+1,1)</f>
        <v>1</v>
      </c>
      <c r="W97" s="176" t="e">
        <f>IF(T!$A$4&lt;MONTH(S97),VLOOKUP(S97,'[8]Podklady MZ'!$R$2:$S$367,2,FALSE),NA())</f>
        <v>#N/A</v>
      </c>
    </row>
    <row r="98" spans="19:23" x14ac:dyDescent="0.2">
      <c r="S98" s="76">
        <f t="shared" si="1"/>
        <v>42101</v>
      </c>
      <c r="T98" s="77">
        <f>INDEX([12]ČR!$D$18:$D$383,DATE(2016,MONTH(S98),DAY(S98))-DATE(2016,1,1)+1,1)/1000000</f>
        <v>17.069519037856956</v>
      </c>
      <c r="U98" s="77">
        <f>IF(T!$A$4&gt;=MONTH(S98),VLOOKUP(S98,'[8]Podklady MZ'!$R$2:$S$367,2,FALSE),NA())</f>
        <v>29.118400870849975</v>
      </c>
      <c r="V98" s="176">
        <f>INDEX([5]PT!$AF$16:$AF$381,DATE(2016,MONTH(S98),DAY(S98))-DATE(2016,1,1)+1,1)</f>
        <v>4.3</v>
      </c>
      <c r="W98" s="176" t="e">
        <f>IF(T!$A$4&lt;MONTH(S98),VLOOKUP(S98,'[8]Podklady MZ'!$R$2:$S$367,2,FALSE),NA())</f>
        <v>#N/A</v>
      </c>
    </row>
    <row r="99" spans="19:23" x14ac:dyDescent="0.2">
      <c r="S99" s="76">
        <f t="shared" si="1"/>
        <v>42102</v>
      </c>
      <c r="T99" s="77">
        <f>INDEX([12]ČR!$D$18:$D$383,DATE(2016,MONTH(S99),DAY(S99))-DATE(2016,1,1)+1,1)/1000000</f>
        <v>17.278928058494266</v>
      </c>
      <c r="U99" s="77">
        <f>IF(T!$A$4&gt;=MONTH(S99),VLOOKUP(S99,'[8]Podklady MZ'!$R$2:$S$367,2,FALSE),NA())</f>
        <v>29.123342332419892</v>
      </c>
      <c r="V99" s="176">
        <f>INDEX([5]PT!$AF$16:$AF$381,DATE(2016,MONTH(S99),DAY(S99))-DATE(2016,1,1)+1,1)</f>
        <v>6.2</v>
      </c>
      <c r="W99" s="176" t="e">
        <f>IF(T!$A$4&lt;MONTH(S99),VLOOKUP(S99,'[8]Podklady MZ'!$R$2:$S$367,2,FALSE),NA())</f>
        <v>#N/A</v>
      </c>
    </row>
    <row r="100" spans="19:23" x14ac:dyDescent="0.2">
      <c r="S100" s="76">
        <f t="shared" si="1"/>
        <v>42103</v>
      </c>
      <c r="T100" s="77">
        <f>INDEX([12]ČR!$D$18:$D$383,DATE(2016,MONTH(S100),DAY(S100))-DATE(2016,1,1)+1,1)/1000000</f>
        <v>20.990001838682609</v>
      </c>
      <c r="U100" s="77">
        <f>IF(T!$A$4&gt;=MONTH(S100),VLOOKUP(S100,'[8]Podklady MZ'!$R$2:$S$367,2,FALSE),NA())</f>
        <v>24.524154010039346</v>
      </c>
      <c r="V100" s="176">
        <f>INDEX([5]PT!$AF$16:$AF$381,DATE(2016,MONTH(S100),DAY(S100))-DATE(2016,1,1)+1,1)</f>
        <v>8.1</v>
      </c>
      <c r="W100" s="176" t="e">
        <f>IF(T!$A$4&lt;MONTH(S100),VLOOKUP(S100,'[8]Podklady MZ'!$R$2:$S$367,2,FALSE),NA())</f>
        <v>#N/A</v>
      </c>
    </row>
    <row r="101" spans="19:23" x14ac:dyDescent="0.2">
      <c r="S101" s="76">
        <f t="shared" si="1"/>
        <v>42104</v>
      </c>
      <c r="T101" s="77">
        <f>INDEX([12]ČR!$D$18:$D$383,DATE(2016,MONTH(S101),DAY(S101))-DATE(2016,1,1)+1,1)/1000000</f>
        <v>22.603656190404163</v>
      </c>
      <c r="U101" s="77">
        <f>IF(T!$A$4&gt;=MONTH(S101),VLOOKUP(S101,'[8]Podklady MZ'!$R$2:$S$367,2,FALSE),NA())</f>
        <v>20.355808033921317</v>
      </c>
      <c r="V101" s="176">
        <f>INDEX([5]PT!$AF$16:$AF$381,DATE(2016,MONTH(S101),DAY(S101))-DATE(2016,1,1)+1,1)</f>
        <v>9.9</v>
      </c>
      <c r="W101" s="176" t="e">
        <f>IF(T!$A$4&lt;MONTH(S101),VLOOKUP(S101,'[8]Podklady MZ'!$R$2:$S$367,2,FALSE),NA())</f>
        <v>#N/A</v>
      </c>
    </row>
    <row r="102" spans="19:23" x14ac:dyDescent="0.2">
      <c r="S102" s="76">
        <f t="shared" si="1"/>
        <v>42105</v>
      </c>
      <c r="T102" s="77">
        <f>INDEX([12]ČR!$D$18:$D$383,DATE(2016,MONTH(S102),DAY(S102))-DATE(2016,1,1)+1,1)/1000000</f>
        <v>20.575423070008743</v>
      </c>
      <c r="U102" s="77">
        <f>IF(T!$A$4&gt;=MONTH(S102),VLOOKUP(S102,'[8]Podklady MZ'!$R$2:$S$367,2,FALSE),NA())</f>
        <v>15.817888690539146</v>
      </c>
      <c r="V102" s="176">
        <f>INDEX([5]PT!$AF$16:$AF$381,DATE(2016,MONTH(S102),DAY(S102))-DATE(2016,1,1)+1,1)</f>
        <v>12</v>
      </c>
      <c r="W102" s="176" t="e">
        <f>IF(T!$A$4&lt;MONTH(S102),VLOOKUP(S102,'[8]Podklady MZ'!$R$2:$S$367,2,FALSE),NA())</f>
        <v>#N/A</v>
      </c>
    </row>
    <row r="103" spans="19:23" x14ac:dyDescent="0.2">
      <c r="S103" s="76">
        <f t="shared" si="1"/>
        <v>42106</v>
      </c>
      <c r="T103" s="77">
        <f>INDEX([12]ČR!$D$18:$D$383,DATE(2016,MONTH(S103),DAY(S103))-DATE(2016,1,1)+1,1)/1000000</f>
        <v>16.912020513000446</v>
      </c>
      <c r="U103" s="77">
        <f>IF(T!$A$4&gt;=MONTH(S103),VLOOKUP(S103,'[8]Podklady MZ'!$R$2:$S$367,2,FALSE),NA())</f>
        <v>16.178831481831637</v>
      </c>
      <c r="V103" s="176">
        <f>INDEX([5]PT!$AF$16:$AF$381,DATE(2016,MONTH(S103),DAY(S103))-DATE(2016,1,1)+1,1)</f>
        <v>10.8</v>
      </c>
      <c r="W103" s="176" t="e">
        <f>IF(T!$A$4&lt;MONTH(S103),VLOOKUP(S103,'[8]Podklady MZ'!$R$2:$S$367,2,FALSE),NA())</f>
        <v>#N/A</v>
      </c>
    </row>
    <row r="104" spans="19:23" x14ac:dyDescent="0.2">
      <c r="S104" s="76">
        <f t="shared" si="1"/>
        <v>42107</v>
      </c>
      <c r="T104" s="77">
        <f>INDEX([12]ČR!$D$18:$D$383,DATE(2016,MONTH(S104),DAY(S104))-DATE(2016,1,1)+1,1)/1000000</f>
        <v>18.28948705386</v>
      </c>
      <c r="U104" s="77">
        <f>IF(T!$A$4&gt;=MONTH(S104),VLOOKUP(S104,'[8]Podklady MZ'!$R$2:$S$367,2,FALSE),NA())</f>
        <v>21.02890773784463</v>
      </c>
      <c r="V104" s="176">
        <f>INDEX([5]PT!$AF$16:$AF$381,DATE(2016,MONTH(S104),DAY(S104))-DATE(2016,1,1)+1,1)</f>
        <v>8.5</v>
      </c>
      <c r="W104" s="176" t="e">
        <f>IF(T!$A$4&lt;MONTH(S104),VLOOKUP(S104,'[8]Podklady MZ'!$R$2:$S$367,2,FALSE),NA())</f>
        <v>#N/A</v>
      </c>
    </row>
    <row r="105" spans="19:23" x14ac:dyDescent="0.2">
      <c r="S105" s="76">
        <f t="shared" si="1"/>
        <v>42108</v>
      </c>
      <c r="T105" s="77">
        <f>INDEX([12]ČR!$D$18:$D$383,DATE(2016,MONTH(S105),DAY(S105))-DATE(2016,1,1)+1,1)/1000000</f>
        <v>23.767277346728736</v>
      </c>
      <c r="U105" s="77">
        <f>IF(T!$A$4&gt;=MONTH(S105),VLOOKUP(S105,'[8]Podklady MZ'!$R$2:$S$367,2,FALSE),NA())</f>
        <v>20.307713809890178</v>
      </c>
      <c r="V105" s="176">
        <f>INDEX([5]PT!$AF$16:$AF$381,DATE(2016,MONTH(S105),DAY(S105))-DATE(2016,1,1)+1,1)</f>
        <v>8.9</v>
      </c>
      <c r="W105" s="176" t="e">
        <f>IF(T!$A$4&lt;MONTH(S105),VLOOKUP(S105,'[8]Podklady MZ'!$R$2:$S$367,2,FALSE),NA())</f>
        <v>#N/A</v>
      </c>
    </row>
    <row r="106" spans="19:23" x14ac:dyDescent="0.2">
      <c r="S106" s="76">
        <f t="shared" si="1"/>
        <v>42109</v>
      </c>
      <c r="T106" s="77">
        <f>INDEX([12]ČR!$D$18:$D$383,DATE(2016,MONTH(S106),DAY(S106))-DATE(2016,1,1)+1,1)/1000000</f>
        <v>26.463980480444253</v>
      </c>
      <c r="U106" s="77">
        <f>IF(T!$A$4&gt;=MONTH(S106),VLOOKUP(S106,'[8]Podklady MZ'!$R$2:$S$367,2,FALSE),NA())</f>
        <v>16.590878846654931</v>
      </c>
      <c r="V106" s="176">
        <f>INDEX([5]PT!$AF$16:$AF$381,DATE(2016,MONTH(S106),DAY(S106))-DATE(2016,1,1)+1,1)</f>
        <v>14.2</v>
      </c>
      <c r="W106" s="176" t="e">
        <f>IF(T!$A$4&lt;MONTH(S106),VLOOKUP(S106,'[8]Podklady MZ'!$R$2:$S$367,2,FALSE),NA())</f>
        <v>#N/A</v>
      </c>
    </row>
    <row r="107" spans="19:23" x14ac:dyDescent="0.2">
      <c r="S107" s="76">
        <f t="shared" si="1"/>
        <v>42110</v>
      </c>
      <c r="T107" s="77">
        <f>INDEX([12]ČR!$D$18:$D$383,DATE(2016,MONTH(S107),DAY(S107))-DATE(2016,1,1)+1,1)/1000000</f>
        <v>25.755912410571373</v>
      </c>
      <c r="U107" s="77">
        <f>IF(T!$A$4&gt;=MONTH(S107),VLOOKUP(S107,'[8]Podklady MZ'!$R$2:$S$367,2,FALSE),NA())</f>
        <v>15.76829477193891</v>
      </c>
      <c r="V107" s="176">
        <f>INDEX([5]PT!$AF$16:$AF$381,DATE(2016,MONTH(S107),DAY(S107))-DATE(2016,1,1)+1,1)</f>
        <v>14.8</v>
      </c>
      <c r="W107" s="176" t="e">
        <f>IF(T!$A$4&lt;MONTH(S107),VLOOKUP(S107,'[8]Podklady MZ'!$R$2:$S$367,2,FALSE),NA())</f>
        <v>#N/A</v>
      </c>
    </row>
    <row r="108" spans="19:23" x14ac:dyDescent="0.2">
      <c r="S108" s="76">
        <f t="shared" si="1"/>
        <v>42111</v>
      </c>
      <c r="T108" s="77">
        <f>INDEX([12]ČR!$D$18:$D$383,DATE(2016,MONTH(S108),DAY(S108))-DATE(2016,1,1)+1,1)/1000000</f>
        <v>22.988743556549213</v>
      </c>
      <c r="U108" s="77">
        <f>IF(T!$A$4&gt;=MONTH(S108),VLOOKUP(S108,'[8]Podklady MZ'!$R$2:$S$367,2,FALSE),NA())</f>
        <v>18.568833461656315</v>
      </c>
      <c r="V108" s="176">
        <f>INDEX([5]PT!$AF$16:$AF$381,DATE(2016,MONTH(S108),DAY(S108))-DATE(2016,1,1)+1,1)</f>
        <v>8.1</v>
      </c>
      <c r="W108" s="176" t="e">
        <f>IF(T!$A$4&lt;MONTH(S108),VLOOKUP(S108,'[8]Podklady MZ'!$R$2:$S$367,2,FALSE),NA())</f>
        <v>#N/A</v>
      </c>
    </row>
    <row r="109" spans="19:23" x14ac:dyDescent="0.2">
      <c r="S109" s="76">
        <f t="shared" si="1"/>
        <v>42112</v>
      </c>
      <c r="T109" s="77">
        <f>INDEX([12]ČR!$D$18:$D$383,DATE(2016,MONTH(S109),DAY(S109))-DATE(2016,1,1)+1,1)/1000000</f>
        <v>22.107371793833448</v>
      </c>
      <c r="U109" s="77">
        <f>IF(T!$A$4&gt;=MONTH(S109),VLOOKUP(S109,'[8]Podklady MZ'!$R$2:$S$367,2,FALSE),NA())</f>
        <v>19.614571040879646</v>
      </c>
      <c r="V109" s="176">
        <f>INDEX([5]PT!$AF$16:$AF$381,DATE(2016,MONTH(S109),DAY(S109))-DATE(2016,1,1)+1,1)</f>
        <v>3.9</v>
      </c>
      <c r="W109" s="176" t="e">
        <f>IF(T!$A$4&lt;MONTH(S109),VLOOKUP(S109,'[8]Podklady MZ'!$R$2:$S$367,2,FALSE),NA())</f>
        <v>#N/A</v>
      </c>
    </row>
    <row r="110" spans="19:23" x14ac:dyDescent="0.2">
      <c r="S110" s="76">
        <f t="shared" si="1"/>
        <v>42113</v>
      </c>
      <c r="T110" s="77">
        <f>INDEX([12]ČR!$D$18:$D$383,DATE(2016,MONTH(S110),DAY(S110))-DATE(2016,1,1)+1,1)/1000000</f>
        <v>16.760777760846324</v>
      </c>
      <c r="U110" s="77">
        <f>IF(T!$A$4&gt;=MONTH(S110),VLOOKUP(S110,'[8]Podklady MZ'!$R$2:$S$367,2,FALSE),NA())</f>
        <v>18.656931840735112</v>
      </c>
      <c r="V110" s="176">
        <f>INDEX([5]PT!$AF$16:$AF$381,DATE(2016,MONTH(S110),DAY(S110))-DATE(2016,1,1)+1,1)</f>
        <v>6.4</v>
      </c>
      <c r="W110" s="176" t="e">
        <f>IF(T!$A$4&lt;MONTH(S110),VLOOKUP(S110,'[8]Podklady MZ'!$R$2:$S$367,2,FALSE),NA())</f>
        <v>#N/A</v>
      </c>
    </row>
    <row r="111" spans="19:23" x14ac:dyDescent="0.2">
      <c r="S111" s="76">
        <f t="shared" si="1"/>
        <v>42114</v>
      </c>
      <c r="T111" s="77">
        <f>INDEX([12]ČR!$D$18:$D$383,DATE(2016,MONTH(S111),DAY(S111))-DATE(2016,1,1)+1,1)/1000000</f>
        <v>14.747151369772238</v>
      </c>
      <c r="U111" s="77">
        <f>IF(T!$A$4&gt;=MONTH(S111),VLOOKUP(S111,'[8]Podklady MZ'!$R$2:$S$367,2,FALSE),NA())</f>
        <v>19.563471390013991</v>
      </c>
      <c r="V111" s="176">
        <f>INDEX([5]PT!$AF$16:$AF$381,DATE(2016,MONTH(S111),DAY(S111))-DATE(2016,1,1)+1,1)</f>
        <v>10.4</v>
      </c>
      <c r="W111" s="176" t="e">
        <f>IF(T!$A$4&lt;MONTH(S111),VLOOKUP(S111,'[8]Podklady MZ'!$R$2:$S$367,2,FALSE),NA())</f>
        <v>#N/A</v>
      </c>
    </row>
    <row r="112" spans="19:23" x14ac:dyDescent="0.2">
      <c r="S112" s="76">
        <f t="shared" si="1"/>
        <v>42115</v>
      </c>
      <c r="T112" s="77">
        <f>INDEX([12]ČR!$D$18:$D$383,DATE(2016,MONTH(S112),DAY(S112))-DATE(2016,1,1)+1,1)/1000000</f>
        <v>15.99156011450736</v>
      </c>
      <c r="U112" s="77">
        <f>IF(T!$A$4&gt;=MONTH(S112),VLOOKUP(S112,'[8]Podklady MZ'!$R$2:$S$367,2,FALSE),NA())</f>
        <v>18.07923956225083</v>
      </c>
      <c r="V112" s="176">
        <f>INDEX([5]PT!$AF$16:$AF$381,DATE(2016,MONTH(S112),DAY(S112))-DATE(2016,1,1)+1,1)</f>
        <v>12</v>
      </c>
      <c r="W112" s="176" t="e">
        <f>IF(T!$A$4&lt;MONTH(S112),VLOOKUP(S112,'[8]Podklady MZ'!$R$2:$S$367,2,FALSE),NA())</f>
        <v>#N/A</v>
      </c>
    </row>
    <row r="113" spans="19:23" x14ac:dyDescent="0.2">
      <c r="S113" s="76">
        <f t="shared" si="1"/>
        <v>42116</v>
      </c>
      <c r="T113" s="77">
        <f>INDEX([12]ČR!$D$18:$D$383,DATE(2016,MONTH(S113),DAY(S113))-DATE(2016,1,1)+1,1)/1000000</f>
        <v>17.229384863671001</v>
      </c>
      <c r="U113" s="77">
        <f>IF(T!$A$4&gt;=MONTH(S113),VLOOKUP(S113,'[8]Podklady MZ'!$R$2:$S$367,2,FALSE),NA())</f>
        <v>18.07682042542401</v>
      </c>
      <c r="V113" s="176">
        <f>INDEX([5]PT!$AF$16:$AF$381,DATE(2016,MONTH(S113),DAY(S113))-DATE(2016,1,1)+1,1)</f>
        <v>10</v>
      </c>
      <c r="W113" s="176" t="e">
        <f>IF(T!$A$4&lt;MONTH(S113),VLOOKUP(S113,'[8]Podklady MZ'!$R$2:$S$367,2,FALSE),NA())</f>
        <v>#N/A</v>
      </c>
    </row>
    <row r="114" spans="19:23" x14ac:dyDescent="0.2">
      <c r="S114" s="76">
        <f t="shared" si="1"/>
        <v>42117</v>
      </c>
      <c r="T114" s="77">
        <f>INDEX([12]ČR!$D$18:$D$383,DATE(2016,MONTH(S114),DAY(S114))-DATE(2016,1,1)+1,1)/1000000</f>
        <v>15.47834789744913</v>
      </c>
      <c r="U114" s="77">
        <f>IF(T!$A$4&gt;=MONTH(S114),VLOOKUP(S114,'[8]Podklady MZ'!$R$2:$S$367,2,FALSE),NA())</f>
        <v>17.194628472384942</v>
      </c>
      <c r="V114" s="176">
        <f>INDEX([5]PT!$AF$16:$AF$381,DATE(2016,MONTH(S114),DAY(S114))-DATE(2016,1,1)+1,1)</f>
        <v>10.6</v>
      </c>
      <c r="W114" s="176" t="e">
        <f>IF(T!$A$4&lt;MONTH(S114),VLOOKUP(S114,'[8]Podklady MZ'!$R$2:$S$367,2,FALSE),NA())</f>
        <v>#N/A</v>
      </c>
    </row>
    <row r="115" spans="19:23" x14ac:dyDescent="0.2">
      <c r="S115" s="76">
        <f t="shared" si="1"/>
        <v>42118</v>
      </c>
      <c r="T115" s="77">
        <f>INDEX([12]ČR!$D$18:$D$383,DATE(2016,MONTH(S115),DAY(S115))-DATE(2016,1,1)+1,1)/1000000</f>
        <v>14.555017812200164</v>
      </c>
      <c r="U115" s="77">
        <f>IF(T!$A$4&gt;=MONTH(S115),VLOOKUP(S115,'[8]Podklady MZ'!$R$2:$S$367,2,FALSE),NA())</f>
        <v>15.382705185504731</v>
      </c>
      <c r="V115" s="176">
        <f>INDEX([5]PT!$AF$16:$AF$381,DATE(2016,MONTH(S115),DAY(S115))-DATE(2016,1,1)+1,1)</f>
        <v>11.1</v>
      </c>
      <c r="W115" s="176" t="e">
        <f>IF(T!$A$4&lt;MONTH(S115),VLOOKUP(S115,'[8]Podklady MZ'!$R$2:$S$367,2,FALSE),NA())</f>
        <v>#N/A</v>
      </c>
    </row>
    <row r="116" spans="19:23" x14ac:dyDescent="0.2">
      <c r="S116" s="76">
        <f t="shared" si="1"/>
        <v>42119</v>
      </c>
      <c r="T116" s="77">
        <f>INDEX([12]ČR!$D$18:$D$383,DATE(2016,MONTH(S116),DAY(S116))-DATE(2016,1,1)+1,1)/1000000</f>
        <v>13.827656517724851</v>
      </c>
      <c r="U116" s="77">
        <f>IF(T!$A$4&gt;=MONTH(S116),VLOOKUP(S116,'[8]Podklady MZ'!$R$2:$S$367,2,FALSE),NA())</f>
        <v>12.336617288364373</v>
      </c>
      <c r="V116" s="176">
        <f>INDEX([5]PT!$AF$16:$AF$381,DATE(2016,MONTH(S116),DAY(S116))-DATE(2016,1,1)+1,1)</f>
        <v>14.6</v>
      </c>
      <c r="W116" s="176" t="e">
        <f>IF(T!$A$4&lt;MONTH(S116),VLOOKUP(S116,'[8]Podklady MZ'!$R$2:$S$367,2,FALSE),NA())</f>
        <v>#N/A</v>
      </c>
    </row>
    <row r="117" spans="19:23" x14ac:dyDescent="0.2">
      <c r="S117" s="76">
        <f t="shared" si="1"/>
        <v>42120</v>
      </c>
      <c r="T117" s="77">
        <f>INDEX([12]ČR!$D$18:$D$383,DATE(2016,MONTH(S117),DAY(S117))-DATE(2016,1,1)+1,1)/1000000</f>
        <v>11.756652419321258</v>
      </c>
      <c r="U117" s="77">
        <f>IF(T!$A$4&gt;=MONTH(S117),VLOOKUP(S117,'[8]Podklady MZ'!$R$2:$S$367,2,FALSE),NA())</f>
        <v>12.659586495655699</v>
      </c>
      <c r="V117" s="176">
        <f>INDEX([5]PT!$AF$16:$AF$381,DATE(2016,MONTH(S117),DAY(S117))-DATE(2016,1,1)+1,1)</f>
        <v>13.5</v>
      </c>
      <c r="W117" s="176" t="e">
        <f>IF(T!$A$4&lt;MONTH(S117),VLOOKUP(S117,'[8]Podklady MZ'!$R$2:$S$367,2,FALSE),NA())</f>
        <v>#N/A</v>
      </c>
    </row>
    <row r="118" spans="19:23" x14ac:dyDescent="0.2">
      <c r="S118" s="76">
        <f t="shared" si="1"/>
        <v>42121</v>
      </c>
      <c r="T118" s="77">
        <f>INDEX([12]ČR!$D$18:$D$383,DATE(2016,MONTH(S118),DAY(S118))-DATE(2016,1,1)+1,1)/1000000</f>
        <v>11.545792216771328</v>
      </c>
      <c r="U118" s="77">
        <f>IF(T!$A$4&gt;=MONTH(S118),VLOOKUP(S118,'[8]Podklady MZ'!$R$2:$S$367,2,FALSE),NA())</f>
        <v>13.818581100658111</v>
      </c>
      <c r="V118" s="176">
        <f>INDEX([5]PT!$AF$16:$AF$381,DATE(2016,MONTH(S118),DAY(S118))-DATE(2016,1,1)+1,1)</f>
        <v>15.5</v>
      </c>
      <c r="W118" s="176" t="e">
        <f>IF(T!$A$4&lt;MONTH(S118),VLOOKUP(S118,'[8]Podklady MZ'!$R$2:$S$367,2,FALSE),NA())</f>
        <v>#N/A</v>
      </c>
    </row>
    <row r="119" spans="19:23" x14ac:dyDescent="0.2">
      <c r="S119" s="76">
        <f t="shared" si="1"/>
        <v>42122</v>
      </c>
      <c r="T119" s="77">
        <f>INDEX([12]ČR!$D$18:$D$383,DATE(2016,MONTH(S119),DAY(S119))-DATE(2016,1,1)+1,1)/1000000</f>
        <v>13.869957514600513</v>
      </c>
      <c r="U119" s="77">
        <f>IF(T!$A$4&gt;=MONTH(S119),VLOOKUP(S119,'[8]Podklady MZ'!$R$2:$S$367,2,FALSE),NA())</f>
        <v>18.711239256020551</v>
      </c>
      <c r="V119" s="176">
        <f>INDEX([5]PT!$AF$16:$AF$381,DATE(2016,MONTH(S119),DAY(S119))-DATE(2016,1,1)+1,1)</f>
        <v>7.3</v>
      </c>
      <c r="W119" s="176" t="e">
        <f>IF(T!$A$4&lt;MONTH(S119),VLOOKUP(S119,'[8]Podklady MZ'!$R$2:$S$367,2,FALSE),NA())</f>
        <v>#N/A</v>
      </c>
    </row>
    <row r="120" spans="19:23" x14ac:dyDescent="0.2">
      <c r="S120" s="76">
        <f t="shared" si="1"/>
        <v>42123</v>
      </c>
      <c r="T120" s="77">
        <f>INDEX([12]ČR!$D$18:$D$383,DATE(2016,MONTH(S120),DAY(S120))-DATE(2016,1,1)+1,1)/1000000</f>
        <v>14.202974548155238</v>
      </c>
      <c r="U120" s="77">
        <f>IF(T!$A$4&gt;=MONTH(S120),VLOOKUP(S120,'[8]Podklady MZ'!$R$2:$S$367,2,FALSE),NA())</f>
        <v>18.289834007546062</v>
      </c>
      <c r="V120" s="176">
        <f>INDEX([5]PT!$AF$16:$AF$381,DATE(2016,MONTH(S120),DAY(S120))-DATE(2016,1,1)+1,1)</f>
        <v>7.1</v>
      </c>
      <c r="W120" s="176" t="e">
        <f>IF(T!$A$4&lt;MONTH(S120),VLOOKUP(S120,'[8]Podklady MZ'!$R$2:$S$367,2,FALSE),NA())</f>
        <v>#N/A</v>
      </c>
    </row>
    <row r="121" spans="19:23" x14ac:dyDescent="0.2">
      <c r="S121" s="76">
        <f t="shared" si="1"/>
        <v>42124</v>
      </c>
      <c r="T121" s="77">
        <f>INDEX([12]ČR!$D$18:$D$383,DATE(2016,MONTH(S121),DAY(S121))-DATE(2016,1,1)+1,1)/1000000</f>
        <v>13.11850774419106</v>
      </c>
      <c r="U121" s="77">
        <f>IF(T!$A$4&gt;=MONTH(S121),VLOOKUP(S121,'[8]Podklady MZ'!$R$2:$S$367,2,FALSE),NA())</f>
        <v>17.044748050783795</v>
      </c>
      <c r="V121" s="176">
        <f>INDEX([5]PT!$AF$16:$AF$381,DATE(2016,MONTH(S121),DAY(S121))-DATE(2016,1,1)+1,1)</f>
        <v>8.8000000000000007</v>
      </c>
      <c r="W121" s="176" t="e">
        <f>IF(T!$A$4&lt;MONTH(S121),VLOOKUP(S121,'[8]Podklady MZ'!$R$2:$S$367,2,FALSE),NA())</f>
        <v>#N/A</v>
      </c>
    </row>
    <row r="122" spans="19:23" x14ac:dyDescent="0.2">
      <c r="S122" s="76">
        <f t="shared" si="1"/>
        <v>42125</v>
      </c>
      <c r="T122" s="77">
        <f>INDEX([12]ČR!$D$18:$D$383,DATE(2016,MONTH(S122),DAY(S122))-DATE(2016,1,1)+1,1)/1000000</f>
        <v>11.839500627664977</v>
      </c>
      <c r="U122" s="77" t="e">
        <f>IF(T!$A$4&gt;=MONTH(S122),VLOOKUP(S122,'[8]Podklady MZ'!$R$2:$S$367,2,FALSE),NA())</f>
        <v>#N/A</v>
      </c>
      <c r="V122" s="176">
        <f>INDEX([5]PT!$AF$16:$AF$381,DATE(2016,MONTH(S122),DAY(S122))-DATE(2016,1,1)+1,1)</f>
        <v>0</v>
      </c>
      <c r="W122" s="176">
        <f>IF(T!$A$4&lt;MONTH(S122),VLOOKUP(S122,'[8]Podklady MZ'!$R$2:$S$367,2,FALSE),NA())</f>
        <v>16.141417327044024</v>
      </c>
    </row>
    <row r="123" spans="19:23" x14ac:dyDescent="0.2">
      <c r="S123" s="76">
        <f t="shared" si="1"/>
        <v>42126</v>
      </c>
      <c r="T123" s="77">
        <f>INDEX([12]ČR!$D$18:$D$383,DATE(2016,MONTH(S123),DAY(S123))-DATE(2016,1,1)+1,1)/1000000</f>
        <v>13.530714254331093</v>
      </c>
      <c r="U123" s="77" t="e">
        <f>IF(T!$A$4&gt;=MONTH(S123),VLOOKUP(S123,'[8]Podklady MZ'!$R$2:$S$367,2,FALSE),NA())</f>
        <v>#N/A</v>
      </c>
      <c r="V123" s="176">
        <f>INDEX([5]PT!$AF$16:$AF$381,DATE(2016,MONTH(S123),DAY(S123))-DATE(2016,1,1)+1,1)</f>
        <v>0</v>
      </c>
      <c r="W123" s="176">
        <f>IF(T!$A$4&lt;MONTH(S123),VLOOKUP(S123,'[8]Podklady MZ'!$R$2:$S$367,2,FALSE),NA())</f>
        <v>14.832061855345913</v>
      </c>
    </row>
    <row r="124" spans="19:23" x14ac:dyDescent="0.2">
      <c r="S124" s="76">
        <f t="shared" si="1"/>
        <v>42127</v>
      </c>
      <c r="T124" s="77">
        <f>INDEX([12]ČR!$D$18:$D$383,DATE(2016,MONTH(S124),DAY(S124))-DATE(2016,1,1)+1,1)/1000000</f>
        <v>16.690623805383037</v>
      </c>
      <c r="U124" s="77" t="e">
        <f>IF(T!$A$4&gt;=MONTH(S124),VLOOKUP(S124,'[8]Podklady MZ'!$R$2:$S$367,2,FALSE),NA())</f>
        <v>#N/A</v>
      </c>
      <c r="V124" s="176">
        <f>INDEX([5]PT!$AF$16:$AF$381,DATE(2016,MONTH(S124),DAY(S124))-DATE(2016,1,1)+1,1)</f>
        <v>0</v>
      </c>
      <c r="W124" s="176">
        <f>IF(T!$A$4&lt;MONTH(S124),VLOOKUP(S124,'[8]Podklady MZ'!$R$2:$S$367,2,FALSE),NA())</f>
        <v>15.209887610062893</v>
      </c>
    </row>
    <row r="125" spans="19:23" x14ac:dyDescent="0.2">
      <c r="S125" s="76">
        <f t="shared" si="1"/>
        <v>42128</v>
      </c>
      <c r="T125" s="77">
        <f>INDEX([12]ČR!$D$18:$D$383,DATE(2016,MONTH(S125),DAY(S125))-DATE(2016,1,1)+1,1)/1000000</f>
        <v>16.897915301249057</v>
      </c>
      <c r="U125" s="77" t="e">
        <f>IF(T!$A$4&gt;=MONTH(S125),VLOOKUP(S125,'[8]Podklady MZ'!$R$2:$S$367,2,FALSE),NA())</f>
        <v>#N/A</v>
      </c>
      <c r="V125" s="176">
        <f>INDEX([5]PT!$AF$16:$AF$381,DATE(2016,MONTH(S125),DAY(S125))-DATE(2016,1,1)+1,1)</f>
        <v>0</v>
      </c>
      <c r="W125" s="176">
        <f>IF(T!$A$4&lt;MONTH(S125),VLOOKUP(S125,'[8]Podklady MZ'!$R$2:$S$367,2,FALSE),NA())</f>
        <v>14.707495440251572</v>
      </c>
    </row>
    <row r="126" spans="19:23" x14ac:dyDescent="0.2">
      <c r="S126" s="76">
        <f t="shared" si="1"/>
        <v>42129</v>
      </c>
      <c r="T126" s="77">
        <f>INDEX([12]ČR!$D$18:$D$383,DATE(2016,MONTH(S126),DAY(S126))-DATE(2016,1,1)+1,1)/1000000</f>
        <v>18.958099619848774</v>
      </c>
      <c r="U126" s="77" t="e">
        <f>IF(T!$A$4&gt;=MONTH(S126),VLOOKUP(S126,'[8]Podklady MZ'!$R$2:$S$367,2,FALSE),NA())</f>
        <v>#N/A</v>
      </c>
      <c r="V126" s="176">
        <f>INDEX([5]PT!$AF$16:$AF$381,DATE(2016,MONTH(S126),DAY(S126))-DATE(2016,1,1)+1,1)</f>
        <v>0</v>
      </c>
      <c r="W126" s="176">
        <f>IF(T!$A$4&lt;MONTH(S126),VLOOKUP(S126,'[8]Podklady MZ'!$R$2:$S$367,2,FALSE),NA())</f>
        <v>12.6389063836478</v>
      </c>
    </row>
    <row r="127" spans="19:23" x14ac:dyDescent="0.2">
      <c r="S127" s="76">
        <f t="shared" si="1"/>
        <v>42130</v>
      </c>
      <c r="T127" s="77">
        <f>INDEX([12]ČR!$D$18:$D$383,DATE(2016,MONTH(S127),DAY(S127))-DATE(2016,1,1)+1,1)/1000000</f>
        <v>16.412153539843366</v>
      </c>
      <c r="U127" s="77" t="e">
        <f>IF(T!$A$4&gt;=MONTH(S127),VLOOKUP(S127,'[8]Podklady MZ'!$R$2:$S$367,2,FALSE),NA())</f>
        <v>#N/A</v>
      </c>
      <c r="V127" s="176">
        <f>INDEX([5]PT!$AF$16:$AF$381,DATE(2016,MONTH(S127),DAY(S127))-DATE(2016,1,1)+1,1)</f>
        <v>0</v>
      </c>
      <c r="W127" s="176">
        <f>IF(T!$A$4&lt;MONTH(S127),VLOOKUP(S127,'[8]Podklady MZ'!$R$2:$S$367,2,FALSE),NA())</f>
        <v>13.735501194968553</v>
      </c>
    </row>
    <row r="128" spans="19:23" x14ac:dyDescent="0.2">
      <c r="S128" s="76">
        <f t="shared" si="1"/>
        <v>42131</v>
      </c>
      <c r="T128" s="77">
        <f>INDEX([12]ČR!$D$18:$D$383,DATE(2016,MONTH(S128),DAY(S128))-DATE(2016,1,1)+1,1)/1000000</f>
        <v>16.923185342344148</v>
      </c>
      <c r="U128" s="77" t="e">
        <f>IF(T!$A$4&gt;=MONTH(S128),VLOOKUP(S128,'[8]Podklady MZ'!$R$2:$S$367,2,FALSE),NA())</f>
        <v>#N/A</v>
      </c>
      <c r="V128" s="176">
        <f>INDEX([5]PT!$AF$16:$AF$381,DATE(2016,MONTH(S128),DAY(S128))-DATE(2016,1,1)+1,1)</f>
        <v>0</v>
      </c>
      <c r="W128" s="176">
        <f>IF(T!$A$4&lt;MONTH(S128),VLOOKUP(S128,'[8]Podklady MZ'!$R$2:$S$367,2,FALSE),NA())</f>
        <v>13.2862793081761</v>
      </c>
    </row>
    <row r="129" spans="19:23" x14ac:dyDescent="0.2">
      <c r="S129" s="76">
        <f t="shared" si="1"/>
        <v>42132</v>
      </c>
      <c r="T129" s="77">
        <f>INDEX([12]ČR!$D$18:$D$383,DATE(2016,MONTH(S129),DAY(S129))-DATE(2016,1,1)+1,1)/1000000</f>
        <v>13.588580026644813</v>
      </c>
      <c r="U129" s="77" t="e">
        <f>IF(T!$A$4&gt;=MONTH(S129),VLOOKUP(S129,'[8]Podklady MZ'!$R$2:$S$367,2,FALSE),NA())</f>
        <v>#N/A</v>
      </c>
      <c r="V129" s="176">
        <f>INDEX([5]PT!$AF$16:$AF$381,DATE(2016,MONTH(S129),DAY(S129))-DATE(2016,1,1)+1,1)</f>
        <v>0</v>
      </c>
      <c r="W129" s="176">
        <f>IF(T!$A$4&lt;MONTH(S129),VLOOKUP(S129,'[8]Podklady MZ'!$R$2:$S$367,2,FALSE),NA())</f>
        <v>11.3222813836478</v>
      </c>
    </row>
    <row r="130" spans="19:23" x14ac:dyDescent="0.2">
      <c r="S130" s="76">
        <f t="shared" si="1"/>
        <v>42133</v>
      </c>
      <c r="T130" s="77">
        <f>INDEX([12]ČR!$D$18:$D$383,DATE(2016,MONTH(S130),DAY(S130))-DATE(2016,1,1)+1,1)/1000000</f>
        <v>13.035132222069764</v>
      </c>
      <c r="U130" s="77" t="e">
        <f>IF(T!$A$4&gt;=MONTH(S130),VLOOKUP(S130,'[8]Podklady MZ'!$R$2:$S$367,2,FALSE),NA())</f>
        <v>#N/A</v>
      </c>
      <c r="V130" s="176">
        <f>INDEX([5]PT!$AF$16:$AF$381,DATE(2016,MONTH(S130),DAY(S130))-DATE(2016,1,1)+1,1)</f>
        <v>0</v>
      </c>
      <c r="W130" s="176">
        <f>IF(T!$A$4&lt;MONTH(S130),VLOOKUP(S130,'[8]Podklady MZ'!$R$2:$S$367,2,FALSE),NA())</f>
        <v>10.998669591194968</v>
      </c>
    </row>
    <row r="131" spans="19:23" x14ac:dyDescent="0.2">
      <c r="S131" s="76">
        <f t="shared" si="1"/>
        <v>42134</v>
      </c>
      <c r="T131" s="77">
        <f>INDEX([12]ČR!$D$18:$D$383,DATE(2016,MONTH(S131),DAY(S131))-DATE(2016,1,1)+1,1)/1000000</f>
        <v>11.394917291532799</v>
      </c>
      <c r="U131" s="77" t="e">
        <f>IF(T!$A$4&gt;=MONTH(S131),VLOOKUP(S131,'[8]Podklady MZ'!$R$2:$S$367,2,FALSE),NA())</f>
        <v>#N/A</v>
      </c>
      <c r="V131" s="176">
        <f>INDEX([5]PT!$AF$16:$AF$381,DATE(2016,MONTH(S131),DAY(S131))-DATE(2016,1,1)+1,1)</f>
        <v>0</v>
      </c>
      <c r="W131" s="176">
        <f>IF(T!$A$4&lt;MONTH(S131),VLOOKUP(S131,'[8]Podklady MZ'!$R$2:$S$367,2,FALSE),NA())</f>
        <v>11.957636100628932</v>
      </c>
    </row>
    <row r="132" spans="19:23" x14ac:dyDescent="0.2">
      <c r="S132" s="76">
        <f t="shared" ref="S132:S195" si="2">S131+1</f>
        <v>42135</v>
      </c>
      <c r="T132" s="77">
        <f>INDEX([12]ČR!$D$18:$D$383,DATE(2016,MONTH(S132),DAY(S132))-DATE(2016,1,1)+1,1)/1000000</f>
        <v>13.100809517095797</v>
      </c>
      <c r="U132" s="77" t="e">
        <f>IF(T!$A$4&gt;=MONTH(S132),VLOOKUP(S132,'[8]Podklady MZ'!$R$2:$S$367,2,FALSE),NA())</f>
        <v>#N/A</v>
      </c>
      <c r="V132" s="176">
        <f>INDEX([5]PT!$AF$16:$AF$381,DATE(2016,MONTH(S132),DAY(S132))-DATE(2016,1,1)+1,1)</f>
        <v>0</v>
      </c>
      <c r="W132" s="176">
        <f>IF(T!$A$4&lt;MONTH(S132),VLOOKUP(S132,'[8]Podklady MZ'!$R$2:$S$367,2,FALSE),NA())</f>
        <v>13.699037515723271</v>
      </c>
    </row>
    <row r="133" spans="19:23" x14ac:dyDescent="0.2">
      <c r="S133" s="76">
        <f t="shared" si="2"/>
        <v>42136</v>
      </c>
      <c r="T133" s="77">
        <f>INDEX([12]ČR!$D$18:$D$383,DATE(2016,MONTH(S133),DAY(S133))-DATE(2016,1,1)+1,1)/1000000</f>
        <v>15.968776169667855</v>
      </c>
      <c r="U133" s="77" t="e">
        <f>IF(T!$A$4&gt;=MONTH(S133),VLOOKUP(S133,'[8]Podklady MZ'!$R$2:$S$367,2,FALSE),NA())</f>
        <v>#N/A</v>
      </c>
      <c r="V133" s="176">
        <f>INDEX([5]PT!$AF$16:$AF$381,DATE(2016,MONTH(S133),DAY(S133))-DATE(2016,1,1)+1,1)</f>
        <v>0</v>
      </c>
      <c r="W133" s="176">
        <f>IF(T!$A$4&lt;MONTH(S133),VLOOKUP(S133,'[8]Podklady MZ'!$R$2:$S$367,2,FALSE),NA())</f>
        <v>12.862737704402516</v>
      </c>
    </row>
    <row r="134" spans="19:23" x14ac:dyDescent="0.2">
      <c r="S134" s="76">
        <f t="shared" si="2"/>
        <v>42137</v>
      </c>
      <c r="T134" s="77">
        <f>INDEX([12]ČR!$D$18:$D$383,DATE(2016,MONTH(S134),DAY(S134))-DATE(2016,1,1)+1,1)/1000000</f>
        <v>16.660640374974943</v>
      </c>
      <c r="U134" s="77" t="e">
        <f>IF(T!$A$4&gt;=MONTH(S134),VLOOKUP(S134,'[8]Podklady MZ'!$R$2:$S$367,2,FALSE),NA())</f>
        <v>#N/A</v>
      </c>
      <c r="V134" s="176">
        <f>INDEX([5]PT!$AF$16:$AF$381,DATE(2016,MONTH(S134),DAY(S134))-DATE(2016,1,1)+1,1)</f>
        <v>0</v>
      </c>
      <c r="W134" s="176">
        <f>IF(T!$A$4&lt;MONTH(S134),VLOOKUP(S134,'[8]Podklady MZ'!$R$2:$S$367,2,FALSE),NA())</f>
        <v>12.778284025157234</v>
      </c>
    </row>
    <row r="135" spans="19:23" x14ac:dyDescent="0.2">
      <c r="S135" s="76">
        <f t="shared" si="2"/>
        <v>42138</v>
      </c>
      <c r="T135" s="77">
        <f>INDEX([12]ČR!$D$18:$D$383,DATE(2016,MONTH(S135),DAY(S135))-DATE(2016,1,1)+1,1)/1000000</f>
        <v>18.08790069134259</v>
      </c>
      <c r="U135" s="77" t="e">
        <f>IF(T!$A$4&gt;=MONTH(S135),VLOOKUP(S135,'[8]Podklady MZ'!$R$2:$S$367,2,FALSE),NA())</f>
        <v>#N/A</v>
      </c>
      <c r="V135" s="176">
        <f>INDEX([5]PT!$AF$16:$AF$381,DATE(2016,MONTH(S135),DAY(S135))-DATE(2016,1,1)+1,1)</f>
        <v>0</v>
      </c>
      <c r="W135" s="176">
        <f>IF(T!$A$4&lt;MONTH(S135),VLOOKUP(S135,'[8]Podklady MZ'!$R$2:$S$367,2,FALSE),NA())</f>
        <v>13.559357044025159</v>
      </c>
    </row>
    <row r="136" spans="19:23" x14ac:dyDescent="0.2">
      <c r="S136" s="76">
        <f t="shared" si="2"/>
        <v>42139</v>
      </c>
      <c r="T136" s="77">
        <f>INDEX([12]ČR!$D$18:$D$383,DATE(2016,MONTH(S136),DAY(S136))-DATE(2016,1,1)+1,1)/1000000</f>
        <v>19.465409272283821</v>
      </c>
      <c r="U136" s="77" t="e">
        <f>IF(T!$A$4&gt;=MONTH(S136),VLOOKUP(S136,'[8]Podklady MZ'!$R$2:$S$367,2,FALSE),NA())</f>
        <v>#N/A</v>
      </c>
      <c r="V136" s="176">
        <f>INDEX([5]PT!$AF$16:$AF$381,DATE(2016,MONTH(S136),DAY(S136))-DATE(2016,1,1)+1,1)</f>
        <v>0</v>
      </c>
      <c r="W136" s="176">
        <f>IF(T!$A$4&lt;MONTH(S136),VLOOKUP(S136,'[8]Podklady MZ'!$R$2:$S$367,2,FALSE),NA())</f>
        <v>13.11099968553459</v>
      </c>
    </row>
    <row r="137" spans="19:23" x14ac:dyDescent="0.2">
      <c r="S137" s="76">
        <f t="shared" si="2"/>
        <v>42140</v>
      </c>
      <c r="T137" s="77">
        <f>INDEX([12]ČR!$D$18:$D$383,DATE(2016,MONTH(S137),DAY(S137))-DATE(2016,1,1)+1,1)/1000000</f>
        <v>19.278662465318448</v>
      </c>
      <c r="U137" s="77" t="e">
        <f>IF(T!$A$4&gt;=MONTH(S137),VLOOKUP(S137,'[8]Podklady MZ'!$R$2:$S$367,2,FALSE),NA())</f>
        <v>#N/A</v>
      </c>
      <c r="V137" s="176">
        <f>INDEX([5]PT!$AF$16:$AF$381,DATE(2016,MONTH(S137),DAY(S137))-DATE(2016,1,1)+1,1)</f>
        <v>0</v>
      </c>
      <c r="W137" s="176">
        <f>IF(T!$A$4&lt;MONTH(S137),VLOOKUP(S137,'[8]Podklady MZ'!$R$2:$S$367,2,FALSE),NA())</f>
        <v>10.495220723270441</v>
      </c>
    </row>
    <row r="138" spans="19:23" x14ac:dyDescent="0.2">
      <c r="S138" s="76">
        <f t="shared" si="2"/>
        <v>42141</v>
      </c>
      <c r="T138" s="77">
        <f>INDEX([12]ČR!$D$18:$D$383,DATE(2016,MONTH(S138),DAY(S138))-DATE(2016,1,1)+1,1)/1000000</f>
        <v>16.827935520045752</v>
      </c>
      <c r="U138" s="77" t="e">
        <f>IF(T!$A$4&gt;=MONTH(S138),VLOOKUP(S138,'[8]Podklady MZ'!$R$2:$S$367,2,FALSE),NA())</f>
        <v>#N/A</v>
      </c>
      <c r="V138" s="176">
        <f>INDEX([5]PT!$AF$16:$AF$381,DATE(2016,MONTH(S138),DAY(S138))-DATE(2016,1,1)+1,1)</f>
        <v>0</v>
      </c>
      <c r="W138" s="176">
        <f>IF(T!$A$4&lt;MONTH(S138),VLOOKUP(S138,'[8]Podklady MZ'!$R$2:$S$367,2,FALSE),NA())</f>
        <v>11.469317798742138</v>
      </c>
    </row>
    <row r="139" spans="19:23" x14ac:dyDescent="0.2">
      <c r="S139" s="76">
        <f t="shared" si="2"/>
        <v>42142</v>
      </c>
      <c r="T139" s="77">
        <f>INDEX([12]ČR!$D$18:$D$383,DATE(2016,MONTH(S139),DAY(S139))-DATE(2016,1,1)+1,1)/1000000</f>
        <v>16.379231071060332</v>
      </c>
      <c r="U139" s="77" t="e">
        <f>IF(T!$A$4&gt;=MONTH(S139),VLOOKUP(S139,'[8]Podklady MZ'!$R$2:$S$367,2,FALSE),NA())</f>
        <v>#N/A</v>
      </c>
      <c r="V139" s="176">
        <f>INDEX([5]PT!$AF$16:$AF$381,DATE(2016,MONTH(S139),DAY(S139))-DATE(2016,1,1)+1,1)</f>
        <v>0</v>
      </c>
      <c r="W139" s="176">
        <f>IF(T!$A$4&lt;MONTH(S139),VLOOKUP(S139,'[8]Podklady MZ'!$R$2:$S$367,2,FALSE),NA())</f>
        <v>12.674593270440253</v>
      </c>
    </row>
    <row r="140" spans="19:23" x14ac:dyDescent="0.2">
      <c r="S140" s="76">
        <f t="shared" si="2"/>
        <v>42143</v>
      </c>
      <c r="T140" s="77">
        <f>INDEX([12]ČR!$D$18:$D$383,DATE(2016,MONTH(S140),DAY(S140))-DATE(2016,1,1)+1,1)/1000000</f>
        <v>14.917899861760551</v>
      </c>
      <c r="U140" s="77" t="e">
        <f>IF(T!$A$4&gt;=MONTH(S140),VLOOKUP(S140,'[8]Podklady MZ'!$R$2:$S$367,2,FALSE),NA())</f>
        <v>#N/A</v>
      </c>
      <c r="V140" s="176">
        <f>INDEX([5]PT!$AF$16:$AF$381,DATE(2016,MONTH(S140),DAY(S140))-DATE(2016,1,1)+1,1)</f>
        <v>0</v>
      </c>
      <c r="W140" s="176">
        <f>IF(T!$A$4&lt;MONTH(S140),VLOOKUP(S140,'[8]Podklady MZ'!$R$2:$S$367,2,FALSE),NA())</f>
        <v>12.492694213836478</v>
      </c>
    </row>
    <row r="141" spans="19:23" x14ac:dyDescent="0.2">
      <c r="S141" s="76">
        <f t="shared" si="2"/>
        <v>42144</v>
      </c>
      <c r="T141" s="77">
        <f>INDEX([12]ČR!$D$18:$D$383,DATE(2016,MONTH(S141),DAY(S141))-DATE(2016,1,1)+1,1)/1000000</f>
        <v>12.582811552043109</v>
      </c>
      <c r="U141" s="77" t="e">
        <f>IF(T!$A$4&gt;=MONTH(S141),VLOOKUP(S141,'[8]Podklady MZ'!$R$2:$S$367,2,FALSE),NA())</f>
        <v>#N/A</v>
      </c>
      <c r="V141" s="176">
        <f>INDEX([5]PT!$AF$16:$AF$381,DATE(2016,MONTH(S141),DAY(S141))-DATE(2016,1,1)+1,1)</f>
        <v>0</v>
      </c>
      <c r="W141" s="176">
        <f>IF(T!$A$4&lt;MONTH(S141),VLOOKUP(S141,'[8]Podklady MZ'!$R$2:$S$367,2,FALSE),NA())</f>
        <v>14.358728081761006</v>
      </c>
    </row>
    <row r="142" spans="19:23" x14ac:dyDescent="0.2">
      <c r="S142" s="76">
        <f t="shared" si="2"/>
        <v>42145</v>
      </c>
      <c r="T142" s="77">
        <f>INDEX([12]ČR!$D$18:$D$383,DATE(2016,MONTH(S142),DAY(S142))-DATE(2016,1,1)+1,1)/1000000</f>
        <v>11.65639295006318</v>
      </c>
      <c r="U142" s="77" t="e">
        <f>IF(T!$A$4&gt;=MONTH(S142),VLOOKUP(S142,'[8]Podklady MZ'!$R$2:$S$367,2,FALSE),NA())</f>
        <v>#N/A</v>
      </c>
      <c r="V142" s="176">
        <f>INDEX([5]PT!$AF$16:$AF$381,DATE(2016,MONTH(S142),DAY(S142))-DATE(2016,1,1)+1,1)</f>
        <v>0</v>
      </c>
      <c r="W142" s="176">
        <f>IF(T!$A$4&lt;MONTH(S142),VLOOKUP(S142,'[8]Podklady MZ'!$R$2:$S$367,2,FALSE),NA())</f>
        <v>15.010875534591197</v>
      </c>
    </row>
    <row r="143" spans="19:23" x14ac:dyDescent="0.2">
      <c r="S143" s="76">
        <f t="shared" si="2"/>
        <v>42146</v>
      </c>
      <c r="T143" s="77">
        <f>INDEX([12]ČR!$D$18:$D$383,DATE(2016,MONTH(S143),DAY(S143))-DATE(2016,1,1)+1,1)/1000000</f>
        <v>11.132254807470311</v>
      </c>
      <c r="U143" s="77" t="e">
        <f>IF(T!$A$4&gt;=MONTH(S143),VLOOKUP(S143,'[8]Podklady MZ'!$R$2:$S$367,2,FALSE),NA())</f>
        <v>#N/A</v>
      </c>
      <c r="V143" s="176">
        <f>INDEX([5]PT!$AF$16:$AF$381,DATE(2016,MONTH(S143),DAY(S143))-DATE(2016,1,1)+1,1)</f>
        <v>0</v>
      </c>
      <c r="W143" s="176">
        <f>IF(T!$A$4&lt;MONTH(S143),VLOOKUP(S143,'[8]Podklady MZ'!$R$2:$S$367,2,FALSE),NA())</f>
        <v>13.6070963836478</v>
      </c>
    </row>
    <row r="144" spans="19:23" x14ac:dyDescent="0.2">
      <c r="S144" s="76">
        <f t="shared" si="2"/>
        <v>42147</v>
      </c>
      <c r="T144" s="77">
        <f>INDEX([12]ČR!$D$18:$D$383,DATE(2016,MONTH(S144),DAY(S144))-DATE(2016,1,1)+1,1)/1000000</f>
        <v>10.478143930618685</v>
      </c>
      <c r="U144" s="77" t="e">
        <f>IF(T!$A$4&gt;=MONTH(S144),VLOOKUP(S144,'[8]Podklady MZ'!$R$2:$S$367,2,FALSE),NA())</f>
        <v>#N/A</v>
      </c>
      <c r="V144" s="176">
        <f>INDEX([5]PT!$AF$16:$AF$381,DATE(2016,MONTH(S144),DAY(S144))-DATE(2016,1,1)+1,1)</f>
        <v>0</v>
      </c>
      <c r="W144" s="176">
        <f>IF(T!$A$4&lt;MONTH(S144),VLOOKUP(S144,'[8]Podklady MZ'!$R$2:$S$367,2,FALSE),NA())</f>
        <v>11.98406072327044</v>
      </c>
    </row>
    <row r="145" spans="19:23" x14ac:dyDescent="0.2">
      <c r="S145" s="76">
        <f t="shared" si="2"/>
        <v>42148</v>
      </c>
      <c r="T145" s="77">
        <f>INDEX([12]ČR!$D$18:$D$383,DATE(2016,MONTH(S145),DAY(S145))-DATE(2016,1,1)+1,1)/1000000</f>
        <v>9.2781211312542951</v>
      </c>
      <c r="U145" s="77" t="e">
        <f>IF(T!$A$4&gt;=MONTH(S145),VLOOKUP(S145,'[8]Podklady MZ'!$R$2:$S$367,2,FALSE),NA())</f>
        <v>#N/A</v>
      </c>
      <c r="V145" s="176">
        <f>INDEX([5]PT!$AF$16:$AF$381,DATE(2016,MONTH(S145),DAY(S145))-DATE(2016,1,1)+1,1)</f>
        <v>0</v>
      </c>
      <c r="W145" s="176">
        <f>IF(T!$A$4&lt;MONTH(S145),VLOOKUP(S145,'[8]Podklady MZ'!$R$2:$S$367,2,FALSE),NA())</f>
        <v>12.196096383647799</v>
      </c>
    </row>
    <row r="146" spans="19:23" x14ac:dyDescent="0.2">
      <c r="S146" s="76">
        <f t="shared" si="2"/>
        <v>42149</v>
      </c>
      <c r="T146" s="77">
        <f>INDEX([12]ČR!$D$18:$D$383,DATE(2016,MONTH(S146),DAY(S146))-DATE(2016,1,1)+1,1)/1000000</f>
        <v>9.656171123571907</v>
      </c>
      <c r="U146" s="77" t="e">
        <f>IF(T!$A$4&gt;=MONTH(S146),VLOOKUP(S146,'[8]Podklady MZ'!$R$2:$S$367,2,FALSE),NA())</f>
        <v>#N/A</v>
      </c>
      <c r="V146" s="176">
        <f>INDEX([5]PT!$AF$16:$AF$381,DATE(2016,MONTH(S146),DAY(S146))-DATE(2016,1,1)+1,1)</f>
        <v>0</v>
      </c>
      <c r="W146" s="176">
        <f>IF(T!$A$4&lt;MONTH(S146),VLOOKUP(S146,'[8]Podklady MZ'!$R$2:$S$367,2,FALSE),NA())</f>
        <v>13.021245723270441</v>
      </c>
    </row>
    <row r="147" spans="19:23" x14ac:dyDescent="0.2">
      <c r="S147" s="76">
        <f t="shared" si="2"/>
        <v>42150</v>
      </c>
      <c r="T147" s="77">
        <f>INDEX([12]ČR!$D$18:$D$383,DATE(2016,MONTH(S147),DAY(S147))-DATE(2016,1,1)+1,1)/1000000</f>
        <v>10.865945761979171</v>
      </c>
      <c r="U147" s="77" t="e">
        <f>IF(T!$A$4&gt;=MONTH(S147),VLOOKUP(S147,'[8]Podklady MZ'!$R$2:$S$367,2,FALSE),NA())</f>
        <v>#N/A</v>
      </c>
      <c r="V147" s="176">
        <f>INDEX([5]PT!$AF$16:$AF$381,DATE(2016,MONTH(S147),DAY(S147))-DATE(2016,1,1)+1,1)</f>
        <v>0</v>
      </c>
      <c r="W147" s="176">
        <f>IF(T!$A$4&lt;MONTH(S147),VLOOKUP(S147,'[8]Podklady MZ'!$R$2:$S$367,2,FALSE),NA())</f>
        <v>14.912257704402515</v>
      </c>
    </row>
    <row r="148" spans="19:23" x14ac:dyDescent="0.2">
      <c r="S148" s="76">
        <f t="shared" si="2"/>
        <v>42151</v>
      </c>
      <c r="T148" s="77">
        <f>INDEX([12]ČR!$D$18:$D$383,DATE(2016,MONTH(S148),DAY(S148))-DATE(2016,1,1)+1,1)/1000000</f>
        <v>11.108612309215228</v>
      </c>
      <c r="U148" s="77" t="e">
        <f>IF(T!$A$4&gt;=MONTH(S148),VLOOKUP(S148,'[8]Podklady MZ'!$R$2:$S$367,2,FALSE),NA())</f>
        <v>#N/A</v>
      </c>
      <c r="V148" s="176">
        <f>INDEX([5]PT!$AF$16:$AF$381,DATE(2016,MONTH(S148),DAY(S148))-DATE(2016,1,1)+1,1)</f>
        <v>0</v>
      </c>
      <c r="W148" s="176">
        <f>IF(T!$A$4&lt;MONTH(S148),VLOOKUP(S148,'[8]Podklady MZ'!$R$2:$S$367,2,FALSE),NA())</f>
        <v>15.995267893081762</v>
      </c>
    </row>
    <row r="149" spans="19:23" x14ac:dyDescent="0.2">
      <c r="S149" s="76">
        <f t="shared" si="2"/>
        <v>42152</v>
      </c>
      <c r="T149" s="77">
        <f>INDEX([12]ČR!$D$18:$D$383,DATE(2016,MONTH(S149),DAY(S149))-DATE(2016,1,1)+1,1)/1000000</f>
        <v>11.808502084814611</v>
      </c>
      <c r="U149" s="77" t="e">
        <f>IF(T!$A$4&gt;=MONTH(S149),VLOOKUP(S149,'[8]Podklady MZ'!$R$2:$S$367,2,FALSE),NA())</f>
        <v>#N/A</v>
      </c>
      <c r="V149" s="176">
        <f>INDEX([5]PT!$AF$16:$AF$381,DATE(2016,MONTH(S149),DAY(S149))-DATE(2016,1,1)+1,1)</f>
        <v>0</v>
      </c>
      <c r="W149" s="176">
        <f>IF(T!$A$4&lt;MONTH(S149),VLOOKUP(S149,'[8]Podklady MZ'!$R$2:$S$367,2,FALSE),NA())</f>
        <v>14.198370157232706</v>
      </c>
    </row>
    <row r="150" spans="19:23" x14ac:dyDescent="0.2">
      <c r="S150" s="76">
        <f t="shared" si="2"/>
        <v>42153</v>
      </c>
      <c r="T150" s="77">
        <f>INDEX([12]ČR!$D$18:$D$383,DATE(2016,MONTH(S150),DAY(S150))-DATE(2016,1,1)+1,1)/1000000</f>
        <v>13.226022867156464</v>
      </c>
      <c r="U150" s="77" t="e">
        <f>IF(T!$A$4&gt;=MONTH(S150),VLOOKUP(S150,'[8]Podklady MZ'!$R$2:$S$367,2,FALSE),NA())</f>
        <v>#N/A</v>
      </c>
      <c r="V150" s="176">
        <f>INDEX([5]PT!$AF$16:$AF$381,DATE(2016,MONTH(S150),DAY(S150))-DATE(2016,1,1)+1,1)</f>
        <v>0</v>
      </c>
      <c r="W150" s="176">
        <f>IF(T!$A$4&lt;MONTH(S150),VLOOKUP(S150,'[8]Podklady MZ'!$R$2:$S$367,2,FALSE),NA())</f>
        <v>12.181487232704402</v>
      </c>
    </row>
    <row r="151" spans="19:23" x14ac:dyDescent="0.2">
      <c r="S151" s="76">
        <f t="shared" si="2"/>
        <v>42154</v>
      </c>
      <c r="T151" s="77">
        <f>INDEX([12]ČR!$D$18:$D$383,DATE(2016,MONTH(S151),DAY(S151))-DATE(2016,1,1)+1,1)/1000000</f>
        <v>12.987815079649232</v>
      </c>
      <c r="U151" s="77" t="e">
        <f>IF(T!$A$4&gt;=MONTH(S151),VLOOKUP(S151,'[8]Podklady MZ'!$R$2:$S$367,2,FALSE),NA())</f>
        <v>#N/A</v>
      </c>
      <c r="V151" s="176">
        <f>INDEX([5]PT!$AF$16:$AF$381,DATE(2016,MONTH(S151),DAY(S151))-DATE(2016,1,1)+1,1)</f>
        <v>0</v>
      </c>
      <c r="W151" s="176">
        <f>IF(T!$A$4&lt;MONTH(S151),VLOOKUP(S151,'[8]Podklady MZ'!$R$2:$S$367,2,FALSE),NA())</f>
        <v>10.205619025157233</v>
      </c>
    </row>
    <row r="152" spans="19:23" x14ac:dyDescent="0.2">
      <c r="S152" s="76">
        <f t="shared" si="2"/>
        <v>42155</v>
      </c>
      <c r="T152" s="77">
        <f>INDEX([12]ČR!$D$18:$D$383,DATE(2016,MONTH(S152),DAY(S152))-DATE(2016,1,1)+1,1)/1000000</f>
        <v>10.185478109816755</v>
      </c>
      <c r="U152" s="77" t="e">
        <f>IF(T!$A$4&gt;=MONTH(S152),VLOOKUP(S152,'[8]Podklady MZ'!$R$2:$S$367,2,FALSE),NA())</f>
        <v>#N/A</v>
      </c>
      <c r="V152" s="176">
        <f>INDEX([5]PT!$AF$16:$AF$381,DATE(2016,MONTH(S152),DAY(S152))-DATE(2016,1,1)+1,1)</f>
        <v>0</v>
      </c>
      <c r="W152" s="176">
        <f>IF(T!$A$4&lt;MONTH(S152),VLOOKUP(S152,'[8]Podklady MZ'!$R$2:$S$367,2,FALSE),NA())</f>
        <v>9.9993465723270436</v>
      </c>
    </row>
    <row r="153" spans="19:23" x14ac:dyDescent="0.2">
      <c r="S153" s="76">
        <f t="shared" si="2"/>
        <v>42156</v>
      </c>
      <c r="T153" s="77">
        <f>INDEX([12]ČR!$D$18:$D$383,DATE(2016,MONTH(S153),DAY(S153))-DATE(2016,1,1)+1,1)/1000000</f>
        <v>10.15248238828606</v>
      </c>
      <c r="U153" s="77" t="e">
        <f>IF(T!$A$4&gt;=MONTH(S153),VLOOKUP(S153,'[8]Podklady MZ'!$R$2:$S$367,2,FALSE),NA())</f>
        <v>#N/A</v>
      </c>
      <c r="V153" s="176">
        <f>INDEX([5]PT!$AF$16:$AF$381,DATE(2016,MONTH(S153),DAY(S153))-DATE(2016,1,1)+1,1)</f>
        <v>0</v>
      </c>
      <c r="W153" s="176">
        <f>IF(T!$A$4&lt;MONTH(S153),VLOOKUP(S153,'[8]Podklady MZ'!$R$2:$S$367,2,FALSE),NA())</f>
        <v>10.333333333333334</v>
      </c>
    </row>
    <row r="154" spans="19:23" x14ac:dyDescent="0.2">
      <c r="S154" s="76">
        <f t="shared" si="2"/>
        <v>42157</v>
      </c>
      <c r="T154" s="77">
        <f>INDEX([12]ČR!$D$18:$D$383,DATE(2016,MONTH(S154),DAY(S154))-DATE(2016,1,1)+1,1)/1000000</f>
        <v>11.904707076860088</v>
      </c>
      <c r="U154" s="77" t="e">
        <f>IF(T!$A$4&gt;=MONTH(S154),VLOOKUP(S154,'[8]Podklady MZ'!$R$2:$S$367,2,FALSE),NA())</f>
        <v>#N/A</v>
      </c>
      <c r="V154" s="176">
        <f>INDEX([5]PT!$AF$16:$AF$381,DATE(2016,MONTH(S154),DAY(S154))-DATE(2016,1,1)+1,1)</f>
        <v>0</v>
      </c>
      <c r="W154" s="176">
        <f>IF(T!$A$4&lt;MONTH(S154),VLOOKUP(S154,'[8]Podklady MZ'!$R$2:$S$367,2,FALSE),NA())</f>
        <v>10.333333333333334</v>
      </c>
    </row>
    <row r="155" spans="19:23" x14ac:dyDescent="0.2">
      <c r="S155" s="76">
        <f t="shared" si="2"/>
        <v>42158</v>
      </c>
      <c r="T155" s="77">
        <f>INDEX([12]ČR!$D$18:$D$383,DATE(2016,MONTH(S155),DAY(S155))-DATE(2016,1,1)+1,1)/1000000</f>
        <v>12.10654944422572</v>
      </c>
      <c r="U155" s="77" t="e">
        <f>IF(T!$A$4&gt;=MONTH(S155),VLOOKUP(S155,'[8]Podklady MZ'!$R$2:$S$367,2,FALSE),NA())</f>
        <v>#N/A</v>
      </c>
      <c r="V155" s="176">
        <f>INDEX([5]PT!$AF$16:$AF$381,DATE(2016,MONTH(S155),DAY(S155))-DATE(2016,1,1)+1,1)</f>
        <v>0</v>
      </c>
      <c r="W155" s="176">
        <f>IF(T!$A$4&lt;MONTH(S155),VLOOKUP(S155,'[8]Podklady MZ'!$R$2:$S$367,2,FALSE),NA())</f>
        <v>10.333333333333334</v>
      </c>
    </row>
    <row r="156" spans="19:23" x14ac:dyDescent="0.2">
      <c r="S156" s="76">
        <f t="shared" si="2"/>
        <v>42159</v>
      </c>
      <c r="T156" s="77">
        <f>INDEX([12]ČR!$D$18:$D$383,DATE(2016,MONTH(S156),DAY(S156))-DATE(2016,1,1)+1,1)/1000000</f>
        <v>11.447167474483827</v>
      </c>
      <c r="U156" s="77" t="e">
        <f>IF(T!$A$4&gt;=MONTH(S156),VLOOKUP(S156,'[8]Podklady MZ'!$R$2:$S$367,2,FALSE),NA())</f>
        <v>#N/A</v>
      </c>
      <c r="V156" s="176">
        <f>INDEX([5]PT!$AF$16:$AF$381,DATE(2016,MONTH(S156),DAY(S156))-DATE(2016,1,1)+1,1)</f>
        <v>0</v>
      </c>
      <c r="W156" s="176">
        <f>IF(T!$A$4&lt;MONTH(S156),VLOOKUP(S156,'[8]Podklady MZ'!$R$2:$S$367,2,FALSE),NA())</f>
        <v>10.333333333333334</v>
      </c>
    </row>
    <row r="157" spans="19:23" x14ac:dyDescent="0.2">
      <c r="S157" s="76">
        <f t="shared" si="2"/>
        <v>42160</v>
      </c>
      <c r="T157" s="77">
        <f>INDEX([12]ČR!$D$18:$D$383,DATE(2016,MONTH(S157),DAY(S157))-DATE(2016,1,1)+1,1)/1000000</f>
        <v>11.437560478995836</v>
      </c>
      <c r="U157" s="77" t="e">
        <f>IF(T!$A$4&gt;=MONTH(S157),VLOOKUP(S157,'[8]Podklady MZ'!$R$2:$S$367,2,FALSE),NA())</f>
        <v>#N/A</v>
      </c>
      <c r="V157" s="176">
        <f>INDEX([5]PT!$AF$16:$AF$381,DATE(2016,MONTH(S157),DAY(S157))-DATE(2016,1,1)+1,1)</f>
        <v>0</v>
      </c>
      <c r="W157" s="176">
        <f>IF(T!$A$4&lt;MONTH(S157),VLOOKUP(S157,'[8]Podklady MZ'!$R$2:$S$367,2,FALSE),NA())</f>
        <v>10.333333333333334</v>
      </c>
    </row>
    <row r="158" spans="19:23" x14ac:dyDescent="0.2">
      <c r="S158" s="76">
        <f t="shared" si="2"/>
        <v>42161</v>
      </c>
      <c r="T158" s="77">
        <f>INDEX([12]ČR!$D$18:$D$383,DATE(2016,MONTH(S158),DAY(S158))-DATE(2016,1,1)+1,1)/1000000</f>
        <v>10.650905861959252</v>
      </c>
      <c r="U158" s="77" t="e">
        <f>IF(T!$A$4&gt;=MONTH(S158),VLOOKUP(S158,'[8]Podklady MZ'!$R$2:$S$367,2,FALSE),NA())</f>
        <v>#N/A</v>
      </c>
      <c r="V158" s="176">
        <f>INDEX([5]PT!$AF$16:$AF$381,DATE(2016,MONTH(S158),DAY(S158))-DATE(2016,1,1)+1,1)</f>
        <v>0</v>
      </c>
      <c r="W158" s="176">
        <f>IF(T!$A$4&lt;MONTH(S158),VLOOKUP(S158,'[8]Podklady MZ'!$R$2:$S$367,2,FALSE),NA())</f>
        <v>10.333333333333334</v>
      </c>
    </row>
    <row r="159" spans="19:23" x14ac:dyDescent="0.2">
      <c r="S159" s="76">
        <f t="shared" si="2"/>
        <v>42162</v>
      </c>
      <c r="T159" s="77">
        <f>INDEX([12]ČR!$D$18:$D$383,DATE(2016,MONTH(S159),DAY(S159))-DATE(2016,1,1)+1,1)/1000000</f>
        <v>8.3705384507673894</v>
      </c>
      <c r="U159" s="77" t="e">
        <f>IF(T!$A$4&gt;=MONTH(S159),VLOOKUP(S159,'[8]Podklady MZ'!$R$2:$S$367,2,FALSE),NA())</f>
        <v>#N/A</v>
      </c>
      <c r="V159" s="176">
        <f>INDEX([5]PT!$AF$16:$AF$381,DATE(2016,MONTH(S159),DAY(S159))-DATE(2016,1,1)+1,1)</f>
        <v>0</v>
      </c>
      <c r="W159" s="176">
        <f>IF(T!$A$4&lt;MONTH(S159),VLOOKUP(S159,'[8]Podklady MZ'!$R$2:$S$367,2,FALSE),NA())</f>
        <v>10.333333333333334</v>
      </c>
    </row>
    <row r="160" spans="19:23" x14ac:dyDescent="0.2">
      <c r="S160" s="76">
        <f t="shared" si="2"/>
        <v>42163</v>
      </c>
      <c r="T160" s="77">
        <f>INDEX([12]ČR!$D$18:$D$383,DATE(2016,MONTH(S160),DAY(S160))-DATE(2016,1,1)+1,1)/1000000</f>
        <v>8.5228338222967643</v>
      </c>
      <c r="U160" s="77" t="e">
        <f>IF(T!$A$4&gt;=MONTH(S160),VLOOKUP(S160,'[8]Podklady MZ'!$R$2:$S$367,2,FALSE),NA())</f>
        <v>#N/A</v>
      </c>
      <c r="V160" s="176">
        <f>INDEX([5]PT!$AF$16:$AF$381,DATE(2016,MONTH(S160),DAY(S160))-DATE(2016,1,1)+1,1)</f>
        <v>0</v>
      </c>
      <c r="W160" s="176">
        <f>IF(T!$A$4&lt;MONTH(S160),VLOOKUP(S160,'[8]Podklady MZ'!$R$2:$S$367,2,FALSE),NA())</f>
        <v>10.333333333333334</v>
      </c>
    </row>
    <row r="161" spans="19:23" x14ac:dyDescent="0.2">
      <c r="S161" s="76">
        <f t="shared" si="2"/>
        <v>42164</v>
      </c>
      <c r="T161" s="77">
        <f>INDEX([12]ČR!$D$18:$D$383,DATE(2016,MONTH(S161),DAY(S161))-DATE(2016,1,1)+1,1)/1000000</f>
        <v>9.9708936924618925</v>
      </c>
      <c r="U161" s="77" t="e">
        <f>IF(T!$A$4&gt;=MONTH(S161),VLOOKUP(S161,'[8]Podklady MZ'!$R$2:$S$367,2,FALSE),NA())</f>
        <v>#N/A</v>
      </c>
      <c r="V161" s="176">
        <f>INDEX([5]PT!$AF$16:$AF$381,DATE(2016,MONTH(S161),DAY(S161))-DATE(2016,1,1)+1,1)</f>
        <v>0</v>
      </c>
      <c r="W161" s="176">
        <f>IF(T!$A$4&lt;MONTH(S161),VLOOKUP(S161,'[8]Podklady MZ'!$R$2:$S$367,2,FALSE),NA())</f>
        <v>10.333333333333334</v>
      </c>
    </row>
    <row r="162" spans="19:23" x14ac:dyDescent="0.2">
      <c r="S162" s="76">
        <f t="shared" si="2"/>
        <v>42165</v>
      </c>
      <c r="T162" s="77">
        <f>INDEX([12]ČR!$D$18:$D$383,DATE(2016,MONTH(S162),DAY(S162))-DATE(2016,1,1)+1,1)/1000000</f>
        <v>10.027914164128793</v>
      </c>
      <c r="U162" s="77" t="e">
        <f>IF(T!$A$4&gt;=MONTH(S162),VLOOKUP(S162,'[8]Podklady MZ'!$R$2:$S$367,2,FALSE),NA())</f>
        <v>#N/A</v>
      </c>
      <c r="V162" s="176">
        <f>INDEX([5]PT!$AF$16:$AF$381,DATE(2016,MONTH(S162),DAY(S162))-DATE(2016,1,1)+1,1)</f>
        <v>0</v>
      </c>
      <c r="W162" s="176">
        <f>IF(T!$A$4&lt;MONTH(S162),VLOOKUP(S162,'[8]Podklady MZ'!$R$2:$S$367,2,FALSE),NA())</f>
        <v>10.333333333333334</v>
      </c>
    </row>
    <row r="163" spans="19:23" x14ac:dyDescent="0.2">
      <c r="S163" s="76">
        <f t="shared" si="2"/>
        <v>42166</v>
      </c>
      <c r="T163" s="77">
        <f>INDEX([12]ČR!$D$18:$D$383,DATE(2016,MONTH(S163),DAY(S163))-DATE(2016,1,1)+1,1)/1000000</f>
        <v>10.043812557867874</v>
      </c>
      <c r="U163" s="77" t="e">
        <f>IF(T!$A$4&gt;=MONTH(S163),VLOOKUP(S163,'[8]Podklady MZ'!$R$2:$S$367,2,FALSE),NA())</f>
        <v>#N/A</v>
      </c>
      <c r="V163" s="176">
        <f>INDEX([5]PT!$AF$16:$AF$381,DATE(2016,MONTH(S163),DAY(S163))-DATE(2016,1,1)+1,1)</f>
        <v>0</v>
      </c>
      <c r="W163" s="176">
        <f>IF(T!$A$4&lt;MONTH(S163),VLOOKUP(S163,'[8]Podklady MZ'!$R$2:$S$367,2,FALSE),NA())</f>
        <v>10.333333333333334</v>
      </c>
    </row>
    <row r="164" spans="19:23" x14ac:dyDescent="0.2">
      <c r="S164" s="76">
        <f t="shared" si="2"/>
        <v>42167</v>
      </c>
      <c r="T164" s="77">
        <f>INDEX([12]ČR!$D$18:$D$383,DATE(2016,MONTH(S164),DAY(S164))-DATE(2016,1,1)+1,1)/1000000</f>
        <v>10.241127851957762</v>
      </c>
      <c r="U164" s="77" t="e">
        <f>IF(T!$A$4&gt;=MONTH(S164),VLOOKUP(S164,'[8]Podklady MZ'!$R$2:$S$367,2,FALSE),NA())</f>
        <v>#N/A</v>
      </c>
      <c r="V164" s="176">
        <f>INDEX([5]PT!$AF$16:$AF$381,DATE(2016,MONTH(S164),DAY(S164))-DATE(2016,1,1)+1,1)</f>
        <v>0</v>
      </c>
      <c r="W164" s="176">
        <f>IF(T!$A$4&lt;MONTH(S164),VLOOKUP(S164,'[8]Podklady MZ'!$R$2:$S$367,2,FALSE),NA())</f>
        <v>10.333333333333334</v>
      </c>
    </row>
    <row r="165" spans="19:23" x14ac:dyDescent="0.2">
      <c r="S165" s="76">
        <f t="shared" si="2"/>
        <v>42168</v>
      </c>
      <c r="T165" s="77">
        <f>INDEX([12]ČR!$D$18:$D$383,DATE(2016,MONTH(S165),DAY(S165))-DATE(2016,1,1)+1,1)/1000000</f>
        <v>9.9643058678718344</v>
      </c>
      <c r="U165" s="77" t="e">
        <f>IF(T!$A$4&gt;=MONTH(S165),VLOOKUP(S165,'[8]Podklady MZ'!$R$2:$S$367,2,FALSE),NA())</f>
        <v>#N/A</v>
      </c>
      <c r="V165" s="176">
        <f>INDEX([5]PT!$AF$16:$AF$381,DATE(2016,MONTH(S165),DAY(S165))-DATE(2016,1,1)+1,1)</f>
        <v>0</v>
      </c>
      <c r="W165" s="176">
        <f>IF(T!$A$4&lt;MONTH(S165),VLOOKUP(S165,'[8]Podklady MZ'!$R$2:$S$367,2,FALSE),NA())</f>
        <v>10.333333333333334</v>
      </c>
    </row>
    <row r="166" spans="19:23" x14ac:dyDescent="0.2">
      <c r="S166" s="76">
        <f t="shared" si="2"/>
        <v>42169</v>
      </c>
      <c r="T166" s="77">
        <f>INDEX([12]ČR!$D$18:$D$383,DATE(2016,MONTH(S166),DAY(S166))-DATE(2016,1,1)+1,1)/1000000</f>
        <v>8.3940769619728677</v>
      </c>
      <c r="U166" s="77" t="e">
        <f>IF(T!$A$4&gt;=MONTH(S166),VLOOKUP(S166,'[8]Podklady MZ'!$R$2:$S$367,2,FALSE),NA())</f>
        <v>#N/A</v>
      </c>
      <c r="V166" s="176">
        <f>INDEX([5]PT!$AF$16:$AF$381,DATE(2016,MONTH(S166),DAY(S166))-DATE(2016,1,1)+1,1)</f>
        <v>0</v>
      </c>
      <c r="W166" s="176">
        <f>IF(T!$A$4&lt;MONTH(S166),VLOOKUP(S166,'[8]Podklady MZ'!$R$2:$S$367,2,FALSE),NA())</f>
        <v>10.333333333333334</v>
      </c>
    </row>
    <row r="167" spans="19:23" x14ac:dyDescent="0.2">
      <c r="S167" s="76">
        <f t="shared" si="2"/>
        <v>42170</v>
      </c>
      <c r="T167" s="77">
        <f>INDEX([12]ČR!$D$18:$D$383,DATE(2016,MONTH(S167),DAY(S167))-DATE(2016,1,1)+1,1)/1000000</f>
        <v>8.9615799963818166</v>
      </c>
      <c r="U167" s="77" t="e">
        <f>IF(T!$A$4&gt;=MONTH(S167),VLOOKUP(S167,'[8]Podklady MZ'!$R$2:$S$367,2,FALSE),NA())</f>
        <v>#N/A</v>
      </c>
      <c r="V167" s="176">
        <f>INDEX([5]PT!$AF$16:$AF$381,DATE(2016,MONTH(S167),DAY(S167))-DATE(2016,1,1)+1,1)</f>
        <v>0</v>
      </c>
      <c r="W167" s="176">
        <f>IF(T!$A$4&lt;MONTH(S167),VLOOKUP(S167,'[8]Podklady MZ'!$R$2:$S$367,2,FALSE),NA())</f>
        <v>10.333333333333334</v>
      </c>
    </row>
    <row r="168" spans="19:23" x14ac:dyDescent="0.2">
      <c r="S168" s="76">
        <f t="shared" si="2"/>
        <v>42171</v>
      </c>
      <c r="T168" s="77">
        <f>INDEX([12]ČR!$D$18:$D$383,DATE(2016,MONTH(S168),DAY(S168))-DATE(2016,1,1)+1,1)/1000000</f>
        <v>10.34683262302074</v>
      </c>
      <c r="U168" s="77" t="e">
        <f>IF(T!$A$4&gt;=MONTH(S168),VLOOKUP(S168,'[8]Podklady MZ'!$R$2:$S$367,2,FALSE),NA())</f>
        <v>#N/A</v>
      </c>
      <c r="V168" s="176">
        <f>INDEX([5]PT!$AF$16:$AF$381,DATE(2016,MONTH(S168),DAY(S168))-DATE(2016,1,1)+1,1)</f>
        <v>0</v>
      </c>
      <c r="W168" s="176">
        <f>IF(T!$A$4&lt;MONTH(S168),VLOOKUP(S168,'[8]Podklady MZ'!$R$2:$S$367,2,FALSE),NA())</f>
        <v>10.333333333333334</v>
      </c>
    </row>
    <row r="169" spans="19:23" x14ac:dyDescent="0.2">
      <c r="S169" s="76">
        <f t="shared" si="2"/>
        <v>42172</v>
      </c>
      <c r="T169" s="77">
        <f>INDEX([12]ČR!$D$18:$D$383,DATE(2016,MONTH(S169),DAY(S169))-DATE(2016,1,1)+1,1)/1000000</f>
        <v>10.760986581887041</v>
      </c>
      <c r="U169" s="77" t="e">
        <f>IF(T!$A$4&gt;=MONTH(S169),VLOOKUP(S169,'[8]Podklady MZ'!$R$2:$S$367,2,FALSE),NA())</f>
        <v>#N/A</v>
      </c>
      <c r="V169" s="176">
        <f>INDEX([5]PT!$AF$16:$AF$381,DATE(2016,MONTH(S169),DAY(S169))-DATE(2016,1,1)+1,1)</f>
        <v>0</v>
      </c>
      <c r="W169" s="176">
        <f>IF(T!$A$4&lt;MONTH(S169),VLOOKUP(S169,'[8]Podklady MZ'!$R$2:$S$367,2,FALSE),NA())</f>
        <v>10.333333333333334</v>
      </c>
    </row>
    <row r="170" spans="19:23" x14ac:dyDescent="0.2">
      <c r="S170" s="76">
        <f t="shared" si="2"/>
        <v>42173</v>
      </c>
      <c r="T170" s="77">
        <f>INDEX([12]ČR!$D$18:$D$383,DATE(2016,MONTH(S170),DAY(S170))-DATE(2016,1,1)+1,1)/1000000</f>
        <v>10.600526513886642</v>
      </c>
      <c r="U170" s="77" t="e">
        <f>IF(T!$A$4&gt;=MONTH(S170),VLOOKUP(S170,'[8]Podklady MZ'!$R$2:$S$367,2,FALSE),NA())</f>
        <v>#N/A</v>
      </c>
      <c r="V170" s="176">
        <f>INDEX([5]PT!$AF$16:$AF$381,DATE(2016,MONTH(S170),DAY(S170))-DATE(2016,1,1)+1,1)</f>
        <v>0</v>
      </c>
      <c r="W170" s="176">
        <f>IF(T!$A$4&lt;MONTH(S170),VLOOKUP(S170,'[8]Podklady MZ'!$R$2:$S$367,2,FALSE),NA())</f>
        <v>10.333333333333334</v>
      </c>
    </row>
    <row r="171" spans="19:23" x14ac:dyDescent="0.2">
      <c r="S171" s="76">
        <f t="shared" si="2"/>
        <v>42174</v>
      </c>
      <c r="T171" s="77">
        <f>INDEX([12]ČR!$D$18:$D$383,DATE(2016,MONTH(S171),DAY(S171))-DATE(2016,1,1)+1,1)/1000000</f>
        <v>10.714300434425487</v>
      </c>
      <c r="U171" s="77" t="e">
        <f>IF(T!$A$4&gt;=MONTH(S171),VLOOKUP(S171,'[8]Podklady MZ'!$R$2:$S$367,2,FALSE),NA())</f>
        <v>#N/A</v>
      </c>
      <c r="V171" s="176">
        <f>INDEX([5]PT!$AF$16:$AF$381,DATE(2016,MONTH(S171),DAY(S171))-DATE(2016,1,1)+1,1)</f>
        <v>0</v>
      </c>
      <c r="W171" s="176">
        <f>IF(T!$A$4&lt;MONTH(S171),VLOOKUP(S171,'[8]Podklady MZ'!$R$2:$S$367,2,FALSE),NA())</f>
        <v>10.333333333333334</v>
      </c>
    </row>
    <row r="172" spans="19:23" x14ac:dyDescent="0.2">
      <c r="S172" s="76">
        <f t="shared" si="2"/>
        <v>42175</v>
      </c>
      <c r="T172" s="77">
        <f>INDEX([12]ČR!$D$18:$D$383,DATE(2016,MONTH(S172),DAY(S172))-DATE(2016,1,1)+1,1)/1000000</f>
        <v>10.506713240675518</v>
      </c>
      <c r="U172" s="77" t="e">
        <f>IF(T!$A$4&gt;=MONTH(S172),VLOOKUP(S172,'[8]Podklady MZ'!$R$2:$S$367,2,FALSE),NA())</f>
        <v>#N/A</v>
      </c>
      <c r="V172" s="176">
        <f>INDEX([5]PT!$AF$16:$AF$381,DATE(2016,MONTH(S172),DAY(S172))-DATE(2016,1,1)+1,1)</f>
        <v>0</v>
      </c>
      <c r="W172" s="176">
        <f>IF(T!$A$4&lt;MONTH(S172),VLOOKUP(S172,'[8]Podklady MZ'!$R$2:$S$367,2,FALSE),NA())</f>
        <v>10.333333333333334</v>
      </c>
    </row>
    <row r="173" spans="19:23" x14ac:dyDescent="0.2">
      <c r="S173" s="76">
        <f t="shared" si="2"/>
        <v>42176</v>
      </c>
      <c r="T173" s="77">
        <f>INDEX([12]ČR!$D$18:$D$383,DATE(2016,MONTH(S173),DAY(S173))-DATE(2016,1,1)+1,1)/1000000</f>
        <v>9.0132577703847474</v>
      </c>
      <c r="U173" s="77" t="e">
        <f>IF(T!$A$4&gt;=MONTH(S173),VLOOKUP(S173,'[8]Podklady MZ'!$R$2:$S$367,2,FALSE),NA())</f>
        <v>#N/A</v>
      </c>
      <c r="V173" s="176">
        <f>INDEX([5]PT!$AF$16:$AF$381,DATE(2016,MONTH(S173),DAY(S173))-DATE(2016,1,1)+1,1)</f>
        <v>0</v>
      </c>
      <c r="W173" s="176">
        <f>IF(T!$A$4&lt;MONTH(S173),VLOOKUP(S173,'[8]Podklady MZ'!$R$2:$S$367,2,FALSE),NA())</f>
        <v>10.333333333333334</v>
      </c>
    </row>
    <row r="174" spans="19:23" x14ac:dyDescent="0.2">
      <c r="S174" s="76">
        <f t="shared" si="2"/>
        <v>42177</v>
      </c>
      <c r="T174" s="77">
        <f>INDEX([12]ČR!$D$18:$D$383,DATE(2016,MONTH(S174),DAY(S174))-DATE(2016,1,1)+1,1)/1000000</f>
        <v>9.3324508634722037</v>
      </c>
      <c r="U174" s="77" t="e">
        <f>IF(T!$A$4&gt;=MONTH(S174),VLOOKUP(S174,'[8]Podklady MZ'!$R$2:$S$367,2,FALSE),NA())</f>
        <v>#N/A</v>
      </c>
      <c r="V174" s="176">
        <f>INDEX([5]PT!$AF$16:$AF$381,DATE(2016,MONTH(S174),DAY(S174))-DATE(2016,1,1)+1,1)</f>
        <v>0</v>
      </c>
      <c r="W174" s="176">
        <f>IF(T!$A$4&lt;MONTH(S174),VLOOKUP(S174,'[8]Podklady MZ'!$R$2:$S$367,2,FALSE),NA())</f>
        <v>10.333333333333334</v>
      </c>
    </row>
    <row r="175" spans="19:23" x14ac:dyDescent="0.2">
      <c r="S175" s="76">
        <f t="shared" si="2"/>
        <v>42178</v>
      </c>
      <c r="T175" s="77">
        <f>INDEX([12]ČR!$D$18:$D$383,DATE(2016,MONTH(S175),DAY(S175))-DATE(2016,1,1)+1,1)/1000000</f>
        <v>10.792906177955933</v>
      </c>
      <c r="U175" s="77" t="e">
        <f>IF(T!$A$4&gt;=MONTH(S175),VLOOKUP(S175,'[8]Podklady MZ'!$R$2:$S$367,2,FALSE),NA())</f>
        <v>#N/A</v>
      </c>
      <c r="V175" s="176">
        <f>INDEX([5]PT!$AF$16:$AF$381,DATE(2016,MONTH(S175),DAY(S175))-DATE(2016,1,1)+1,1)</f>
        <v>0</v>
      </c>
      <c r="W175" s="176">
        <f>IF(T!$A$4&lt;MONTH(S175),VLOOKUP(S175,'[8]Podklady MZ'!$R$2:$S$367,2,FALSE),NA())</f>
        <v>10.333333333333334</v>
      </c>
    </row>
    <row r="176" spans="19:23" x14ac:dyDescent="0.2">
      <c r="S176" s="76">
        <f t="shared" si="2"/>
        <v>42179</v>
      </c>
      <c r="T176" s="77">
        <f>INDEX([12]ČR!$D$18:$D$383,DATE(2016,MONTH(S176),DAY(S176))-DATE(2016,1,1)+1,1)/1000000</f>
        <v>10.892712800524903</v>
      </c>
      <c r="U176" s="77" t="e">
        <f>IF(T!$A$4&gt;=MONTH(S176),VLOOKUP(S176,'[8]Podklady MZ'!$R$2:$S$367,2,FALSE),NA())</f>
        <v>#N/A</v>
      </c>
      <c r="V176" s="176">
        <f>INDEX([5]PT!$AF$16:$AF$381,DATE(2016,MONTH(S176),DAY(S176))-DATE(2016,1,1)+1,1)</f>
        <v>0</v>
      </c>
      <c r="W176" s="176">
        <f>IF(T!$A$4&lt;MONTH(S176),VLOOKUP(S176,'[8]Podklady MZ'!$R$2:$S$367,2,FALSE),NA())</f>
        <v>10.333333333333334</v>
      </c>
    </row>
    <row r="177" spans="19:23" x14ac:dyDescent="0.2">
      <c r="S177" s="76">
        <f t="shared" si="2"/>
        <v>42180</v>
      </c>
      <c r="T177" s="77">
        <f>INDEX([12]ČR!$D$18:$D$383,DATE(2016,MONTH(S177),DAY(S177))-DATE(2016,1,1)+1,1)/1000000</f>
        <v>11.272654750154253</v>
      </c>
      <c r="U177" s="77" t="e">
        <f>IF(T!$A$4&gt;=MONTH(S177),VLOOKUP(S177,'[8]Podklady MZ'!$R$2:$S$367,2,FALSE),NA())</f>
        <v>#N/A</v>
      </c>
      <c r="V177" s="176">
        <f>INDEX([5]PT!$AF$16:$AF$381,DATE(2016,MONTH(S177),DAY(S177))-DATE(2016,1,1)+1,1)</f>
        <v>0</v>
      </c>
      <c r="W177" s="176">
        <f>IF(T!$A$4&lt;MONTH(S177),VLOOKUP(S177,'[8]Podklady MZ'!$R$2:$S$367,2,FALSE),NA())</f>
        <v>10.333333333333334</v>
      </c>
    </row>
    <row r="178" spans="19:23" x14ac:dyDescent="0.2">
      <c r="S178" s="76">
        <f t="shared" si="2"/>
        <v>42181</v>
      </c>
      <c r="T178" s="77">
        <f>INDEX([12]ČR!$D$18:$D$383,DATE(2016,MONTH(S178),DAY(S178))-DATE(2016,1,1)+1,1)/1000000</f>
        <v>11.411749418376143</v>
      </c>
      <c r="U178" s="77" t="e">
        <f>IF(T!$A$4&gt;=MONTH(S178),VLOOKUP(S178,'[8]Podklady MZ'!$R$2:$S$367,2,FALSE),NA())</f>
        <v>#N/A</v>
      </c>
      <c r="V178" s="176">
        <f>INDEX([5]PT!$AF$16:$AF$381,DATE(2016,MONTH(S178),DAY(S178))-DATE(2016,1,1)+1,1)</f>
        <v>0</v>
      </c>
      <c r="W178" s="176">
        <f>IF(T!$A$4&lt;MONTH(S178),VLOOKUP(S178,'[8]Podklady MZ'!$R$2:$S$367,2,FALSE),NA())</f>
        <v>10.333333333333334</v>
      </c>
    </row>
    <row r="179" spans="19:23" x14ac:dyDescent="0.2">
      <c r="S179" s="76">
        <f t="shared" si="2"/>
        <v>42182</v>
      </c>
      <c r="T179" s="77">
        <f>INDEX([12]ČR!$D$18:$D$383,DATE(2016,MONTH(S179),DAY(S179))-DATE(2016,1,1)+1,1)/1000000</f>
        <v>10.932077565583153</v>
      </c>
      <c r="U179" s="77" t="e">
        <f>IF(T!$A$4&gt;=MONTH(S179),VLOOKUP(S179,'[8]Podklady MZ'!$R$2:$S$367,2,FALSE),NA())</f>
        <v>#N/A</v>
      </c>
      <c r="V179" s="176">
        <f>INDEX([5]PT!$AF$16:$AF$381,DATE(2016,MONTH(S179),DAY(S179))-DATE(2016,1,1)+1,1)</f>
        <v>0</v>
      </c>
      <c r="W179" s="176">
        <f>IF(T!$A$4&lt;MONTH(S179),VLOOKUP(S179,'[8]Podklady MZ'!$R$2:$S$367,2,FALSE),NA())</f>
        <v>10.333333333333334</v>
      </c>
    </row>
    <row r="180" spans="19:23" x14ac:dyDescent="0.2">
      <c r="S180" s="76">
        <f t="shared" si="2"/>
        <v>42183</v>
      </c>
      <c r="T180" s="77">
        <f>INDEX([12]ČR!$D$18:$D$383,DATE(2016,MONTH(S180),DAY(S180))-DATE(2016,1,1)+1,1)/1000000</f>
        <v>9.1549912511486013</v>
      </c>
      <c r="U180" s="77" t="e">
        <f>IF(T!$A$4&gt;=MONTH(S180),VLOOKUP(S180,'[8]Podklady MZ'!$R$2:$S$367,2,FALSE),NA())</f>
        <v>#N/A</v>
      </c>
      <c r="V180" s="176">
        <f>INDEX([5]PT!$AF$16:$AF$381,DATE(2016,MONTH(S180),DAY(S180))-DATE(2016,1,1)+1,1)</f>
        <v>0</v>
      </c>
      <c r="W180" s="176">
        <f>IF(T!$A$4&lt;MONTH(S180),VLOOKUP(S180,'[8]Podklady MZ'!$R$2:$S$367,2,FALSE),NA())</f>
        <v>10.333333333333334</v>
      </c>
    </row>
    <row r="181" spans="19:23" x14ac:dyDescent="0.2">
      <c r="S181" s="76">
        <f t="shared" si="2"/>
        <v>42184</v>
      </c>
      <c r="T181" s="77">
        <f>INDEX([12]ČR!$D$18:$D$383,DATE(2016,MONTH(S181),DAY(S181))-DATE(2016,1,1)+1,1)/1000000</f>
        <v>9.5811525882221371</v>
      </c>
      <c r="U181" s="77" t="e">
        <f>IF(T!$A$4&gt;=MONTH(S181),VLOOKUP(S181,'[8]Podklady MZ'!$R$2:$S$367,2,FALSE),NA())</f>
        <v>#N/A</v>
      </c>
      <c r="V181" s="176">
        <f>INDEX([5]PT!$AF$16:$AF$381,DATE(2016,MONTH(S181),DAY(S181))-DATE(2016,1,1)+1,1)</f>
        <v>0</v>
      </c>
      <c r="W181" s="176">
        <f>IF(T!$A$4&lt;MONTH(S181),VLOOKUP(S181,'[8]Podklady MZ'!$R$2:$S$367,2,FALSE),NA())</f>
        <v>10.333333333333334</v>
      </c>
    </row>
    <row r="182" spans="19:23" x14ac:dyDescent="0.2">
      <c r="S182" s="76">
        <f t="shared" si="2"/>
        <v>42185</v>
      </c>
      <c r="T182" s="77">
        <f>INDEX([12]ČR!$D$18:$D$383,DATE(2016,MONTH(S182),DAY(S182))-DATE(2016,1,1)+1,1)/1000000</f>
        <v>11.38615884981731</v>
      </c>
      <c r="U182" s="77" t="e">
        <f>IF(T!$A$4&gt;=MONTH(S182),VLOOKUP(S182,'[8]Podklady MZ'!$R$2:$S$367,2,FALSE),NA())</f>
        <v>#N/A</v>
      </c>
      <c r="V182" s="176">
        <f>INDEX([5]PT!$AF$16:$AF$381,DATE(2016,MONTH(S182),DAY(S182))-DATE(2016,1,1)+1,1)</f>
        <v>0</v>
      </c>
      <c r="W182" s="176">
        <f>IF(T!$A$4&lt;MONTH(S182),VLOOKUP(S182,'[8]Podklady MZ'!$R$2:$S$367,2,FALSE),NA())</f>
        <v>10.333333333333334</v>
      </c>
    </row>
    <row r="183" spans="19:23" x14ac:dyDescent="0.2">
      <c r="S183" s="76">
        <f t="shared" si="2"/>
        <v>42186</v>
      </c>
      <c r="T183" s="77">
        <f>INDEX([12]ČR!$D$18:$D$383,DATE(2016,MONTH(S183),DAY(S183))-DATE(2016,1,1)+1,1)/1000000</f>
        <v>11.058233001489125</v>
      </c>
      <c r="U183" s="77" t="e">
        <f>IF(T!$A$4&gt;=MONTH(S183),VLOOKUP(S183,'[8]Podklady MZ'!$R$2:$S$367,2,FALSE),NA())</f>
        <v>#N/A</v>
      </c>
      <c r="V183" s="176">
        <f>INDEX([5]PT!$AF$16:$AF$381,DATE(2016,MONTH(S183),DAY(S183))-DATE(2016,1,1)+1,1)</f>
        <v>0</v>
      </c>
      <c r="W183" s="176">
        <f>IF(T!$A$4&lt;MONTH(S183),VLOOKUP(S183,'[8]Podklady MZ'!$R$2:$S$367,2,FALSE),NA())</f>
        <v>9.3548387096774199</v>
      </c>
    </row>
    <row r="184" spans="19:23" x14ac:dyDescent="0.2">
      <c r="S184" s="76">
        <f t="shared" si="2"/>
        <v>42187</v>
      </c>
      <c r="T184" s="77">
        <f>INDEX([12]ČR!$D$18:$D$383,DATE(2016,MONTH(S184),DAY(S184))-DATE(2016,1,1)+1,1)/1000000</f>
        <v>10.945490729591199</v>
      </c>
      <c r="U184" s="77" t="e">
        <f>IF(T!$A$4&gt;=MONTH(S184),VLOOKUP(S184,'[8]Podklady MZ'!$R$2:$S$367,2,FALSE),NA())</f>
        <v>#N/A</v>
      </c>
      <c r="V184" s="176">
        <f>INDEX([5]PT!$AF$16:$AF$381,DATE(2016,MONTH(S184),DAY(S184))-DATE(2016,1,1)+1,1)</f>
        <v>0</v>
      </c>
      <c r="W184" s="176">
        <f>IF(T!$A$4&lt;MONTH(S184),VLOOKUP(S184,'[8]Podklady MZ'!$R$2:$S$367,2,FALSE),NA())</f>
        <v>9.3548387096774199</v>
      </c>
    </row>
    <row r="185" spans="19:23" x14ac:dyDescent="0.2">
      <c r="S185" s="76">
        <f t="shared" si="2"/>
        <v>42188</v>
      </c>
      <c r="T185" s="77">
        <f>INDEX([12]ČR!$D$18:$D$383,DATE(2016,MONTH(S185),DAY(S185))-DATE(2016,1,1)+1,1)/1000000</f>
        <v>10.600033656597127</v>
      </c>
      <c r="U185" s="77" t="e">
        <f>IF(T!$A$4&gt;=MONTH(S185),VLOOKUP(S185,'[8]Podklady MZ'!$R$2:$S$367,2,FALSE),NA())</f>
        <v>#N/A</v>
      </c>
      <c r="V185" s="176">
        <f>INDEX([5]PT!$AF$16:$AF$381,DATE(2016,MONTH(S185),DAY(S185))-DATE(2016,1,1)+1,1)</f>
        <v>0</v>
      </c>
      <c r="W185" s="176">
        <f>IF(T!$A$4&lt;MONTH(S185),VLOOKUP(S185,'[8]Podklady MZ'!$R$2:$S$367,2,FALSE),NA())</f>
        <v>9.3548387096774199</v>
      </c>
    </row>
    <row r="186" spans="19:23" x14ac:dyDescent="0.2">
      <c r="S186" s="76">
        <f t="shared" si="2"/>
        <v>42189</v>
      </c>
      <c r="T186" s="77">
        <f>INDEX([12]ČR!$D$18:$D$383,DATE(2016,MONTH(S186),DAY(S186))-DATE(2016,1,1)+1,1)/1000000</f>
        <v>11.433981814725991</v>
      </c>
      <c r="U186" s="77" t="e">
        <f>IF(T!$A$4&gt;=MONTH(S186),VLOOKUP(S186,'[8]Podklady MZ'!$R$2:$S$367,2,FALSE),NA())</f>
        <v>#N/A</v>
      </c>
      <c r="V186" s="176">
        <f>INDEX([5]PT!$AF$16:$AF$381,DATE(2016,MONTH(S186),DAY(S186))-DATE(2016,1,1)+1,1)</f>
        <v>0</v>
      </c>
      <c r="W186" s="176">
        <f>IF(T!$A$4&lt;MONTH(S186),VLOOKUP(S186,'[8]Podklady MZ'!$R$2:$S$367,2,FALSE),NA())</f>
        <v>9.3548387096774199</v>
      </c>
    </row>
    <row r="187" spans="19:23" x14ac:dyDescent="0.2">
      <c r="S187" s="76">
        <f t="shared" si="2"/>
        <v>42190</v>
      </c>
      <c r="T187" s="77">
        <f>INDEX([12]ČR!$D$18:$D$383,DATE(2016,MONTH(S187),DAY(S187))-DATE(2016,1,1)+1,1)/1000000</f>
        <v>8.4934816050281814</v>
      </c>
      <c r="U187" s="77" t="e">
        <f>IF(T!$A$4&gt;=MONTH(S187),VLOOKUP(S187,'[8]Podklady MZ'!$R$2:$S$367,2,FALSE),NA())</f>
        <v>#N/A</v>
      </c>
      <c r="V187" s="176">
        <f>INDEX([5]PT!$AF$16:$AF$381,DATE(2016,MONTH(S187),DAY(S187))-DATE(2016,1,1)+1,1)</f>
        <v>0</v>
      </c>
      <c r="W187" s="176">
        <f>IF(T!$A$4&lt;MONTH(S187),VLOOKUP(S187,'[8]Podklady MZ'!$R$2:$S$367,2,FALSE),NA())</f>
        <v>9.3548387096774199</v>
      </c>
    </row>
    <row r="188" spans="19:23" x14ac:dyDescent="0.2">
      <c r="S188" s="76">
        <f t="shared" si="2"/>
        <v>42191</v>
      </c>
      <c r="T188" s="77">
        <f>INDEX([12]ČR!$D$18:$D$383,DATE(2016,MONTH(S188),DAY(S188))-DATE(2016,1,1)+1,1)/1000000</f>
        <v>8.8607905231701647</v>
      </c>
      <c r="U188" s="77" t="e">
        <f>IF(T!$A$4&gt;=MONTH(S188),VLOOKUP(S188,'[8]Podklady MZ'!$R$2:$S$367,2,FALSE),NA())</f>
        <v>#N/A</v>
      </c>
      <c r="V188" s="176">
        <f>INDEX([5]PT!$AF$16:$AF$381,DATE(2016,MONTH(S188),DAY(S188))-DATE(2016,1,1)+1,1)</f>
        <v>0</v>
      </c>
      <c r="W188" s="176">
        <f>IF(T!$A$4&lt;MONTH(S188),VLOOKUP(S188,'[8]Podklady MZ'!$R$2:$S$367,2,FALSE),NA())</f>
        <v>9.3548387096774199</v>
      </c>
    </row>
    <row r="189" spans="19:23" x14ac:dyDescent="0.2">
      <c r="S189" s="76">
        <f t="shared" si="2"/>
        <v>42192</v>
      </c>
      <c r="T189" s="77">
        <f>INDEX([12]ČR!$D$18:$D$383,DATE(2016,MONTH(S189),DAY(S189))-DATE(2016,1,1)+1,1)/1000000</f>
        <v>10.346897647948978</v>
      </c>
      <c r="U189" s="77" t="e">
        <f>IF(T!$A$4&gt;=MONTH(S189),VLOOKUP(S189,'[8]Podklady MZ'!$R$2:$S$367,2,FALSE),NA())</f>
        <v>#N/A</v>
      </c>
      <c r="V189" s="176">
        <f>INDEX([5]PT!$AF$16:$AF$381,DATE(2016,MONTH(S189),DAY(S189))-DATE(2016,1,1)+1,1)</f>
        <v>0</v>
      </c>
      <c r="W189" s="176">
        <f>IF(T!$A$4&lt;MONTH(S189),VLOOKUP(S189,'[8]Podklady MZ'!$R$2:$S$367,2,FALSE),NA())</f>
        <v>9.3548387096774199</v>
      </c>
    </row>
    <row r="190" spans="19:23" x14ac:dyDescent="0.2">
      <c r="S190" s="76">
        <f t="shared" si="2"/>
        <v>42193</v>
      </c>
      <c r="T190" s="77">
        <f>INDEX([12]ČR!$D$18:$D$383,DATE(2016,MONTH(S190),DAY(S190))-DATE(2016,1,1)+1,1)/1000000</f>
        <v>10.041092456549947</v>
      </c>
      <c r="U190" s="77" t="e">
        <f>IF(T!$A$4&gt;=MONTH(S190),VLOOKUP(S190,'[8]Podklady MZ'!$R$2:$S$367,2,FALSE),NA())</f>
        <v>#N/A</v>
      </c>
      <c r="V190" s="176">
        <f>INDEX([5]PT!$AF$16:$AF$381,DATE(2016,MONTH(S190),DAY(S190))-DATE(2016,1,1)+1,1)</f>
        <v>0</v>
      </c>
      <c r="W190" s="176">
        <f>IF(T!$A$4&lt;MONTH(S190),VLOOKUP(S190,'[8]Podklady MZ'!$R$2:$S$367,2,FALSE),NA())</f>
        <v>9.3548387096774199</v>
      </c>
    </row>
    <row r="191" spans="19:23" x14ac:dyDescent="0.2">
      <c r="S191" s="76">
        <f t="shared" si="2"/>
        <v>42194</v>
      </c>
      <c r="T191" s="77">
        <f>INDEX([12]ČR!$D$18:$D$383,DATE(2016,MONTH(S191),DAY(S191))-DATE(2016,1,1)+1,1)/1000000</f>
        <v>10.599996532461025</v>
      </c>
      <c r="U191" s="77" t="e">
        <f>IF(T!$A$4&gt;=MONTH(S191),VLOOKUP(S191,'[8]Podklady MZ'!$R$2:$S$367,2,FALSE),NA())</f>
        <v>#N/A</v>
      </c>
      <c r="V191" s="176">
        <f>INDEX([5]PT!$AF$16:$AF$381,DATE(2016,MONTH(S191),DAY(S191))-DATE(2016,1,1)+1,1)</f>
        <v>0</v>
      </c>
      <c r="W191" s="176">
        <f>IF(T!$A$4&lt;MONTH(S191),VLOOKUP(S191,'[8]Podklady MZ'!$R$2:$S$367,2,FALSE),NA())</f>
        <v>9.3548387096774199</v>
      </c>
    </row>
    <row r="192" spans="19:23" x14ac:dyDescent="0.2">
      <c r="S192" s="76">
        <f t="shared" si="2"/>
        <v>42195</v>
      </c>
      <c r="T192" s="77">
        <f>INDEX([12]ČR!$D$18:$D$383,DATE(2016,MONTH(S192),DAY(S192))-DATE(2016,1,1)+1,1)/1000000</f>
        <v>12.823204404477016</v>
      </c>
      <c r="U192" s="77" t="e">
        <f>IF(T!$A$4&gt;=MONTH(S192),VLOOKUP(S192,'[8]Podklady MZ'!$R$2:$S$367,2,FALSE),NA())</f>
        <v>#N/A</v>
      </c>
      <c r="V192" s="176">
        <f>INDEX([5]PT!$AF$16:$AF$381,DATE(2016,MONTH(S192),DAY(S192))-DATE(2016,1,1)+1,1)</f>
        <v>0</v>
      </c>
      <c r="W192" s="176">
        <f>IF(T!$A$4&lt;MONTH(S192),VLOOKUP(S192,'[8]Podklady MZ'!$R$2:$S$367,2,FALSE),NA())</f>
        <v>9.3548387096774199</v>
      </c>
    </row>
    <row r="193" spans="19:23" x14ac:dyDescent="0.2">
      <c r="S193" s="76">
        <f t="shared" si="2"/>
        <v>42196</v>
      </c>
      <c r="T193" s="77">
        <f>INDEX([12]ČR!$D$18:$D$383,DATE(2016,MONTH(S193),DAY(S193))-DATE(2016,1,1)+1,1)/1000000</f>
        <v>12.0528210143035</v>
      </c>
      <c r="U193" s="77" t="e">
        <f>IF(T!$A$4&gt;=MONTH(S193),VLOOKUP(S193,'[8]Podklady MZ'!$R$2:$S$367,2,FALSE),NA())</f>
        <v>#N/A</v>
      </c>
      <c r="V193" s="176">
        <f>INDEX([5]PT!$AF$16:$AF$381,DATE(2016,MONTH(S193),DAY(S193))-DATE(2016,1,1)+1,1)</f>
        <v>0</v>
      </c>
      <c r="W193" s="176">
        <f>IF(T!$A$4&lt;MONTH(S193),VLOOKUP(S193,'[8]Podklady MZ'!$R$2:$S$367,2,FALSE),NA())</f>
        <v>9.3548387096774199</v>
      </c>
    </row>
    <row r="194" spans="19:23" x14ac:dyDescent="0.2">
      <c r="S194" s="76">
        <f t="shared" si="2"/>
        <v>42197</v>
      </c>
      <c r="T194" s="77">
        <f>INDEX([12]ČR!$D$18:$D$383,DATE(2016,MONTH(S194),DAY(S194))-DATE(2016,1,1)+1,1)/1000000</f>
        <v>9.5699875809135833</v>
      </c>
      <c r="U194" s="77" t="e">
        <f>IF(T!$A$4&gt;=MONTH(S194),VLOOKUP(S194,'[8]Podklady MZ'!$R$2:$S$367,2,FALSE),NA())</f>
        <v>#N/A</v>
      </c>
      <c r="V194" s="176">
        <f>INDEX([5]PT!$AF$16:$AF$381,DATE(2016,MONTH(S194),DAY(S194))-DATE(2016,1,1)+1,1)</f>
        <v>0</v>
      </c>
      <c r="W194" s="176">
        <f>IF(T!$A$4&lt;MONTH(S194),VLOOKUP(S194,'[8]Podklady MZ'!$R$2:$S$367,2,FALSE),NA())</f>
        <v>9.3548387096774199</v>
      </c>
    </row>
    <row r="195" spans="19:23" x14ac:dyDescent="0.2">
      <c r="S195" s="76">
        <f t="shared" si="2"/>
        <v>42198</v>
      </c>
      <c r="T195" s="77">
        <f>INDEX([12]ČR!$D$18:$D$383,DATE(2016,MONTH(S195),DAY(S195))-DATE(2016,1,1)+1,1)/1000000</f>
        <v>8.6325223799616904</v>
      </c>
      <c r="U195" s="77" t="e">
        <f>IF(T!$A$4&gt;=MONTH(S195),VLOOKUP(S195,'[8]Podklady MZ'!$R$2:$S$367,2,FALSE),NA())</f>
        <v>#N/A</v>
      </c>
      <c r="V195" s="176">
        <f>INDEX([5]PT!$AF$16:$AF$381,DATE(2016,MONTH(S195),DAY(S195))-DATE(2016,1,1)+1,1)</f>
        <v>0</v>
      </c>
      <c r="W195" s="176">
        <f>IF(T!$A$4&lt;MONTH(S195),VLOOKUP(S195,'[8]Podklady MZ'!$R$2:$S$367,2,FALSE),NA())</f>
        <v>9.3548387096774199</v>
      </c>
    </row>
    <row r="196" spans="19:23" x14ac:dyDescent="0.2">
      <c r="S196" s="76">
        <f t="shared" ref="S196:S259" si="3">S195+1</f>
        <v>42199</v>
      </c>
      <c r="T196" s="77">
        <f>INDEX([12]ČR!$D$18:$D$383,DATE(2016,MONTH(S196),DAY(S196))-DATE(2016,1,1)+1,1)/1000000</f>
        <v>10.023829644110265</v>
      </c>
      <c r="U196" s="77" t="e">
        <f>IF(T!$A$4&gt;=MONTH(S196),VLOOKUP(S196,'[8]Podklady MZ'!$R$2:$S$367,2,FALSE),NA())</f>
        <v>#N/A</v>
      </c>
      <c r="V196" s="176">
        <f>INDEX([5]PT!$AF$16:$AF$381,DATE(2016,MONTH(S196),DAY(S196))-DATE(2016,1,1)+1,1)</f>
        <v>0</v>
      </c>
      <c r="W196" s="176">
        <f>IF(T!$A$4&lt;MONTH(S196),VLOOKUP(S196,'[8]Podklady MZ'!$R$2:$S$367,2,FALSE),NA())</f>
        <v>9.3548387096774199</v>
      </c>
    </row>
    <row r="197" spans="19:23" x14ac:dyDescent="0.2">
      <c r="S197" s="76">
        <f t="shared" si="3"/>
        <v>42200</v>
      </c>
      <c r="T197" s="77">
        <f>INDEX([12]ČR!$D$18:$D$383,DATE(2016,MONTH(S197),DAY(S197))-DATE(2016,1,1)+1,1)/1000000</f>
        <v>9.9774835818951537</v>
      </c>
      <c r="U197" s="77" t="e">
        <f>IF(T!$A$4&gt;=MONTH(S197),VLOOKUP(S197,'[8]Podklady MZ'!$R$2:$S$367,2,FALSE),NA())</f>
        <v>#N/A</v>
      </c>
      <c r="V197" s="176">
        <f>INDEX([5]PT!$AF$16:$AF$381,DATE(2016,MONTH(S197),DAY(S197))-DATE(2016,1,1)+1,1)</f>
        <v>0</v>
      </c>
      <c r="W197" s="176">
        <f>IF(T!$A$4&lt;MONTH(S197),VLOOKUP(S197,'[8]Podklady MZ'!$R$2:$S$367,2,FALSE),NA())</f>
        <v>9.3548387096774199</v>
      </c>
    </row>
    <row r="198" spans="19:23" x14ac:dyDescent="0.2">
      <c r="S198" s="76">
        <f t="shared" si="3"/>
        <v>42201</v>
      </c>
      <c r="T198" s="77">
        <f>INDEX([12]ČR!$D$18:$D$383,DATE(2016,MONTH(S198),DAY(S198))-DATE(2016,1,1)+1,1)/1000000</f>
        <v>9.9337418028508626</v>
      </c>
      <c r="U198" s="77" t="e">
        <f>IF(T!$A$4&gt;=MONTH(S198),VLOOKUP(S198,'[8]Podklady MZ'!$R$2:$S$367,2,FALSE),NA())</f>
        <v>#N/A</v>
      </c>
      <c r="V198" s="176">
        <f>INDEX([5]PT!$AF$16:$AF$381,DATE(2016,MONTH(S198),DAY(S198))-DATE(2016,1,1)+1,1)</f>
        <v>0</v>
      </c>
      <c r="W198" s="176">
        <f>IF(T!$A$4&lt;MONTH(S198),VLOOKUP(S198,'[8]Podklady MZ'!$R$2:$S$367,2,FALSE),NA())</f>
        <v>9.3548387096774199</v>
      </c>
    </row>
    <row r="199" spans="19:23" x14ac:dyDescent="0.2">
      <c r="S199" s="76">
        <f t="shared" si="3"/>
        <v>42202</v>
      </c>
      <c r="T199" s="77">
        <f>INDEX([12]ČR!$D$18:$D$383,DATE(2016,MONTH(S199),DAY(S199))-DATE(2016,1,1)+1,1)/1000000</f>
        <v>9.8346370207824485</v>
      </c>
      <c r="U199" s="77" t="e">
        <f>IF(T!$A$4&gt;=MONTH(S199),VLOOKUP(S199,'[8]Podklady MZ'!$R$2:$S$367,2,FALSE),NA())</f>
        <v>#N/A</v>
      </c>
      <c r="V199" s="176">
        <f>INDEX([5]PT!$AF$16:$AF$381,DATE(2016,MONTH(S199),DAY(S199))-DATE(2016,1,1)+1,1)</f>
        <v>0</v>
      </c>
      <c r="W199" s="176">
        <f>IF(T!$A$4&lt;MONTH(S199),VLOOKUP(S199,'[8]Podklady MZ'!$R$2:$S$367,2,FALSE),NA())</f>
        <v>9.3548387096774199</v>
      </c>
    </row>
    <row r="200" spans="19:23" x14ac:dyDescent="0.2">
      <c r="S200" s="76">
        <f t="shared" si="3"/>
        <v>42203</v>
      </c>
      <c r="T200" s="77">
        <f>INDEX([12]ČR!$D$18:$D$383,DATE(2016,MONTH(S200),DAY(S200))-DATE(2016,1,1)+1,1)/1000000</f>
        <v>9.1789610460226054</v>
      </c>
      <c r="U200" s="77" t="e">
        <f>IF(T!$A$4&gt;=MONTH(S200),VLOOKUP(S200,'[8]Podklady MZ'!$R$2:$S$367,2,FALSE),NA())</f>
        <v>#N/A</v>
      </c>
      <c r="V200" s="176">
        <f>INDEX([5]PT!$AF$16:$AF$381,DATE(2016,MONTH(S200),DAY(S200))-DATE(2016,1,1)+1,1)</f>
        <v>0</v>
      </c>
      <c r="W200" s="176">
        <f>IF(T!$A$4&lt;MONTH(S200),VLOOKUP(S200,'[8]Podklady MZ'!$R$2:$S$367,2,FALSE),NA())</f>
        <v>9.3548387096774199</v>
      </c>
    </row>
    <row r="201" spans="19:23" x14ac:dyDescent="0.2">
      <c r="S201" s="76">
        <f t="shared" si="3"/>
        <v>42204</v>
      </c>
      <c r="T201" s="77">
        <f>INDEX([12]ČR!$D$18:$D$383,DATE(2016,MONTH(S201),DAY(S201))-DATE(2016,1,1)+1,1)/1000000</f>
        <v>7.6722663783172056</v>
      </c>
      <c r="U201" s="77" t="e">
        <f>IF(T!$A$4&gt;=MONTH(S201),VLOOKUP(S201,'[8]Podklady MZ'!$R$2:$S$367,2,FALSE),NA())</f>
        <v>#N/A</v>
      </c>
      <c r="V201" s="176">
        <f>INDEX([5]PT!$AF$16:$AF$381,DATE(2016,MONTH(S201),DAY(S201))-DATE(2016,1,1)+1,1)</f>
        <v>0</v>
      </c>
      <c r="W201" s="176">
        <f>IF(T!$A$4&lt;MONTH(S201),VLOOKUP(S201,'[8]Podklady MZ'!$R$2:$S$367,2,FALSE),NA())</f>
        <v>9.3548387096774199</v>
      </c>
    </row>
    <row r="202" spans="19:23" x14ac:dyDescent="0.2">
      <c r="S202" s="76">
        <f t="shared" si="3"/>
        <v>42205</v>
      </c>
      <c r="T202" s="77">
        <f>INDEX([12]ČR!$D$18:$D$383,DATE(2016,MONTH(S202),DAY(S202))-DATE(2016,1,1)+1,1)/1000000</f>
        <v>7.8044073243827974</v>
      </c>
      <c r="U202" s="77" t="e">
        <f>IF(T!$A$4&gt;=MONTH(S202),VLOOKUP(S202,'[8]Podklady MZ'!$R$2:$S$367,2,FALSE),NA())</f>
        <v>#N/A</v>
      </c>
      <c r="V202" s="176">
        <f>INDEX([5]PT!$AF$16:$AF$381,DATE(2016,MONTH(S202),DAY(S202))-DATE(2016,1,1)+1,1)</f>
        <v>0</v>
      </c>
      <c r="W202" s="176">
        <f>IF(T!$A$4&lt;MONTH(S202),VLOOKUP(S202,'[8]Podklady MZ'!$R$2:$S$367,2,FALSE),NA())</f>
        <v>9.3548387096774199</v>
      </c>
    </row>
    <row r="203" spans="19:23" x14ac:dyDescent="0.2">
      <c r="S203" s="76">
        <f t="shared" si="3"/>
        <v>42206</v>
      </c>
      <c r="T203" s="77">
        <f>INDEX([12]ČR!$D$18:$D$383,DATE(2016,MONTH(S203),DAY(S203))-DATE(2016,1,1)+1,1)/1000000</f>
        <v>9.3012826852739359</v>
      </c>
      <c r="U203" s="77" t="e">
        <f>IF(T!$A$4&gt;=MONTH(S203),VLOOKUP(S203,'[8]Podklady MZ'!$R$2:$S$367,2,FALSE),NA())</f>
        <v>#N/A</v>
      </c>
      <c r="V203" s="176">
        <f>INDEX([5]PT!$AF$16:$AF$381,DATE(2016,MONTH(S203),DAY(S203))-DATE(2016,1,1)+1,1)</f>
        <v>0</v>
      </c>
      <c r="W203" s="176">
        <f>IF(T!$A$4&lt;MONTH(S203),VLOOKUP(S203,'[8]Podklady MZ'!$R$2:$S$367,2,FALSE),NA())</f>
        <v>9.3548387096774199</v>
      </c>
    </row>
    <row r="204" spans="19:23" x14ac:dyDescent="0.2">
      <c r="S204" s="76">
        <f t="shared" si="3"/>
        <v>42207</v>
      </c>
      <c r="T204" s="77">
        <f>INDEX([12]ČR!$D$18:$D$383,DATE(2016,MONTH(S204),DAY(S204))-DATE(2016,1,1)+1,1)/1000000</f>
        <v>9.613325478616396</v>
      </c>
      <c r="U204" s="77" t="e">
        <f>IF(T!$A$4&gt;=MONTH(S204),VLOOKUP(S204,'[8]Podklady MZ'!$R$2:$S$367,2,FALSE),NA())</f>
        <v>#N/A</v>
      </c>
      <c r="V204" s="176">
        <f>INDEX([5]PT!$AF$16:$AF$381,DATE(2016,MONTH(S204),DAY(S204))-DATE(2016,1,1)+1,1)</f>
        <v>0</v>
      </c>
      <c r="W204" s="176">
        <f>IF(T!$A$4&lt;MONTH(S204),VLOOKUP(S204,'[8]Podklady MZ'!$R$2:$S$367,2,FALSE),NA())</f>
        <v>9.3548387096774199</v>
      </c>
    </row>
    <row r="205" spans="19:23" x14ac:dyDescent="0.2">
      <c r="S205" s="76">
        <f t="shared" si="3"/>
        <v>42208</v>
      </c>
      <c r="T205" s="77">
        <f>INDEX([12]ČR!$D$18:$D$383,DATE(2016,MONTH(S205),DAY(S205))-DATE(2016,1,1)+1,1)/1000000</f>
        <v>10.428420309352932</v>
      </c>
      <c r="U205" s="77" t="e">
        <f>IF(T!$A$4&gt;=MONTH(S205),VLOOKUP(S205,'[8]Podklady MZ'!$R$2:$S$367,2,FALSE),NA())</f>
        <v>#N/A</v>
      </c>
      <c r="V205" s="176">
        <f>INDEX([5]PT!$AF$16:$AF$381,DATE(2016,MONTH(S205),DAY(S205))-DATE(2016,1,1)+1,1)</f>
        <v>0</v>
      </c>
      <c r="W205" s="176">
        <f>IF(T!$A$4&lt;MONTH(S205),VLOOKUP(S205,'[8]Podklady MZ'!$R$2:$S$367,2,FALSE),NA())</f>
        <v>9.3548387096774199</v>
      </c>
    </row>
    <row r="206" spans="19:23" x14ac:dyDescent="0.2">
      <c r="S206" s="76">
        <f t="shared" si="3"/>
        <v>42209</v>
      </c>
      <c r="T206" s="77">
        <f>INDEX([12]ČR!$D$18:$D$383,DATE(2016,MONTH(S206),DAY(S206))-DATE(2016,1,1)+1,1)/1000000</f>
        <v>10.63011751680351</v>
      </c>
      <c r="U206" s="77" t="e">
        <f>IF(T!$A$4&gt;=MONTH(S206),VLOOKUP(S206,'[8]Podklady MZ'!$R$2:$S$367,2,FALSE),NA())</f>
        <v>#N/A</v>
      </c>
      <c r="V206" s="176">
        <f>INDEX([5]PT!$AF$16:$AF$381,DATE(2016,MONTH(S206),DAY(S206))-DATE(2016,1,1)+1,1)</f>
        <v>0</v>
      </c>
      <c r="W206" s="176">
        <f>IF(T!$A$4&lt;MONTH(S206),VLOOKUP(S206,'[8]Podklady MZ'!$R$2:$S$367,2,FALSE),NA())</f>
        <v>9.3548387096774199</v>
      </c>
    </row>
    <row r="207" spans="19:23" x14ac:dyDescent="0.2">
      <c r="S207" s="76">
        <f t="shared" si="3"/>
        <v>42210</v>
      </c>
      <c r="T207" s="77">
        <f>INDEX([12]ČR!$D$18:$D$383,DATE(2016,MONTH(S207),DAY(S207))-DATE(2016,1,1)+1,1)/1000000</f>
        <v>10.150119335925959</v>
      </c>
      <c r="U207" s="77" t="e">
        <f>IF(T!$A$4&gt;=MONTH(S207),VLOOKUP(S207,'[8]Podklady MZ'!$R$2:$S$367,2,FALSE),NA())</f>
        <v>#N/A</v>
      </c>
      <c r="V207" s="176">
        <f>INDEX([5]PT!$AF$16:$AF$381,DATE(2016,MONTH(S207),DAY(S207))-DATE(2016,1,1)+1,1)</f>
        <v>0</v>
      </c>
      <c r="W207" s="176">
        <f>IF(T!$A$4&lt;MONTH(S207),VLOOKUP(S207,'[8]Podklady MZ'!$R$2:$S$367,2,FALSE),NA())</f>
        <v>9.3548387096774199</v>
      </c>
    </row>
    <row r="208" spans="19:23" x14ac:dyDescent="0.2">
      <c r="S208" s="76">
        <f t="shared" si="3"/>
        <v>42211</v>
      </c>
      <c r="T208" s="77">
        <f>INDEX([12]ČR!$D$18:$D$383,DATE(2016,MONTH(S208),DAY(S208))-DATE(2016,1,1)+1,1)/1000000</f>
        <v>8.739314200288657</v>
      </c>
      <c r="U208" s="77" t="e">
        <f>IF(T!$A$4&gt;=MONTH(S208),VLOOKUP(S208,'[8]Podklady MZ'!$R$2:$S$367,2,FALSE),NA())</f>
        <v>#N/A</v>
      </c>
      <c r="V208" s="176">
        <f>INDEX([5]PT!$AF$16:$AF$381,DATE(2016,MONTH(S208),DAY(S208))-DATE(2016,1,1)+1,1)</f>
        <v>0</v>
      </c>
      <c r="W208" s="176">
        <f>IF(T!$A$4&lt;MONTH(S208),VLOOKUP(S208,'[8]Podklady MZ'!$R$2:$S$367,2,FALSE),NA())</f>
        <v>9.3548387096774199</v>
      </c>
    </row>
    <row r="209" spans="19:23" x14ac:dyDescent="0.2">
      <c r="S209" s="76">
        <f t="shared" si="3"/>
        <v>42212</v>
      </c>
      <c r="T209" s="77">
        <f>INDEX([12]ČR!$D$18:$D$383,DATE(2016,MONTH(S209),DAY(S209))-DATE(2016,1,1)+1,1)/1000000</f>
        <v>8.6554588637650465</v>
      </c>
      <c r="U209" s="77" t="e">
        <f>IF(T!$A$4&gt;=MONTH(S209),VLOOKUP(S209,'[8]Podklady MZ'!$R$2:$S$367,2,FALSE),NA())</f>
        <v>#N/A</v>
      </c>
      <c r="V209" s="176">
        <f>INDEX([5]PT!$AF$16:$AF$381,DATE(2016,MONTH(S209),DAY(S209))-DATE(2016,1,1)+1,1)</f>
        <v>0</v>
      </c>
      <c r="W209" s="176">
        <f>IF(T!$A$4&lt;MONTH(S209),VLOOKUP(S209,'[8]Podklady MZ'!$R$2:$S$367,2,FALSE),NA())</f>
        <v>9.3548387096774199</v>
      </c>
    </row>
    <row r="210" spans="19:23" x14ac:dyDescent="0.2">
      <c r="S210" s="76">
        <f t="shared" si="3"/>
        <v>42213</v>
      </c>
      <c r="T210" s="77">
        <f>INDEX([12]ČR!$D$18:$D$383,DATE(2016,MONTH(S210),DAY(S210))-DATE(2016,1,1)+1,1)/1000000</f>
        <v>10.007400528645363</v>
      </c>
      <c r="U210" s="77" t="e">
        <f>IF(T!$A$4&gt;=MONTH(S210),VLOOKUP(S210,'[8]Podklady MZ'!$R$2:$S$367,2,FALSE),NA())</f>
        <v>#N/A</v>
      </c>
      <c r="V210" s="176">
        <f>INDEX([5]PT!$AF$16:$AF$381,DATE(2016,MONTH(S210),DAY(S210))-DATE(2016,1,1)+1,1)</f>
        <v>0</v>
      </c>
      <c r="W210" s="176">
        <f>IF(T!$A$4&lt;MONTH(S210),VLOOKUP(S210,'[8]Podklady MZ'!$R$2:$S$367,2,FALSE),NA())</f>
        <v>9.3548387096774199</v>
      </c>
    </row>
    <row r="211" spans="19:23" x14ac:dyDescent="0.2">
      <c r="S211" s="76">
        <f t="shared" si="3"/>
        <v>42214</v>
      </c>
      <c r="T211" s="77">
        <f>INDEX([12]ČR!$D$18:$D$383,DATE(2016,MONTH(S211),DAY(S211))-DATE(2016,1,1)+1,1)/1000000</f>
        <v>9.3544529085270369</v>
      </c>
      <c r="U211" s="77" t="e">
        <f>IF(T!$A$4&gt;=MONTH(S211),VLOOKUP(S211,'[8]Podklady MZ'!$R$2:$S$367,2,FALSE),NA())</f>
        <v>#N/A</v>
      </c>
      <c r="V211" s="176">
        <f>INDEX([5]PT!$AF$16:$AF$381,DATE(2016,MONTH(S211),DAY(S211))-DATE(2016,1,1)+1,1)</f>
        <v>0</v>
      </c>
      <c r="W211" s="176">
        <f>IF(T!$A$4&lt;MONTH(S211),VLOOKUP(S211,'[8]Podklady MZ'!$R$2:$S$367,2,FALSE),NA())</f>
        <v>9.3548387096774199</v>
      </c>
    </row>
    <row r="212" spans="19:23" x14ac:dyDescent="0.2">
      <c r="S212" s="76">
        <f t="shared" si="3"/>
        <v>42215</v>
      </c>
      <c r="T212" s="77">
        <f>INDEX([12]ČR!$D$18:$D$383,DATE(2016,MONTH(S212),DAY(S212))-DATE(2016,1,1)+1,1)/1000000</f>
        <v>9.4523264471237418</v>
      </c>
      <c r="U212" s="77" t="e">
        <f>IF(T!$A$4&gt;=MONTH(S212),VLOOKUP(S212,'[8]Podklady MZ'!$R$2:$S$367,2,FALSE),NA())</f>
        <v>#N/A</v>
      </c>
      <c r="V212" s="176">
        <f>INDEX([5]PT!$AF$16:$AF$381,DATE(2016,MONTH(S212),DAY(S212))-DATE(2016,1,1)+1,1)</f>
        <v>0</v>
      </c>
      <c r="W212" s="176">
        <f>IF(T!$A$4&lt;MONTH(S212),VLOOKUP(S212,'[8]Podklady MZ'!$R$2:$S$367,2,FALSE),NA())</f>
        <v>9.3548387096774199</v>
      </c>
    </row>
    <row r="213" spans="19:23" x14ac:dyDescent="0.2">
      <c r="S213" s="76">
        <f t="shared" si="3"/>
        <v>42216</v>
      </c>
      <c r="T213" s="77">
        <f>INDEX([12]ČR!$D$18:$D$383,DATE(2016,MONTH(S213),DAY(S213))-DATE(2016,1,1)+1,1)/1000000</f>
        <v>9.2471253614376749</v>
      </c>
      <c r="U213" s="77" t="e">
        <f>IF(T!$A$4&gt;=MONTH(S213),VLOOKUP(S213,'[8]Podklady MZ'!$R$2:$S$367,2,FALSE),NA())</f>
        <v>#N/A</v>
      </c>
      <c r="V213" s="176">
        <f>INDEX([5]PT!$AF$16:$AF$381,DATE(2016,MONTH(S213),DAY(S213))-DATE(2016,1,1)+1,1)</f>
        <v>0</v>
      </c>
      <c r="W213" s="176">
        <f>IF(T!$A$4&lt;MONTH(S213),VLOOKUP(S213,'[8]Podklady MZ'!$R$2:$S$367,2,FALSE),NA())</f>
        <v>9.3548387096774199</v>
      </c>
    </row>
    <row r="214" spans="19:23" x14ac:dyDescent="0.2">
      <c r="S214" s="76">
        <f t="shared" si="3"/>
        <v>42217</v>
      </c>
      <c r="T214" s="77">
        <f>INDEX([12]ČR!$D$18:$D$383,DATE(2016,MONTH(S214),DAY(S214))-DATE(2016,1,1)+1,1)/1000000</f>
        <v>8.7526101351575232</v>
      </c>
      <c r="U214" s="77" t="e">
        <f>IF(T!$A$4&gt;=MONTH(S214),VLOOKUP(S214,'[8]Podklady MZ'!$R$2:$S$367,2,FALSE),NA())</f>
        <v>#N/A</v>
      </c>
      <c r="V214" s="176">
        <f>INDEX([5]PT!$AF$16:$AF$381,DATE(2016,MONTH(S214),DAY(S214))-DATE(2016,1,1)+1,1)</f>
        <v>0</v>
      </c>
      <c r="W214" s="176">
        <f>IF(T!$A$4&lt;MONTH(S214),VLOOKUP(S214,'[8]Podklady MZ'!$R$2:$S$367,2,FALSE),NA())</f>
        <v>9.3548387096774199</v>
      </c>
    </row>
    <row r="215" spans="19:23" x14ac:dyDescent="0.2">
      <c r="S215" s="76">
        <f t="shared" si="3"/>
        <v>42218</v>
      </c>
      <c r="T215" s="77">
        <f>INDEX([12]ČR!$D$18:$D$383,DATE(2016,MONTH(S215),DAY(S215))-DATE(2016,1,1)+1,1)/1000000</f>
        <v>7.3398109362101893</v>
      </c>
      <c r="U215" s="77" t="e">
        <f>IF(T!$A$4&gt;=MONTH(S215),VLOOKUP(S215,'[8]Podklady MZ'!$R$2:$S$367,2,FALSE),NA())</f>
        <v>#N/A</v>
      </c>
      <c r="V215" s="176">
        <f>INDEX([5]PT!$AF$16:$AF$381,DATE(2016,MONTH(S215),DAY(S215))-DATE(2016,1,1)+1,1)</f>
        <v>0</v>
      </c>
      <c r="W215" s="176">
        <f>IF(T!$A$4&lt;MONTH(S215),VLOOKUP(S215,'[8]Podklady MZ'!$R$2:$S$367,2,FALSE),NA())</f>
        <v>9.3548387096774199</v>
      </c>
    </row>
    <row r="216" spans="19:23" x14ac:dyDescent="0.2">
      <c r="S216" s="76">
        <f t="shared" si="3"/>
        <v>42219</v>
      </c>
      <c r="T216" s="77">
        <f>INDEX([12]ČR!$D$18:$D$383,DATE(2016,MONTH(S216),DAY(S216))-DATE(2016,1,1)+1,1)/1000000</f>
        <v>7.4255598574784685</v>
      </c>
      <c r="U216" s="77" t="e">
        <f>IF(T!$A$4&gt;=MONTH(S216),VLOOKUP(S216,'[8]Podklady MZ'!$R$2:$S$367,2,FALSE),NA())</f>
        <v>#N/A</v>
      </c>
      <c r="V216" s="176">
        <f>INDEX([5]PT!$AF$16:$AF$381,DATE(2016,MONTH(S216),DAY(S216))-DATE(2016,1,1)+1,1)</f>
        <v>0</v>
      </c>
      <c r="W216" s="176">
        <f>IF(T!$A$4&lt;MONTH(S216),VLOOKUP(S216,'[8]Podklady MZ'!$R$2:$S$367,2,FALSE),NA())</f>
        <v>9.3548387096774199</v>
      </c>
    </row>
    <row r="217" spans="19:23" x14ac:dyDescent="0.2">
      <c r="S217" s="76">
        <f t="shared" si="3"/>
        <v>42220</v>
      </c>
      <c r="T217" s="77">
        <f>INDEX([12]ČR!$D$18:$D$383,DATE(2016,MONTH(S217),DAY(S217))-DATE(2016,1,1)+1,1)/1000000</f>
        <v>9.928633428250226</v>
      </c>
      <c r="U217" s="77" t="e">
        <f>IF(T!$A$4&gt;=MONTH(S217),VLOOKUP(S217,'[8]Podklady MZ'!$R$2:$S$367,2,FALSE),NA())</f>
        <v>#N/A</v>
      </c>
      <c r="V217" s="176">
        <f>INDEX([5]PT!$AF$16:$AF$381,DATE(2016,MONTH(S217),DAY(S217))-DATE(2016,1,1)+1,1)</f>
        <v>0</v>
      </c>
      <c r="W217" s="176">
        <f>IF(T!$A$4&lt;MONTH(S217),VLOOKUP(S217,'[8]Podklady MZ'!$R$2:$S$367,2,FALSE),NA())</f>
        <v>9.3548387096774199</v>
      </c>
    </row>
    <row r="218" spans="19:23" x14ac:dyDescent="0.2">
      <c r="S218" s="76">
        <f t="shared" si="3"/>
        <v>42221</v>
      </c>
      <c r="T218" s="77">
        <f>INDEX([12]ČR!$D$18:$D$383,DATE(2016,MONTH(S218),DAY(S218))-DATE(2016,1,1)+1,1)/1000000</f>
        <v>9.0057527470622318</v>
      </c>
      <c r="U218" s="77" t="e">
        <f>IF(T!$A$4&gt;=MONTH(S218),VLOOKUP(S218,'[8]Podklady MZ'!$R$2:$S$367,2,FALSE),NA())</f>
        <v>#N/A</v>
      </c>
      <c r="V218" s="176">
        <f>INDEX([5]PT!$AF$16:$AF$381,DATE(2016,MONTH(S218),DAY(S218))-DATE(2016,1,1)+1,1)</f>
        <v>0</v>
      </c>
      <c r="W218" s="176">
        <f>IF(T!$A$4&lt;MONTH(S218),VLOOKUP(S218,'[8]Podklady MZ'!$R$2:$S$367,2,FALSE),NA())</f>
        <v>9.3548387096774199</v>
      </c>
    </row>
    <row r="219" spans="19:23" x14ac:dyDescent="0.2">
      <c r="S219" s="76">
        <f t="shared" si="3"/>
        <v>42222</v>
      </c>
      <c r="T219" s="77">
        <f>INDEX([12]ČR!$D$18:$D$383,DATE(2016,MONTH(S219),DAY(S219))-DATE(2016,1,1)+1,1)/1000000</f>
        <v>9.0292564269688711</v>
      </c>
      <c r="U219" s="77" t="e">
        <f>IF(T!$A$4&gt;=MONTH(S219),VLOOKUP(S219,'[8]Podklady MZ'!$R$2:$S$367,2,FALSE),NA())</f>
        <v>#N/A</v>
      </c>
      <c r="V219" s="176">
        <f>INDEX([5]PT!$AF$16:$AF$381,DATE(2016,MONTH(S219),DAY(S219))-DATE(2016,1,1)+1,1)</f>
        <v>0</v>
      </c>
      <c r="W219" s="176">
        <f>IF(T!$A$4&lt;MONTH(S219),VLOOKUP(S219,'[8]Podklady MZ'!$R$2:$S$367,2,FALSE),NA())</f>
        <v>9.3548387096774199</v>
      </c>
    </row>
    <row r="220" spans="19:23" x14ac:dyDescent="0.2">
      <c r="S220" s="76">
        <f t="shared" si="3"/>
        <v>42223</v>
      </c>
      <c r="T220" s="77">
        <f>INDEX([12]ČR!$D$18:$D$383,DATE(2016,MONTH(S220),DAY(S220))-DATE(2016,1,1)+1,1)/1000000</f>
        <v>10.520128208517267</v>
      </c>
      <c r="U220" s="77" t="e">
        <f>IF(T!$A$4&gt;=MONTH(S220),VLOOKUP(S220,'[8]Podklady MZ'!$R$2:$S$367,2,FALSE),NA())</f>
        <v>#N/A</v>
      </c>
      <c r="V220" s="176">
        <f>INDEX([5]PT!$AF$16:$AF$381,DATE(2016,MONTH(S220),DAY(S220))-DATE(2016,1,1)+1,1)</f>
        <v>0</v>
      </c>
      <c r="W220" s="176">
        <f>IF(T!$A$4&lt;MONTH(S220),VLOOKUP(S220,'[8]Podklady MZ'!$R$2:$S$367,2,FALSE),NA())</f>
        <v>9.3548387096774199</v>
      </c>
    </row>
    <row r="221" spans="19:23" x14ac:dyDescent="0.2">
      <c r="S221" s="76">
        <f t="shared" si="3"/>
        <v>42224</v>
      </c>
      <c r="T221" s="77">
        <f>INDEX([12]ČR!$D$18:$D$383,DATE(2016,MONTH(S221),DAY(S221))-DATE(2016,1,1)+1,1)/1000000</f>
        <v>9.7839386392334209</v>
      </c>
      <c r="U221" s="77" t="e">
        <f>IF(T!$A$4&gt;=MONTH(S221),VLOOKUP(S221,'[8]Podklady MZ'!$R$2:$S$367,2,FALSE),NA())</f>
        <v>#N/A</v>
      </c>
      <c r="V221" s="176">
        <f>INDEX([5]PT!$AF$16:$AF$381,DATE(2016,MONTH(S221),DAY(S221))-DATE(2016,1,1)+1,1)</f>
        <v>0</v>
      </c>
      <c r="W221" s="176">
        <f>IF(T!$A$4&lt;MONTH(S221),VLOOKUP(S221,'[8]Podklady MZ'!$R$2:$S$367,2,FALSE),NA())</f>
        <v>9.3548387096774199</v>
      </c>
    </row>
    <row r="222" spans="19:23" x14ac:dyDescent="0.2">
      <c r="S222" s="76">
        <f t="shared" si="3"/>
        <v>42225</v>
      </c>
      <c r="T222" s="77">
        <f>INDEX([12]ČR!$D$18:$D$383,DATE(2016,MONTH(S222),DAY(S222))-DATE(2016,1,1)+1,1)/1000000</f>
        <v>7.0910306035338904</v>
      </c>
      <c r="U222" s="77" t="e">
        <f>IF(T!$A$4&gt;=MONTH(S222),VLOOKUP(S222,'[8]Podklady MZ'!$R$2:$S$367,2,FALSE),NA())</f>
        <v>#N/A</v>
      </c>
      <c r="V222" s="176">
        <f>INDEX([5]PT!$AF$16:$AF$381,DATE(2016,MONTH(S222),DAY(S222))-DATE(2016,1,1)+1,1)</f>
        <v>0</v>
      </c>
      <c r="W222" s="176">
        <f>IF(T!$A$4&lt;MONTH(S222),VLOOKUP(S222,'[8]Podklady MZ'!$R$2:$S$367,2,FALSE),NA())</f>
        <v>9.3548387096774199</v>
      </c>
    </row>
    <row r="223" spans="19:23" x14ac:dyDescent="0.2">
      <c r="S223" s="76">
        <f t="shared" si="3"/>
        <v>42226</v>
      </c>
      <c r="T223" s="77">
        <f>INDEX([12]ČR!$D$18:$D$383,DATE(2016,MONTH(S223),DAY(S223))-DATE(2016,1,1)+1,1)/1000000</f>
        <v>7.1634838935834511</v>
      </c>
      <c r="U223" s="77" t="e">
        <f>IF(T!$A$4&gt;=MONTH(S223),VLOOKUP(S223,'[8]Podklady MZ'!$R$2:$S$367,2,FALSE),NA())</f>
        <v>#N/A</v>
      </c>
      <c r="V223" s="176">
        <f>INDEX([5]PT!$AF$16:$AF$381,DATE(2016,MONTH(S223),DAY(S223))-DATE(2016,1,1)+1,1)</f>
        <v>0</v>
      </c>
      <c r="W223" s="176">
        <f>IF(T!$A$4&lt;MONTH(S223),VLOOKUP(S223,'[8]Podklady MZ'!$R$2:$S$367,2,FALSE),NA())</f>
        <v>9.3548387096774199</v>
      </c>
    </row>
    <row r="224" spans="19:23" x14ac:dyDescent="0.2">
      <c r="S224" s="76">
        <f t="shared" si="3"/>
        <v>42227</v>
      </c>
      <c r="T224" s="77">
        <f>INDEX([12]ČR!$D$18:$D$383,DATE(2016,MONTH(S224),DAY(S224))-DATE(2016,1,1)+1,1)/1000000</f>
        <v>8.8331045259040213</v>
      </c>
      <c r="U224" s="77" t="e">
        <f>IF(T!$A$4&gt;=MONTH(S224),VLOOKUP(S224,'[8]Podklady MZ'!$R$2:$S$367,2,FALSE),NA())</f>
        <v>#N/A</v>
      </c>
      <c r="V224" s="176">
        <f>INDEX([5]PT!$AF$16:$AF$381,DATE(2016,MONTH(S224),DAY(S224))-DATE(2016,1,1)+1,1)</f>
        <v>0</v>
      </c>
      <c r="W224" s="176">
        <f>IF(T!$A$4&lt;MONTH(S224),VLOOKUP(S224,'[8]Podklady MZ'!$R$2:$S$367,2,FALSE),NA())</f>
        <v>9.3548387096774199</v>
      </c>
    </row>
    <row r="225" spans="19:23" x14ac:dyDescent="0.2">
      <c r="S225" s="76">
        <f t="shared" si="3"/>
        <v>42228</v>
      </c>
      <c r="T225" s="77">
        <f>INDEX([12]ČR!$D$18:$D$383,DATE(2016,MONTH(S225),DAY(S225))-DATE(2016,1,1)+1,1)/1000000</f>
        <v>9.248917129711181</v>
      </c>
      <c r="U225" s="77" t="e">
        <f>IF(T!$A$4&gt;=MONTH(S225),VLOOKUP(S225,'[8]Podklady MZ'!$R$2:$S$367,2,FALSE),NA())</f>
        <v>#N/A</v>
      </c>
      <c r="V225" s="176">
        <f>INDEX([5]PT!$AF$16:$AF$381,DATE(2016,MONTH(S225),DAY(S225))-DATE(2016,1,1)+1,1)</f>
        <v>0</v>
      </c>
      <c r="W225" s="176">
        <f>IF(T!$A$4&lt;MONTH(S225),VLOOKUP(S225,'[8]Podklady MZ'!$R$2:$S$367,2,FALSE),NA())</f>
        <v>9.3548387096774199</v>
      </c>
    </row>
    <row r="226" spans="19:23" x14ac:dyDescent="0.2">
      <c r="S226" s="76">
        <f t="shared" si="3"/>
        <v>42229</v>
      </c>
      <c r="T226" s="77">
        <f>INDEX([12]ČR!$D$18:$D$383,DATE(2016,MONTH(S226),DAY(S226))-DATE(2016,1,1)+1,1)/1000000</f>
        <v>9.5495590540677178</v>
      </c>
      <c r="U226" s="77" t="e">
        <f>IF(T!$A$4&gt;=MONTH(S226),VLOOKUP(S226,'[8]Podklady MZ'!$R$2:$S$367,2,FALSE),NA())</f>
        <v>#N/A</v>
      </c>
      <c r="V226" s="176">
        <f>INDEX([5]PT!$AF$16:$AF$381,DATE(2016,MONTH(S226),DAY(S226))-DATE(2016,1,1)+1,1)</f>
        <v>0</v>
      </c>
      <c r="W226" s="176">
        <f>IF(T!$A$4&lt;MONTH(S226),VLOOKUP(S226,'[8]Podklady MZ'!$R$2:$S$367,2,FALSE),NA())</f>
        <v>9.3548387096774199</v>
      </c>
    </row>
    <row r="227" spans="19:23" x14ac:dyDescent="0.2">
      <c r="S227" s="76">
        <f t="shared" si="3"/>
        <v>42230</v>
      </c>
      <c r="T227" s="77">
        <f>INDEX([12]ČR!$D$18:$D$383,DATE(2016,MONTH(S227),DAY(S227))-DATE(2016,1,1)+1,1)/1000000</f>
        <v>9.7385542915261478</v>
      </c>
      <c r="U227" s="77" t="e">
        <f>IF(T!$A$4&gt;=MONTH(S227),VLOOKUP(S227,'[8]Podklady MZ'!$R$2:$S$367,2,FALSE),NA())</f>
        <v>#N/A</v>
      </c>
      <c r="V227" s="176">
        <f>INDEX([5]PT!$AF$16:$AF$381,DATE(2016,MONTH(S227),DAY(S227))-DATE(2016,1,1)+1,1)</f>
        <v>0</v>
      </c>
      <c r="W227" s="176">
        <f>IF(T!$A$4&lt;MONTH(S227),VLOOKUP(S227,'[8]Podklady MZ'!$R$2:$S$367,2,FALSE),NA())</f>
        <v>9.3548387096774199</v>
      </c>
    </row>
    <row r="228" spans="19:23" x14ac:dyDescent="0.2">
      <c r="S228" s="76">
        <f t="shared" si="3"/>
        <v>42231</v>
      </c>
      <c r="T228" s="77">
        <f>INDEX([12]ČR!$D$18:$D$383,DATE(2016,MONTH(S228),DAY(S228))-DATE(2016,1,1)+1,1)/1000000</f>
        <v>9.4648779405683712</v>
      </c>
      <c r="U228" s="77" t="e">
        <f>IF(T!$A$4&gt;=MONTH(S228),VLOOKUP(S228,'[8]Podklady MZ'!$R$2:$S$367,2,FALSE),NA())</f>
        <v>#N/A</v>
      </c>
      <c r="V228" s="176">
        <f>INDEX([5]PT!$AF$16:$AF$381,DATE(2016,MONTH(S228),DAY(S228))-DATE(2016,1,1)+1,1)</f>
        <v>0</v>
      </c>
      <c r="W228" s="176">
        <f>IF(T!$A$4&lt;MONTH(S228),VLOOKUP(S228,'[8]Podklady MZ'!$R$2:$S$367,2,FALSE),NA())</f>
        <v>9.3548387096774199</v>
      </c>
    </row>
    <row r="229" spans="19:23" x14ac:dyDescent="0.2">
      <c r="S229" s="76">
        <f t="shared" si="3"/>
        <v>42232</v>
      </c>
      <c r="T229" s="77">
        <f>INDEX([12]ČR!$D$18:$D$383,DATE(2016,MONTH(S229),DAY(S229))-DATE(2016,1,1)+1,1)/1000000</f>
        <v>8.1674339130343689</v>
      </c>
      <c r="U229" s="77" t="e">
        <f>IF(T!$A$4&gt;=MONTH(S229),VLOOKUP(S229,'[8]Podklady MZ'!$R$2:$S$367,2,FALSE),NA())</f>
        <v>#N/A</v>
      </c>
      <c r="V229" s="176">
        <f>INDEX([5]PT!$AF$16:$AF$381,DATE(2016,MONTH(S229),DAY(S229))-DATE(2016,1,1)+1,1)</f>
        <v>0</v>
      </c>
      <c r="W229" s="176">
        <f>IF(T!$A$4&lt;MONTH(S229),VLOOKUP(S229,'[8]Podklady MZ'!$R$2:$S$367,2,FALSE),NA())</f>
        <v>9.3548387096774199</v>
      </c>
    </row>
    <row r="230" spans="19:23" x14ac:dyDescent="0.2">
      <c r="S230" s="76">
        <f t="shared" si="3"/>
        <v>42233</v>
      </c>
      <c r="T230" s="77">
        <f>INDEX([12]ČR!$D$18:$D$383,DATE(2016,MONTH(S230),DAY(S230))-DATE(2016,1,1)+1,1)/1000000</f>
        <v>8.2641739384361408</v>
      </c>
      <c r="U230" s="77" t="e">
        <f>IF(T!$A$4&gt;=MONTH(S230),VLOOKUP(S230,'[8]Podklady MZ'!$R$2:$S$367,2,FALSE),NA())</f>
        <v>#N/A</v>
      </c>
      <c r="V230" s="176">
        <f>INDEX([5]PT!$AF$16:$AF$381,DATE(2016,MONTH(S230),DAY(S230))-DATE(2016,1,1)+1,1)</f>
        <v>0</v>
      </c>
      <c r="W230" s="176">
        <f>IF(T!$A$4&lt;MONTH(S230),VLOOKUP(S230,'[8]Podklady MZ'!$R$2:$S$367,2,FALSE),NA())</f>
        <v>9.3548387096774199</v>
      </c>
    </row>
    <row r="231" spans="19:23" x14ac:dyDescent="0.2">
      <c r="S231" s="76">
        <f t="shared" si="3"/>
        <v>42234</v>
      </c>
      <c r="T231" s="77">
        <f>INDEX([12]ČR!$D$18:$D$383,DATE(2016,MONTH(S231),DAY(S231))-DATE(2016,1,1)+1,1)/1000000</f>
        <v>10.437155900913542</v>
      </c>
      <c r="U231" s="77" t="e">
        <f>IF(T!$A$4&gt;=MONTH(S231),VLOOKUP(S231,'[8]Podklady MZ'!$R$2:$S$367,2,FALSE),NA())</f>
        <v>#N/A</v>
      </c>
      <c r="V231" s="176">
        <f>INDEX([5]PT!$AF$16:$AF$381,DATE(2016,MONTH(S231),DAY(S231))-DATE(2016,1,1)+1,1)</f>
        <v>0</v>
      </c>
      <c r="W231" s="176">
        <f>IF(T!$A$4&lt;MONTH(S231),VLOOKUP(S231,'[8]Podklady MZ'!$R$2:$S$367,2,FALSE),NA())</f>
        <v>9.3548387096774199</v>
      </c>
    </row>
    <row r="232" spans="19:23" x14ac:dyDescent="0.2">
      <c r="S232" s="76">
        <f t="shared" si="3"/>
        <v>42235</v>
      </c>
      <c r="T232" s="77">
        <f>INDEX([12]ČR!$D$18:$D$383,DATE(2016,MONTH(S232),DAY(S232))-DATE(2016,1,1)+1,1)/1000000</f>
        <v>10.817177006758481</v>
      </c>
      <c r="U232" s="77" t="e">
        <f>IF(T!$A$4&gt;=MONTH(S232),VLOOKUP(S232,'[8]Podklady MZ'!$R$2:$S$367,2,FALSE),NA())</f>
        <v>#N/A</v>
      </c>
      <c r="V232" s="176">
        <f>INDEX([5]PT!$AF$16:$AF$381,DATE(2016,MONTH(S232),DAY(S232))-DATE(2016,1,1)+1,1)</f>
        <v>0</v>
      </c>
      <c r="W232" s="176">
        <f>IF(T!$A$4&lt;MONTH(S232),VLOOKUP(S232,'[8]Podklady MZ'!$R$2:$S$367,2,FALSE),NA())</f>
        <v>9.3548387096774199</v>
      </c>
    </row>
    <row r="233" spans="19:23" x14ac:dyDescent="0.2">
      <c r="S233" s="76">
        <f t="shared" si="3"/>
        <v>42236</v>
      </c>
      <c r="T233" s="77">
        <f>INDEX([12]ČR!$D$18:$D$383,DATE(2016,MONTH(S233),DAY(S233))-DATE(2016,1,1)+1,1)/1000000</f>
        <v>10.876105489382656</v>
      </c>
      <c r="U233" s="77" t="e">
        <f>IF(T!$A$4&gt;=MONTH(S233),VLOOKUP(S233,'[8]Podklady MZ'!$R$2:$S$367,2,FALSE),NA())</f>
        <v>#N/A</v>
      </c>
      <c r="V233" s="176">
        <f>INDEX([5]PT!$AF$16:$AF$381,DATE(2016,MONTH(S233),DAY(S233))-DATE(2016,1,1)+1,1)</f>
        <v>0</v>
      </c>
      <c r="W233" s="176">
        <f>IF(T!$A$4&lt;MONTH(S233),VLOOKUP(S233,'[8]Podklady MZ'!$R$2:$S$367,2,FALSE),NA())</f>
        <v>9.3548387096774199</v>
      </c>
    </row>
    <row r="234" spans="19:23" x14ac:dyDescent="0.2">
      <c r="S234" s="76">
        <f t="shared" si="3"/>
        <v>42237</v>
      </c>
      <c r="T234" s="77">
        <f>INDEX([12]ČR!$D$18:$D$383,DATE(2016,MONTH(S234),DAY(S234))-DATE(2016,1,1)+1,1)/1000000</f>
        <v>11.291716303982307</v>
      </c>
      <c r="U234" s="77" t="e">
        <f>IF(T!$A$4&gt;=MONTH(S234),VLOOKUP(S234,'[8]Podklady MZ'!$R$2:$S$367,2,FALSE),NA())</f>
        <v>#N/A</v>
      </c>
      <c r="V234" s="176">
        <f>INDEX([5]PT!$AF$16:$AF$381,DATE(2016,MONTH(S234),DAY(S234))-DATE(2016,1,1)+1,1)</f>
        <v>0</v>
      </c>
      <c r="W234" s="176">
        <f>IF(T!$A$4&lt;MONTH(S234),VLOOKUP(S234,'[8]Podklady MZ'!$R$2:$S$367,2,FALSE),NA())</f>
        <v>9.3548387096774199</v>
      </c>
    </row>
    <row r="235" spans="19:23" x14ac:dyDescent="0.2">
      <c r="S235" s="76">
        <f t="shared" si="3"/>
        <v>42238</v>
      </c>
      <c r="T235" s="77">
        <f>INDEX([12]ČR!$D$18:$D$383,DATE(2016,MONTH(S235),DAY(S235))-DATE(2016,1,1)+1,1)/1000000</f>
        <v>10.608889207773215</v>
      </c>
      <c r="U235" s="77" t="e">
        <f>IF(T!$A$4&gt;=MONTH(S235),VLOOKUP(S235,'[8]Podklady MZ'!$R$2:$S$367,2,FALSE),NA())</f>
        <v>#N/A</v>
      </c>
      <c r="V235" s="176">
        <f>INDEX([5]PT!$AF$16:$AF$381,DATE(2016,MONTH(S235),DAY(S235))-DATE(2016,1,1)+1,1)</f>
        <v>0</v>
      </c>
      <c r="W235" s="176">
        <f>IF(T!$A$4&lt;MONTH(S235),VLOOKUP(S235,'[8]Podklady MZ'!$R$2:$S$367,2,FALSE),NA())</f>
        <v>9.3548387096774199</v>
      </c>
    </row>
    <row r="236" spans="19:23" x14ac:dyDescent="0.2">
      <c r="S236" s="76">
        <f t="shared" si="3"/>
        <v>42239</v>
      </c>
      <c r="T236" s="77">
        <f>INDEX([12]ČR!$D$18:$D$383,DATE(2016,MONTH(S236),DAY(S236))-DATE(2016,1,1)+1,1)/1000000</f>
        <v>9.0766717210401815</v>
      </c>
      <c r="U236" s="77" t="e">
        <f>IF(T!$A$4&gt;=MONTH(S236),VLOOKUP(S236,'[8]Podklady MZ'!$R$2:$S$367,2,FALSE),NA())</f>
        <v>#N/A</v>
      </c>
      <c r="V236" s="176">
        <f>INDEX([5]PT!$AF$16:$AF$381,DATE(2016,MONTH(S236),DAY(S236))-DATE(2016,1,1)+1,1)</f>
        <v>0</v>
      </c>
      <c r="W236" s="176">
        <f>IF(T!$A$4&lt;MONTH(S236),VLOOKUP(S236,'[8]Podklady MZ'!$R$2:$S$367,2,FALSE),NA())</f>
        <v>9.3548387096774199</v>
      </c>
    </row>
    <row r="237" spans="19:23" x14ac:dyDescent="0.2">
      <c r="S237" s="76">
        <f t="shared" si="3"/>
        <v>42240</v>
      </c>
      <c r="T237" s="77">
        <f>INDEX([12]ČR!$D$18:$D$383,DATE(2016,MONTH(S237),DAY(S237))-DATE(2016,1,1)+1,1)/1000000</f>
        <v>9.6811858112596934</v>
      </c>
      <c r="U237" s="77" t="e">
        <f>IF(T!$A$4&gt;=MONTH(S237),VLOOKUP(S237,'[8]Podklady MZ'!$R$2:$S$367,2,FALSE),NA())</f>
        <v>#N/A</v>
      </c>
      <c r="V237" s="176">
        <f>INDEX([5]PT!$AF$16:$AF$381,DATE(2016,MONTH(S237),DAY(S237))-DATE(2016,1,1)+1,1)</f>
        <v>0</v>
      </c>
      <c r="W237" s="176">
        <f>IF(T!$A$4&lt;MONTH(S237),VLOOKUP(S237,'[8]Podklady MZ'!$R$2:$S$367,2,FALSE),NA())</f>
        <v>9.3548387096774199</v>
      </c>
    </row>
    <row r="238" spans="19:23" x14ac:dyDescent="0.2">
      <c r="S238" s="76">
        <f t="shared" si="3"/>
        <v>42241</v>
      </c>
      <c r="T238" s="77">
        <f>INDEX([12]ČR!$D$18:$D$383,DATE(2016,MONTH(S238),DAY(S238))-DATE(2016,1,1)+1,1)/1000000</f>
        <v>11.401840931354577</v>
      </c>
      <c r="U238" s="77" t="e">
        <f>IF(T!$A$4&gt;=MONTH(S238),VLOOKUP(S238,'[8]Podklady MZ'!$R$2:$S$367,2,FALSE),NA())</f>
        <v>#N/A</v>
      </c>
      <c r="V238" s="176">
        <f>INDEX([5]PT!$AF$16:$AF$381,DATE(2016,MONTH(S238),DAY(S238))-DATE(2016,1,1)+1,1)</f>
        <v>0</v>
      </c>
      <c r="W238" s="176">
        <f>IF(T!$A$4&lt;MONTH(S238),VLOOKUP(S238,'[8]Podklady MZ'!$R$2:$S$367,2,FALSE),NA())</f>
        <v>9.3548387096774199</v>
      </c>
    </row>
    <row r="239" spans="19:23" x14ac:dyDescent="0.2">
      <c r="S239" s="76">
        <f t="shared" si="3"/>
        <v>42242</v>
      </c>
      <c r="T239" s="77">
        <f>INDEX([12]ČR!$D$18:$D$383,DATE(2016,MONTH(S239),DAY(S239))-DATE(2016,1,1)+1,1)/1000000</f>
        <v>12.199019353276988</v>
      </c>
      <c r="U239" s="77" t="e">
        <f>IF(T!$A$4&gt;=MONTH(S239),VLOOKUP(S239,'[8]Podklady MZ'!$R$2:$S$367,2,FALSE),NA())</f>
        <v>#N/A</v>
      </c>
      <c r="V239" s="176">
        <f>INDEX([5]PT!$AF$16:$AF$381,DATE(2016,MONTH(S239),DAY(S239))-DATE(2016,1,1)+1,1)</f>
        <v>0</v>
      </c>
      <c r="W239" s="176">
        <f>IF(T!$A$4&lt;MONTH(S239),VLOOKUP(S239,'[8]Podklady MZ'!$R$2:$S$367,2,FALSE),NA())</f>
        <v>9.3548387096774199</v>
      </c>
    </row>
    <row r="240" spans="19:23" x14ac:dyDescent="0.2">
      <c r="S240" s="76">
        <f t="shared" si="3"/>
        <v>42243</v>
      </c>
      <c r="T240" s="77">
        <f>INDEX([12]ČR!$D$18:$D$383,DATE(2016,MONTH(S240),DAY(S240))-DATE(2016,1,1)+1,1)/1000000</f>
        <v>12.040001761096969</v>
      </c>
      <c r="U240" s="77" t="e">
        <f>IF(T!$A$4&gt;=MONTH(S240),VLOOKUP(S240,'[8]Podklady MZ'!$R$2:$S$367,2,FALSE),NA())</f>
        <v>#N/A</v>
      </c>
      <c r="V240" s="176">
        <f>INDEX([5]PT!$AF$16:$AF$381,DATE(2016,MONTH(S240),DAY(S240))-DATE(2016,1,1)+1,1)</f>
        <v>0</v>
      </c>
      <c r="W240" s="176">
        <f>IF(T!$A$4&lt;MONTH(S240),VLOOKUP(S240,'[8]Podklady MZ'!$R$2:$S$367,2,FALSE),NA())</f>
        <v>9.3548387096774199</v>
      </c>
    </row>
    <row r="241" spans="19:23" x14ac:dyDescent="0.2">
      <c r="S241" s="76">
        <f t="shared" si="3"/>
        <v>42244</v>
      </c>
      <c r="T241" s="77">
        <f>INDEX([12]ČR!$D$18:$D$383,DATE(2016,MONTH(S241),DAY(S241))-DATE(2016,1,1)+1,1)/1000000</f>
        <v>11.614278045055139</v>
      </c>
      <c r="U241" s="77" t="e">
        <f>IF(T!$A$4&gt;=MONTH(S241),VLOOKUP(S241,'[8]Podklady MZ'!$R$2:$S$367,2,FALSE),NA())</f>
        <v>#N/A</v>
      </c>
      <c r="V241" s="176">
        <f>INDEX([5]PT!$AF$16:$AF$381,DATE(2016,MONTH(S241),DAY(S241))-DATE(2016,1,1)+1,1)</f>
        <v>0</v>
      </c>
      <c r="W241" s="176">
        <f>IF(T!$A$4&lt;MONTH(S241),VLOOKUP(S241,'[8]Podklady MZ'!$R$2:$S$367,2,FALSE),NA())</f>
        <v>9.3548387096774199</v>
      </c>
    </row>
    <row r="242" spans="19:23" x14ac:dyDescent="0.2">
      <c r="S242" s="76">
        <f t="shared" si="3"/>
        <v>42245</v>
      </c>
      <c r="T242" s="77">
        <f>INDEX([12]ČR!$D$18:$D$383,DATE(2016,MONTH(S242),DAY(S242))-DATE(2016,1,1)+1,1)/1000000</f>
        <v>12.05634528188342</v>
      </c>
      <c r="U242" s="77" t="e">
        <f>IF(T!$A$4&gt;=MONTH(S242),VLOOKUP(S242,'[8]Podklady MZ'!$R$2:$S$367,2,FALSE),NA())</f>
        <v>#N/A</v>
      </c>
      <c r="V242" s="176">
        <f>INDEX([5]PT!$AF$16:$AF$381,DATE(2016,MONTH(S242),DAY(S242))-DATE(2016,1,1)+1,1)</f>
        <v>0</v>
      </c>
      <c r="W242" s="176">
        <f>IF(T!$A$4&lt;MONTH(S242),VLOOKUP(S242,'[8]Podklady MZ'!$R$2:$S$367,2,FALSE),NA())</f>
        <v>9.3548387096774199</v>
      </c>
    </row>
    <row r="243" spans="19:23" x14ac:dyDescent="0.2">
      <c r="S243" s="76">
        <f t="shared" si="3"/>
        <v>42246</v>
      </c>
      <c r="T243" s="77">
        <f>INDEX([12]ČR!$D$18:$D$383,DATE(2016,MONTH(S243),DAY(S243))-DATE(2016,1,1)+1,1)/1000000</f>
        <v>9.031495101169039</v>
      </c>
      <c r="U243" s="77" t="e">
        <f>IF(T!$A$4&gt;=MONTH(S243),VLOOKUP(S243,'[8]Podklady MZ'!$R$2:$S$367,2,FALSE),NA())</f>
        <v>#N/A</v>
      </c>
      <c r="V243" s="176">
        <f>INDEX([5]PT!$AF$16:$AF$381,DATE(2016,MONTH(S243),DAY(S243))-DATE(2016,1,1)+1,1)</f>
        <v>0</v>
      </c>
      <c r="W243" s="176">
        <f>IF(T!$A$4&lt;MONTH(S243),VLOOKUP(S243,'[8]Podklady MZ'!$R$2:$S$367,2,FALSE),NA())</f>
        <v>9.3548387096774199</v>
      </c>
    </row>
    <row r="244" spans="19:23" x14ac:dyDescent="0.2">
      <c r="S244" s="76">
        <f t="shared" si="3"/>
        <v>42247</v>
      </c>
      <c r="T244" s="77">
        <f>INDEX([12]ČR!$D$18:$D$383,DATE(2016,MONTH(S244),DAY(S244))-DATE(2016,1,1)+1,1)/1000000</f>
        <v>9.5905805212413799</v>
      </c>
      <c r="U244" s="77" t="e">
        <f>IF(T!$A$4&gt;=MONTH(S244),VLOOKUP(S244,'[8]Podklady MZ'!$R$2:$S$367,2,FALSE),NA())</f>
        <v>#N/A</v>
      </c>
      <c r="V244" s="176">
        <f>INDEX([5]PT!$AF$16:$AF$381,DATE(2016,MONTH(S244),DAY(S244))-DATE(2016,1,1)+1,1)</f>
        <v>0</v>
      </c>
      <c r="W244" s="176">
        <f>IF(T!$A$4&lt;MONTH(S244),VLOOKUP(S244,'[8]Podklady MZ'!$R$2:$S$367,2,FALSE),NA())</f>
        <v>9.3548387096774199</v>
      </c>
    </row>
    <row r="245" spans="19:23" x14ac:dyDescent="0.2">
      <c r="S245" s="76">
        <f t="shared" si="3"/>
        <v>42248</v>
      </c>
      <c r="T245" s="77">
        <f>INDEX([12]ČR!$D$18:$D$383,DATE(2016,MONTH(S245),DAY(S245))-DATE(2016,1,1)+1,1)/1000000</f>
        <v>13.326613626984381</v>
      </c>
      <c r="U245" s="77" t="e">
        <f>IF(T!$A$4&gt;=MONTH(S245),VLOOKUP(S245,'[8]Podklady MZ'!$R$2:$S$367,2,FALSE),NA())</f>
        <v>#N/A</v>
      </c>
      <c r="V245" s="176">
        <f>INDEX([5]PT!$AF$16:$AF$381,DATE(2016,MONTH(S245),DAY(S245))-DATE(2016,1,1)+1,1)</f>
        <v>0</v>
      </c>
      <c r="W245" s="176">
        <f>IF(T!$A$4&lt;MONTH(S245),VLOOKUP(S245,'[8]Podklady MZ'!$R$2:$S$367,2,FALSE),NA())</f>
        <v>12.666666666666666</v>
      </c>
    </row>
    <row r="246" spans="19:23" x14ac:dyDescent="0.2">
      <c r="S246" s="76">
        <f t="shared" si="3"/>
        <v>42249</v>
      </c>
      <c r="T246" s="77">
        <f>INDEX([12]ČR!$D$18:$D$383,DATE(2016,MONTH(S246),DAY(S246))-DATE(2016,1,1)+1,1)/1000000</f>
        <v>14.196894787642554</v>
      </c>
      <c r="U246" s="77" t="e">
        <f>IF(T!$A$4&gt;=MONTH(S246),VLOOKUP(S246,'[8]Podklady MZ'!$R$2:$S$367,2,FALSE),NA())</f>
        <v>#N/A</v>
      </c>
      <c r="V246" s="176">
        <f>INDEX([5]PT!$AF$16:$AF$381,DATE(2016,MONTH(S246),DAY(S246))-DATE(2016,1,1)+1,1)</f>
        <v>0</v>
      </c>
      <c r="W246" s="176">
        <f>IF(T!$A$4&lt;MONTH(S246),VLOOKUP(S246,'[8]Podklady MZ'!$R$2:$S$367,2,FALSE),NA())</f>
        <v>12.666666666666666</v>
      </c>
    </row>
    <row r="247" spans="19:23" x14ac:dyDescent="0.2">
      <c r="S247" s="76">
        <f t="shared" si="3"/>
        <v>42250</v>
      </c>
      <c r="T247" s="77">
        <f>INDEX([12]ČR!$D$18:$D$383,DATE(2016,MONTH(S247),DAY(S247))-DATE(2016,1,1)+1,1)/1000000</f>
        <v>12.05878174257896</v>
      </c>
      <c r="U247" s="77" t="e">
        <f>IF(T!$A$4&gt;=MONTH(S247),VLOOKUP(S247,'[8]Podklady MZ'!$R$2:$S$367,2,FALSE),NA())</f>
        <v>#N/A</v>
      </c>
      <c r="V247" s="176">
        <f>INDEX([5]PT!$AF$16:$AF$381,DATE(2016,MONTH(S247),DAY(S247))-DATE(2016,1,1)+1,1)</f>
        <v>0</v>
      </c>
      <c r="W247" s="176">
        <f>IF(T!$A$4&lt;MONTH(S247),VLOOKUP(S247,'[8]Podklady MZ'!$R$2:$S$367,2,FALSE),NA())</f>
        <v>12.666666666666666</v>
      </c>
    </row>
    <row r="248" spans="19:23" x14ac:dyDescent="0.2">
      <c r="S248" s="76">
        <f t="shared" si="3"/>
        <v>42251</v>
      </c>
      <c r="T248" s="77">
        <f>INDEX([12]ČR!$D$18:$D$383,DATE(2016,MONTH(S248),DAY(S248))-DATE(2016,1,1)+1,1)/1000000</f>
        <v>11.152921822205252</v>
      </c>
      <c r="U248" s="77" t="e">
        <f>IF(T!$A$4&gt;=MONTH(S248),VLOOKUP(S248,'[8]Podklady MZ'!$R$2:$S$367,2,FALSE),NA())</f>
        <v>#N/A</v>
      </c>
      <c r="V248" s="176">
        <f>INDEX([5]PT!$AF$16:$AF$381,DATE(2016,MONTH(S248),DAY(S248))-DATE(2016,1,1)+1,1)</f>
        <v>0</v>
      </c>
      <c r="W248" s="176">
        <f>IF(T!$A$4&lt;MONTH(S248),VLOOKUP(S248,'[8]Podklady MZ'!$R$2:$S$367,2,FALSE),NA())</f>
        <v>12.666666666666666</v>
      </c>
    </row>
    <row r="249" spans="19:23" x14ac:dyDescent="0.2">
      <c r="S249" s="76">
        <f t="shared" si="3"/>
        <v>42252</v>
      </c>
      <c r="T249" s="77">
        <f>INDEX([12]ČR!$D$18:$D$383,DATE(2016,MONTH(S249),DAY(S249))-DATE(2016,1,1)+1,1)/1000000</f>
        <v>11.18945156841357</v>
      </c>
      <c r="U249" s="77" t="e">
        <f>IF(T!$A$4&gt;=MONTH(S249),VLOOKUP(S249,'[8]Podklady MZ'!$R$2:$S$367,2,FALSE),NA())</f>
        <v>#N/A</v>
      </c>
      <c r="V249" s="176">
        <f>INDEX([5]PT!$AF$16:$AF$381,DATE(2016,MONTH(S249),DAY(S249))-DATE(2016,1,1)+1,1)</f>
        <v>0</v>
      </c>
      <c r="W249" s="176">
        <f>IF(T!$A$4&lt;MONTH(S249),VLOOKUP(S249,'[8]Podklady MZ'!$R$2:$S$367,2,FALSE),NA())</f>
        <v>12.666666666666666</v>
      </c>
    </row>
    <row r="250" spans="19:23" x14ac:dyDescent="0.2">
      <c r="S250" s="76">
        <f t="shared" si="3"/>
        <v>42253</v>
      </c>
      <c r="T250" s="77">
        <f>INDEX([12]ČR!$D$18:$D$383,DATE(2016,MONTH(S250),DAY(S250))-DATE(2016,1,1)+1,1)/1000000</f>
        <v>8.7177705120471813</v>
      </c>
      <c r="U250" s="77" t="e">
        <f>IF(T!$A$4&gt;=MONTH(S250),VLOOKUP(S250,'[8]Podklady MZ'!$R$2:$S$367,2,FALSE),NA())</f>
        <v>#N/A</v>
      </c>
      <c r="V250" s="176">
        <f>INDEX([5]PT!$AF$16:$AF$381,DATE(2016,MONTH(S250),DAY(S250))-DATE(2016,1,1)+1,1)</f>
        <v>0</v>
      </c>
      <c r="W250" s="176">
        <f>IF(T!$A$4&lt;MONTH(S250),VLOOKUP(S250,'[8]Podklady MZ'!$R$2:$S$367,2,FALSE),NA())</f>
        <v>12.666666666666666</v>
      </c>
    </row>
    <row r="251" spans="19:23" x14ac:dyDescent="0.2">
      <c r="S251" s="76">
        <f t="shared" si="3"/>
        <v>42254</v>
      </c>
      <c r="T251" s="77">
        <f>INDEX([12]ČR!$D$18:$D$383,DATE(2016,MONTH(S251),DAY(S251))-DATE(2016,1,1)+1,1)/1000000</f>
        <v>9.0133461746747372</v>
      </c>
      <c r="U251" s="77" t="e">
        <f>IF(T!$A$4&gt;=MONTH(S251),VLOOKUP(S251,'[8]Podklady MZ'!$R$2:$S$367,2,FALSE),NA())</f>
        <v>#N/A</v>
      </c>
      <c r="V251" s="176">
        <f>INDEX([5]PT!$AF$16:$AF$381,DATE(2016,MONTH(S251),DAY(S251))-DATE(2016,1,1)+1,1)</f>
        <v>0</v>
      </c>
      <c r="W251" s="176">
        <f>IF(T!$A$4&lt;MONTH(S251),VLOOKUP(S251,'[8]Podklady MZ'!$R$2:$S$367,2,FALSE),NA())</f>
        <v>12.666666666666666</v>
      </c>
    </row>
    <row r="252" spans="19:23" x14ac:dyDescent="0.2">
      <c r="S252" s="76">
        <f t="shared" si="3"/>
        <v>42255</v>
      </c>
      <c r="T252" s="77">
        <f>INDEX([12]ČR!$D$18:$D$383,DATE(2016,MONTH(S252),DAY(S252))-DATE(2016,1,1)+1,1)/1000000</f>
        <v>10.548433325279383</v>
      </c>
      <c r="U252" s="77" t="e">
        <f>IF(T!$A$4&gt;=MONTH(S252),VLOOKUP(S252,'[8]Podklady MZ'!$R$2:$S$367,2,FALSE),NA())</f>
        <v>#N/A</v>
      </c>
      <c r="V252" s="176">
        <f>INDEX([5]PT!$AF$16:$AF$381,DATE(2016,MONTH(S252),DAY(S252))-DATE(2016,1,1)+1,1)</f>
        <v>0</v>
      </c>
      <c r="W252" s="176">
        <f>IF(T!$A$4&lt;MONTH(S252),VLOOKUP(S252,'[8]Podklady MZ'!$R$2:$S$367,2,FALSE),NA())</f>
        <v>12.666666666666666</v>
      </c>
    </row>
    <row r="253" spans="19:23" x14ac:dyDescent="0.2">
      <c r="S253" s="76">
        <f t="shared" si="3"/>
        <v>42256</v>
      </c>
      <c r="T253" s="77">
        <f>INDEX([12]ČR!$D$18:$D$383,DATE(2016,MONTH(S253),DAY(S253))-DATE(2016,1,1)+1,1)/1000000</f>
        <v>10.862729181597722</v>
      </c>
      <c r="U253" s="77" t="e">
        <f>IF(T!$A$4&gt;=MONTH(S253),VLOOKUP(S253,'[8]Podklady MZ'!$R$2:$S$367,2,FALSE),NA())</f>
        <v>#N/A</v>
      </c>
      <c r="V253" s="176">
        <f>INDEX([5]PT!$AF$16:$AF$381,DATE(2016,MONTH(S253),DAY(S253))-DATE(2016,1,1)+1,1)</f>
        <v>0</v>
      </c>
      <c r="W253" s="176">
        <f>IF(T!$A$4&lt;MONTH(S253),VLOOKUP(S253,'[8]Podklady MZ'!$R$2:$S$367,2,FALSE),NA())</f>
        <v>12.666666666666666</v>
      </c>
    </row>
    <row r="254" spans="19:23" x14ac:dyDescent="0.2">
      <c r="S254" s="76">
        <f t="shared" si="3"/>
        <v>42257</v>
      </c>
      <c r="T254" s="77">
        <f>INDEX([12]ČR!$D$18:$D$383,DATE(2016,MONTH(S254),DAY(S254))-DATE(2016,1,1)+1,1)/1000000</f>
        <v>11.090167949052262</v>
      </c>
      <c r="U254" s="77" t="e">
        <f>IF(T!$A$4&gt;=MONTH(S254),VLOOKUP(S254,'[8]Podklady MZ'!$R$2:$S$367,2,FALSE),NA())</f>
        <v>#N/A</v>
      </c>
      <c r="V254" s="176">
        <f>INDEX([5]PT!$AF$16:$AF$381,DATE(2016,MONTH(S254),DAY(S254))-DATE(2016,1,1)+1,1)</f>
        <v>0</v>
      </c>
      <c r="W254" s="176">
        <f>IF(T!$A$4&lt;MONTH(S254),VLOOKUP(S254,'[8]Podklady MZ'!$R$2:$S$367,2,FALSE),NA())</f>
        <v>12.666666666666666</v>
      </c>
    </row>
    <row r="255" spans="19:23" x14ac:dyDescent="0.2">
      <c r="S255" s="76">
        <f t="shared" si="3"/>
        <v>42258</v>
      </c>
      <c r="T255" s="77">
        <f>INDEX([12]ČR!$D$18:$D$383,DATE(2016,MONTH(S255),DAY(S255))-DATE(2016,1,1)+1,1)/1000000</f>
        <v>11.666969474165212</v>
      </c>
      <c r="U255" s="77" t="e">
        <f>IF(T!$A$4&gt;=MONTH(S255),VLOOKUP(S255,'[8]Podklady MZ'!$R$2:$S$367,2,FALSE),NA())</f>
        <v>#N/A</v>
      </c>
      <c r="V255" s="176">
        <f>INDEX([5]PT!$AF$16:$AF$381,DATE(2016,MONTH(S255),DAY(S255))-DATE(2016,1,1)+1,1)</f>
        <v>0</v>
      </c>
      <c r="W255" s="176">
        <f>IF(T!$A$4&lt;MONTH(S255),VLOOKUP(S255,'[8]Podklady MZ'!$R$2:$S$367,2,FALSE),NA())</f>
        <v>12.666666666666666</v>
      </c>
    </row>
    <row r="256" spans="19:23" x14ac:dyDescent="0.2">
      <c r="S256" s="76">
        <f t="shared" si="3"/>
        <v>42259</v>
      </c>
      <c r="T256" s="77">
        <f>INDEX([12]ČR!$D$18:$D$383,DATE(2016,MONTH(S256),DAY(S256))-DATE(2016,1,1)+1,1)/1000000</f>
        <v>11.076569173853182</v>
      </c>
      <c r="U256" s="77" t="e">
        <f>IF(T!$A$4&gt;=MONTH(S256),VLOOKUP(S256,'[8]Podklady MZ'!$R$2:$S$367,2,FALSE),NA())</f>
        <v>#N/A</v>
      </c>
      <c r="V256" s="176">
        <f>INDEX([5]PT!$AF$16:$AF$381,DATE(2016,MONTH(S256),DAY(S256))-DATE(2016,1,1)+1,1)</f>
        <v>0</v>
      </c>
      <c r="W256" s="176">
        <f>IF(T!$A$4&lt;MONTH(S256),VLOOKUP(S256,'[8]Podklady MZ'!$R$2:$S$367,2,FALSE),NA())</f>
        <v>12.666666666666666</v>
      </c>
    </row>
    <row r="257" spans="19:23" x14ac:dyDescent="0.2">
      <c r="S257" s="76">
        <f t="shared" si="3"/>
        <v>42260</v>
      </c>
      <c r="T257" s="77">
        <f>INDEX([12]ČR!$D$18:$D$383,DATE(2016,MONTH(S257),DAY(S257))-DATE(2016,1,1)+1,1)/1000000</f>
        <v>9.4018983077620142</v>
      </c>
      <c r="U257" s="77" t="e">
        <f>IF(T!$A$4&gt;=MONTH(S257),VLOOKUP(S257,'[8]Podklady MZ'!$R$2:$S$367,2,FALSE),NA())</f>
        <v>#N/A</v>
      </c>
      <c r="V257" s="176">
        <f>INDEX([5]PT!$AF$16:$AF$381,DATE(2016,MONTH(S257),DAY(S257))-DATE(2016,1,1)+1,1)</f>
        <v>0</v>
      </c>
      <c r="W257" s="176">
        <f>IF(T!$A$4&lt;MONTH(S257),VLOOKUP(S257,'[8]Podklady MZ'!$R$2:$S$367,2,FALSE),NA())</f>
        <v>12.666666666666666</v>
      </c>
    </row>
    <row r="258" spans="19:23" x14ac:dyDescent="0.2">
      <c r="S258" s="76">
        <f t="shared" si="3"/>
        <v>42261</v>
      </c>
      <c r="T258" s="77">
        <f>INDEX([12]ČR!$D$18:$D$383,DATE(2016,MONTH(S258),DAY(S258))-DATE(2016,1,1)+1,1)/1000000</f>
        <v>9.9522193286723191</v>
      </c>
      <c r="U258" s="77" t="e">
        <f>IF(T!$A$4&gt;=MONTH(S258),VLOOKUP(S258,'[8]Podklady MZ'!$R$2:$S$367,2,FALSE),NA())</f>
        <v>#N/A</v>
      </c>
      <c r="V258" s="176">
        <f>INDEX([5]PT!$AF$16:$AF$381,DATE(2016,MONTH(S258),DAY(S258))-DATE(2016,1,1)+1,1)</f>
        <v>0</v>
      </c>
      <c r="W258" s="176">
        <f>IF(T!$A$4&lt;MONTH(S258),VLOOKUP(S258,'[8]Podklady MZ'!$R$2:$S$367,2,FALSE),NA())</f>
        <v>12.666666666666666</v>
      </c>
    </row>
    <row r="259" spans="19:23" x14ac:dyDescent="0.2">
      <c r="S259" s="76">
        <f t="shared" si="3"/>
        <v>42262</v>
      </c>
      <c r="T259" s="77">
        <f>INDEX([12]ČR!$D$18:$D$383,DATE(2016,MONTH(S259),DAY(S259))-DATE(2016,1,1)+1,1)/1000000</f>
        <v>11.503468036013899</v>
      </c>
      <c r="U259" s="77" t="e">
        <f>IF(T!$A$4&gt;=MONTH(S259),VLOOKUP(S259,'[8]Podklady MZ'!$R$2:$S$367,2,FALSE),NA())</f>
        <v>#N/A</v>
      </c>
      <c r="V259" s="176">
        <f>INDEX([5]PT!$AF$16:$AF$381,DATE(2016,MONTH(S259),DAY(S259))-DATE(2016,1,1)+1,1)</f>
        <v>0</v>
      </c>
      <c r="W259" s="176">
        <f>IF(T!$A$4&lt;MONTH(S259),VLOOKUP(S259,'[8]Podklady MZ'!$R$2:$S$367,2,FALSE),NA())</f>
        <v>12.666666666666666</v>
      </c>
    </row>
    <row r="260" spans="19:23" x14ac:dyDescent="0.2">
      <c r="S260" s="76">
        <f t="shared" ref="S260:S323" si="4">S259+1</f>
        <v>42263</v>
      </c>
      <c r="T260" s="77">
        <f>INDEX([12]ČR!$D$18:$D$383,DATE(2016,MONTH(S260),DAY(S260))-DATE(2016,1,1)+1,1)/1000000</f>
        <v>11.57493681078339</v>
      </c>
      <c r="U260" s="77" t="e">
        <f>IF(T!$A$4&gt;=MONTH(S260),VLOOKUP(S260,'[8]Podklady MZ'!$R$2:$S$367,2,FALSE),NA())</f>
        <v>#N/A</v>
      </c>
      <c r="V260" s="176">
        <f>INDEX([5]PT!$AF$16:$AF$381,DATE(2016,MONTH(S260),DAY(S260))-DATE(2016,1,1)+1,1)</f>
        <v>0</v>
      </c>
      <c r="W260" s="176">
        <f>IF(T!$A$4&lt;MONTH(S260),VLOOKUP(S260,'[8]Podklady MZ'!$R$2:$S$367,2,FALSE),NA())</f>
        <v>12.666666666666666</v>
      </c>
    </row>
    <row r="261" spans="19:23" x14ac:dyDescent="0.2">
      <c r="S261" s="76">
        <f t="shared" si="4"/>
        <v>42264</v>
      </c>
      <c r="T261" s="77">
        <f>INDEX([12]ČR!$D$18:$D$383,DATE(2016,MONTH(S261),DAY(S261))-DATE(2016,1,1)+1,1)/1000000</f>
        <v>12.671244461294396</v>
      </c>
      <c r="U261" s="77" t="e">
        <f>IF(T!$A$4&gt;=MONTH(S261),VLOOKUP(S261,'[8]Podklady MZ'!$R$2:$S$367,2,FALSE),NA())</f>
        <v>#N/A</v>
      </c>
      <c r="V261" s="176">
        <f>INDEX([5]PT!$AF$16:$AF$381,DATE(2016,MONTH(S261),DAY(S261))-DATE(2016,1,1)+1,1)</f>
        <v>0</v>
      </c>
      <c r="W261" s="176">
        <f>IF(T!$A$4&lt;MONTH(S261),VLOOKUP(S261,'[8]Podklady MZ'!$R$2:$S$367,2,FALSE),NA())</f>
        <v>12.666666666666666</v>
      </c>
    </row>
    <row r="262" spans="19:23" x14ac:dyDescent="0.2">
      <c r="S262" s="76">
        <f t="shared" si="4"/>
        <v>42265</v>
      </c>
      <c r="T262" s="77">
        <f>INDEX([12]ČR!$D$18:$D$383,DATE(2016,MONTH(S262),DAY(S262))-DATE(2016,1,1)+1,1)/1000000</f>
        <v>11.989948031649744</v>
      </c>
      <c r="U262" s="77" t="e">
        <f>IF(T!$A$4&gt;=MONTH(S262),VLOOKUP(S262,'[8]Podklady MZ'!$R$2:$S$367,2,FALSE),NA())</f>
        <v>#N/A</v>
      </c>
      <c r="V262" s="176">
        <f>INDEX([5]PT!$AF$16:$AF$381,DATE(2016,MONTH(S262),DAY(S262))-DATE(2016,1,1)+1,1)</f>
        <v>0</v>
      </c>
      <c r="W262" s="176">
        <f>IF(T!$A$4&lt;MONTH(S262),VLOOKUP(S262,'[8]Podklady MZ'!$R$2:$S$367,2,FALSE),NA())</f>
        <v>12.666666666666666</v>
      </c>
    </row>
    <row r="263" spans="19:23" x14ac:dyDescent="0.2">
      <c r="S263" s="76">
        <f t="shared" si="4"/>
        <v>42266</v>
      </c>
      <c r="T263" s="77">
        <f>INDEX([12]ČR!$D$18:$D$383,DATE(2016,MONTH(S263),DAY(S263))-DATE(2016,1,1)+1,1)/1000000</f>
        <v>11.364076094157173</v>
      </c>
      <c r="U263" s="77" t="e">
        <f>IF(T!$A$4&gt;=MONTH(S263),VLOOKUP(S263,'[8]Podklady MZ'!$R$2:$S$367,2,FALSE),NA())</f>
        <v>#N/A</v>
      </c>
      <c r="V263" s="176">
        <f>INDEX([5]PT!$AF$16:$AF$381,DATE(2016,MONTH(S263),DAY(S263))-DATE(2016,1,1)+1,1)</f>
        <v>0</v>
      </c>
      <c r="W263" s="176">
        <f>IF(T!$A$4&lt;MONTH(S263),VLOOKUP(S263,'[8]Podklady MZ'!$R$2:$S$367,2,FALSE),NA())</f>
        <v>12.666666666666666</v>
      </c>
    </row>
    <row r="264" spans="19:23" x14ac:dyDescent="0.2">
      <c r="S264" s="76">
        <f t="shared" si="4"/>
        <v>42267</v>
      </c>
      <c r="T264" s="77">
        <f>INDEX([12]ČR!$D$18:$D$383,DATE(2016,MONTH(S264),DAY(S264))-DATE(2016,1,1)+1,1)/1000000</f>
        <v>9.8209909016072672</v>
      </c>
      <c r="U264" s="77" t="e">
        <f>IF(T!$A$4&gt;=MONTH(S264),VLOOKUP(S264,'[8]Podklady MZ'!$R$2:$S$367,2,FALSE),NA())</f>
        <v>#N/A</v>
      </c>
      <c r="V264" s="176">
        <f>INDEX([5]PT!$AF$16:$AF$381,DATE(2016,MONTH(S264),DAY(S264))-DATE(2016,1,1)+1,1)</f>
        <v>0</v>
      </c>
      <c r="W264" s="176">
        <f>IF(T!$A$4&lt;MONTH(S264),VLOOKUP(S264,'[8]Podklady MZ'!$R$2:$S$367,2,FALSE),NA())</f>
        <v>12.666666666666666</v>
      </c>
    </row>
    <row r="265" spans="19:23" x14ac:dyDescent="0.2">
      <c r="S265" s="76">
        <f t="shared" si="4"/>
        <v>42268</v>
      </c>
      <c r="T265" s="77">
        <f>INDEX([12]ČR!$D$18:$D$383,DATE(2016,MONTH(S265),DAY(S265))-DATE(2016,1,1)+1,1)/1000000</f>
        <v>10.249617120759694</v>
      </c>
      <c r="U265" s="77" t="e">
        <f>IF(T!$A$4&gt;=MONTH(S265),VLOOKUP(S265,'[8]Podklady MZ'!$R$2:$S$367,2,FALSE),NA())</f>
        <v>#N/A</v>
      </c>
      <c r="V265" s="176">
        <f>INDEX([5]PT!$AF$16:$AF$381,DATE(2016,MONTH(S265),DAY(S265))-DATE(2016,1,1)+1,1)</f>
        <v>0</v>
      </c>
      <c r="W265" s="176">
        <f>IF(T!$A$4&lt;MONTH(S265),VLOOKUP(S265,'[8]Podklady MZ'!$R$2:$S$367,2,FALSE),NA())</f>
        <v>12.666666666666666</v>
      </c>
    </row>
    <row r="266" spans="19:23" x14ac:dyDescent="0.2">
      <c r="S266" s="76">
        <f t="shared" si="4"/>
        <v>42269</v>
      </c>
      <c r="T266" s="77">
        <f>INDEX([12]ČR!$D$18:$D$383,DATE(2016,MONTH(S266),DAY(S266))-DATE(2016,1,1)+1,1)/1000000</f>
        <v>13.441887604874745</v>
      </c>
      <c r="U266" s="77" t="e">
        <f>IF(T!$A$4&gt;=MONTH(S266),VLOOKUP(S266,'[8]Podklady MZ'!$R$2:$S$367,2,FALSE),NA())</f>
        <v>#N/A</v>
      </c>
      <c r="V266" s="176">
        <f>INDEX([5]PT!$AF$16:$AF$381,DATE(2016,MONTH(S266),DAY(S266))-DATE(2016,1,1)+1,1)</f>
        <v>0</v>
      </c>
      <c r="W266" s="176">
        <f>IF(T!$A$4&lt;MONTH(S266),VLOOKUP(S266,'[8]Podklady MZ'!$R$2:$S$367,2,FALSE),NA())</f>
        <v>12.666666666666666</v>
      </c>
    </row>
    <row r="267" spans="19:23" x14ac:dyDescent="0.2">
      <c r="S267" s="76">
        <f t="shared" si="4"/>
        <v>42270</v>
      </c>
      <c r="T267" s="77">
        <f>INDEX([12]ČR!$D$18:$D$383,DATE(2016,MONTH(S267),DAY(S267))-DATE(2016,1,1)+1,1)/1000000</f>
        <v>15.490501500711011</v>
      </c>
      <c r="U267" s="77" t="e">
        <f>IF(T!$A$4&gt;=MONTH(S267),VLOOKUP(S267,'[8]Podklady MZ'!$R$2:$S$367,2,FALSE),NA())</f>
        <v>#N/A</v>
      </c>
      <c r="V267" s="176">
        <f>INDEX([5]PT!$AF$16:$AF$381,DATE(2016,MONTH(S267),DAY(S267))-DATE(2016,1,1)+1,1)</f>
        <v>0</v>
      </c>
      <c r="W267" s="176">
        <f>IF(T!$A$4&lt;MONTH(S267),VLOOKUP(S267,'[8]Podklady MZ'!$R$2:$S$367,2,FALSE),NA())</f>
        <v>12.666666666666666</v>
      </c>
    </row>
    <row r="268" spans="19:23" x14ac:dyDescent="0.2">
      <c r="S268" s="76">
        <f t="shared" si="4"/>
        <v>42271</v>
      </c>
      <c r="T268" s="77">
        <f>INDEX([12]ČR!$D$18:$D$383,DATE(2016,MONTH(S268),DAY(S268))-DATE(2016,1,1)+1,1)/1000000</f>
        <v>16.24927609940001</v>
      </c>
      <c r="U268" s="77" t="e">
        <f>IF(T!$A$4&gt;=MONTH(S268),VLOOKUP(S268,'[8]Podklady MZ'!$R$2:$S$367,2,FALSE),NA())</f>
        <v>#N/A</v>
      </c>
      <c r="V268" s="176">
        <f>INDEX([5]PT!$AF$16:$AF$381,DATE(2016,MONTH(S268),DAY(S268))-DATE(2016,1,1)+1,1)</f>
        <v>0</v>
      </c>
      <c r="W268" s="176">
        <f>IF(T!$A$4&lt;MONTH(S268),VLOOKUP(S268,'[8]Podklady MZ'!$R$2:$S$367,2,FALSE),NA())</f>
        <v>12.666666666666666</v>
      </c>
    </row>
    <row r="269" spans="19:23" x14ac:dyDescent="0.2">
      <c r="S269" s="76">
        <f t="shared" si="4"/>
        <v>42272</v>
      </c>
      <c r="T269" s="77">
        <f>INDEX([12]ČR!$D$18:$D$383,DATE(2016,MONTH(S269),DAY(S269))-DATE(2016,1,1)+1,1)/1000000</f>
        <v>15.939579205348613</v>
      </c>
      <c r="U269" s="77" t="e">
        <f>IF(T!$A$4&gt;=MONTH(S269),VLOOKUP(S269,'[8]Podklady MZ'!$R$2:$S$367,2,FALSE),NA())</f>
        <v>#N/A</v>
      </c>
      <c r="V269" s="176">
        <f>INDEX([5]PT!$AF$16:$AF$381,DATE(2016,MONTH(S269),DAY(S269))-DATE(2016,1,1)+1,1)</f>
        <v>0</v>
      </c>
      <c r="W269" s="176">
        <f>IF(T!$A$4&lt;MONTH(S269),VLOOKUP(S269,'[8]Podklady MZ'!$R$2:$S$367,2,FALSE),NA())</f>
        <v>12.666666666666666</v>
      </c>
    </row>
    <row r="270" spans="19:23" x14ac:dyDescent="0.2">
      <c r="S270" s="76">
        <f t="shared" si="4"/>
        <v>42273</v>
      </c>
      <c r="T270" s="77">
        <f>INDEX([12]ČR!$D$18:$D$383,DATE(2016,MONTH(S270),DAY(S270))-DATE(2016,1,1)+1,1)/1000000</f>
        <v>15.784708074920571</v>
      </c>
      <c r="U270" s="77" t="e">
        <f>IF(T!$A$4&gt;=MONTH(S270),VLOOKUP(S270,'[8]Podklady MZ'!$R$2:$S$367,2,FALSE),NA())</f>
        <v>#N/A</v>
      </c>
      <c r="V270" s="176">
        <f>INDEX([5]PT!$AF$16:$AF$381,DATE(2016,MONTH(S270),DAY(S270))-DATE(2016,1,1)+1,1)</f>
        <v>0</v>
      </c>
      <c r="W270" s="176">
        <f>IF(T!$A$4&lt;MONTH(S270),VLOOKUP(S270,'[8]Podklady MZ'!$R$2:$S$367,2,FALSE),NA())</f>
        <v>12.666666666666666</v>
      </c>
    </row>
    <row r="271" spans="19:23" x14ac:dyDescent="0.2">
      <c r="S271" s="76">
        <f t="shared" si="4"/>
        <v>42274</v>
      </c>
      <c r="T271" s="77">
        <f>INDEX([12]ČR!$D$18:$D$383,DATE(2016,MONTH(S271),DAY(S271))-DATE(2016,1,1)+1,1)/1000000</f>
        <v>12.817301637118813</v>
      </c>
      <c r="U271" s="77" t="e">
        <f>IF(T!$A$4&gt;=MONTH(S271),VLOOKUP(S271,'[8]Podklady MZ'!$R$2:$S$367,2,FALSE),NA())</f>
        <v>#N/A</v>
      </c>
      <c r="V271" s="176">
        <f>INDEX([5]PT!$AF$16:$AF$381,DATE(2016,MONTH(S271),DAY(S271))-DATE(2016,1,1)+1,1)</f>
        <v>0</v>
      </c>
      <c r="W271" s="176">
        <f>IF(T!$A$4&lt;MONTH(S271),VLOOKUP(S271,'[8]Podklady MZ'!$R$2:$S$367,2,FALSE),NA())</f>
        <v>12.666666666666666</v>
      </c>
    </row>
    <row r="272" spans="19:23" x14ac:dyDescent="0.2">
      <c r="S272" s="76">
        <f t="shared" si="4"/>
        <v>42275</v>
      </c>
      <c r="T272" s="77">
        <f>INDEX([12]ČR!$D$18:$D$383,DATE(2016,MONTH(S272),DAY(S272))-DATE(2016,1,1)+1,1)/1000000</f>
        <v>12.838785139497604</v>
      </c>
      <c r="U272" s="77" t="e">
        <f>IF(T!$A$4&gt;=MONTH(S272),VLOOKUP(S272,'[8]Podklady MZ'!$R$2:$S$367,2,FALSE),NA())</f>
        <v>#N/A</v>
      </c>
      <c r="V272" s="176">
        <f>INDEX([5]PT!$AF$16:$AF$381,DATE(2016,MONTH(S272),DAY(S272))-DATE(2016,1,1)+1,1)</f>
        <v>0</v>
      </c>
      <c r="W272" s="176">
        <f>IF(T!$A$4&lt;MONTH(S272),VLOOKUP(S272,'[8]Podklady MZ'!$R$2:$S$367,2,FALSE),NA())</f>
        <v>12.666666666666666</v>
      </c>
    </row>
    <row r="273" spans="19:23" x14ac:dyDescent="0.2">
      <c r="S273" s="76">
        <f t="shared" si="4"/>
        <v>42276</v>
      </c>
      <c r="T273" s="77">
        <f>INDEX([12]ČR!$D$18:$D$383,DATE(2016,MONTH(S273),DAY(S273))-DATE(2016,1,1)+1,1)/1000000</f>
        <v>14.427943495360427</v>
      </c>
      <c r="U273" s="77" t="e">
        <f>IF(T!$A$4&gt;=MONTH(S273),VLOOKUP(S273,'[8]Podklady MZ'!$R$2:$S$367,2,FALSE),NA())</f>
        <v>#N/A</v>
      </c>
      <c r="V273" s="176">
        <f>INDEX([5]PT!$AF$16:$AF$381,DATE(2016,MONTH(S273),DAY(S273))-DATE(2016,1,1)+1,1)</f>
        <v>0</v>
      </c>
      <c r="W273" s="176">
        <f>IF(T!$A$4&lt;MONTH(S273),VLOOKUP(S273,'[8]Podklady MZ'!$R$2:$S$367,2,FALSE),NA())</f>
        <v>12.666666666666666</v>
      </c>
    </row>
    <row r="274" spans="19:23" x14ac:dyDescent="0.2">
      <c r="S274" s="76">
        <f t="shared" si="4"/>
        <v>42277</v>
      </c>
      <c r="T274" s="77">
        <f>INDEX([12]ČR!$D$18:$D$383,DATE(2016,MONTH(S274),DAY(S274))-DATE(2016,1,1)+1,1)/1000000</f>
        <v>14.342826680174253</v>
      </c>
      <c r="U274" s="77" t="e">
        <f>IF(T!$A$4&gt;=MONTH(S274),VLOOKUP(S274,'[8]Podklady MZ'!$R$2:$S$367,2,FALSE),NA())</f>
        <v>#N/A</v>
      </c>
      <c r="V274" s="176">
        <f>INDEX([5]PT!$AF$16:$AF$381,DATE(2016,MONTH(S274),DAY(S274))-DATE(2016,1,1)+1,1)</f>
        <v>0</v>
      </c>
      <c r="W274" s="176">
        <f>IF(T!$A$4&lt;MONTH(S274),VLOOKUP(S274,'[8]Podklady MZ'!$R$2:$S$367,2,FALSE),NA())</f>
        <v>12.666666666666666</v>
      </c>
    </row>
    <row r="275" spans="19:23" x14ac:dyDescent="0.2">
      <c r="S275" s="76">
        <f t="shared" si="4"/>
        <v>42278</v>
      </c>
      <c r="T275" s="77">
        <f>INDEX([12]ČR!$D$18:$D$383,DATE(2016,MONTH(S275),DAY(S275))-DATE(2016,1,1)+1,1)/1000000</f>
        <v>14.672599361198165</v>
      </c>
      <c r="U275" s="77" t="e">
        <f>IF(T!$A$4&gt;=MONTH(S275),VLOOKUP(S275,'[8]Podklady MZ'!$R$2:$S$367,2,FALSE),NA())</f>
        <v>#N/A</v>
      </c>
      <c r="V275" s="176">
        <f>INDEX([5]PT!$AF$16:$AF$381,DATE(2016,MONTH(S275),DAY(S275))-DATE(2016,1,1)+1,1)</f>
        <v>0</v>
      </c>
      <c r="W275" s="176">
        <f>IF(T!$A$4&lt;MONTH(S275),VLOOKUP(S275,'[8]Podklady MZ'!$R$2:$S$367,2,FALSE),NA())</f>
        <v>20.967741935483872</v>
      </c>
    </row>
    <row r="276" spans="19:23" x14ac:dyDescent="0.2">
      <c r="S276" s="76">
        <f t="shared" si="4"/>
        <v>42279</v>
      </c>
      <c r="T276" s="77">
        <f>INDEX([12]ČR!$D$18:$D$383,DATE(2016,MONTH(S276),DAY(S276))-DATE(2016,1,1)+1,1)/1000000</f>
        <v>14.937437234854114</v>
      </c>
      <c r="U276" s="77" t="e">
        <f>IF(T!$A$4&gt;=MONTH(S276),VLOOKUP(S276,'[8]Podklady MZ'!$R$2:$S$367,2,FALSE),NA())</f>
        <v>#N/A</v>
      </c>
      <c r="V276" s="176">
        <f>INDEX([5]PT!$AF$16:$AF$381,DATE(2016,MONTH(S276),DAY(S276))-DATE(2016,1,1)+1,1)</f>
        <v>0</v>
      </c>
      <c r="W276" s="176">
        <f>IF(T!$A$4&lt;MONTH(S276),VLOOKUP(S276,'[8]Podklady MZ'!$R$2:$S$367,2,FALSE),NA())</f>
        <v>20.967741935483872</v>
      </c>
    </row>
    <row r="277" spans="19:23" x14ac:dyDescent="0.2">
      <c r="S277" s="76">
        <f t="shared" si="4"/>
        <v>42280</v>
      </c>
      <c r="T277" s="77">
        <f>INDEX([12]ČR!$D$18:$D$383,DATE(2016,MONTH(S277),DAY(S277))-DATE(2016,1,1)+1,1)/1000000</f>
        <v>15.024224818934954</v>
      </c>
      <c r="U277" s="77" t="e">
        <f>IF(T!$A$4&gt;=MONTH(S277),VLOOKUP(S277,'[8]Podklady MZ'!$R$2:$S$367,2,FALSE),NA())</f>
        <v>#N/A</v>
      </c>
      <c r="V277" s="176">
        <f>INDEX([5]PT!$AF$16:$AF$381,DATE(2016,MONTH(S277),DAY(S277))-DATE(2016,1,1)+1,1)</f>
        <v>0</v>
      </c>
      <c r="W277" s="176">
        <f>IF(T!$A$4&lt;MONTH(S277),VLOOKUP(S277,'[8]Podklady MZ'!$R$2:$S$367,2,FALSE),NA())</f>
        <v>20.967741935483872</v>
      </c>
    </row>
    <row r="278" spans="19:23" x14ac:dyDescent="0.2">
      <c r="S278" s="76">
        <f t="shared" si="4"/>
        <v>42281</v>
      </c>
      <c r="T278" s="77">
        <f>INDEX([12]ČR!$D$18:$D$383,DATE(2016,MONTH(S278),DAY(S278))-DATE(2016,1,1)+1,1)/1000000</f>
        <v>14.082394436836998</v>
      </c>
      <c r="U278" s="77" t="e">
        <f>IF(T!$A$4&gt;=MONTH(S278),VLOOKUP(S278,'[8]Podklady MZ'!$R$2:$S$367,2,FALSE),NA())</f>
        <v>#N/A</v>
      </c>
      <c r="V278" s="176">
        <f>INDEX([5]PT!$AF$16:$AF$381,DATE(2016,MONTH(S278),DAY(S278))-DATE(2016,1,1)+1,1)</f>
        <v>0</v>
      </c>
      <c r="W278" s="176">
        <f>IF(T!$A$4&lt;MONTH(S278),VLOOKUP(S278,'[8]Podklady MZ'!$R$2:$S$367,2,FALSE),NA())</f>
        <v>20.967741935483872</v>
      </c>
    </row>
    <row r="279" spans="19:23" x14ac:dyDescent="0.2">
      <c r="S279" s="76">
        <f t="shared" si="4"/>
        <v>42282</v>
      </c>
      <c r="T279" s="77">
        <f>INDEX([12]ČR!$D$18:$D$383,DATE(2016,MONTH(S279),DAY(S279))-DATE(2016,1,1)+1,1)/1000000</f>
        <v>14.703838786388099</v>
      </c>
      <c r="U279" s="77" t="e">
        <f>IF(T!$A$4&gt;=MONTH(S279),VLOOKUP(S279,'[8]Podklady MZ'!$R$2:$S$367,2,FALSE),NA())</f>
        <v>#N/A</v>
      </c>
      <c r="V279" s="176">
        <f>INDEX([5]PT!$AF$16:$AF$381,DATE(2016,MONTH(S279),DAY(S279))-DATE(2016,1,1)+1,1)</f>
        <v>0</v>
      </c>
      <c r="W279" s="176">
        <f>IF(T!$A$4&lt;MONTH(S279),VLOOKUP(S279,'[8]Podklady MZ'!$R$2:$S$367,2,FALSE),NA())</f>
        <v>20.967741935483872</v>
      </c>
    </row>
    <row r="280" spans="19:23" x14ac:dyDescent="0.2">
      <c r="S280" s="76">
        <f t="shared" si="4"/>
        <v>42283</v>
      </c>
      <c r="T280" s="77">
        <f>INDEX([12]ČR!$D$18:$D$383,DATE(2016,MONTH(S280),DAY(S280))-DATE(2016,1,1)+1,1)/1000000</f>
        <v>16.851060623207204</v>
      </c>
      <c r="U280" s="77" t="e">
        <f>IF(T!$A$4&gt;=MONTH(S280),VLOOKUP(S280,'[8]Podklady MZ'!$R$2:$S$367,2,FALSE),NA())</f>
        <v>#N/A</v>
      </c>
      <c r="V280" s="176">
        <f>INDEX([5]PT!$AF$16:$AF$381,DATE(2016,MONTH(S280),DAY(S280))-DATE(2016,1,1)+1,1)</f>
        <v>0</v>
      </c>
      <c r="W280" s="176">
        <f>IF(T!$A$4&lt;MONTH(S280),VLOOKUP(S280,'[8]Podklady MZ'!$R$2:$S$367,2,FALSE),NA())</f>
        <v>20.967741935483872</v>
      </c>
    </row>
    <row r="281" spans="19:23" x14ac:dyDescent="0.2">
      <c r="S281" s="76">
        <f t="shared" si="4"/>
        <v>42284</v>
      </c>
      <c r="T281" s="77">
        <f>INDEX([12]ČR!$D$18:$D$383,DATE(2016,MONTH(S281),DAY(S281))-DATE(2016,1,1)+1,1)/1000000</f>
        <v>17.837122085778574</v>
      </c>
      <c r="U281" s="77" t="e">
        <f>IF(T!$A$4&gt;=MONTH(S281),VLOOKUP(S281,'[8]Podklady MZ'!$R$2:$S$367,2,FALSE),NA())</f>
        <v>#N/A</v>
      </c>
      <c r="V281" s="176">
        <f>INDEX([5]PT!$AF$16:$AF$381,DATE(2016,MONTH(S281),DAY(S281))-DATE(2016,1,1)+1,1)</f>
        <v>0</v>
      </c>
      <c r="W281" s="176">
        <f>IF(T!$A$4&lt;MONTH(S281),VLOOKUP(S281,'[8]Podklady MZ'!$R$2:$S$367,2,FALSE),NA())</f>
        <v>20.967741935483872</v>
      </c>
    </row>
    <row r="282" spans="19:23" x14ac:dyDescent="0.2">
      <c r="S282" s="76">
        <f t="shared" si="4"/>
        <v>42285</v>
      </c>
      <c r="T282" s="77">
        <f>INDEX([12]ČR!$D$18:$D$383,DATE(2016,MONTH(S282),DAY(S282))-DATE(2016,1,1)+1,1)/1000000</f>
        <v>16.556639874486695</v>
      </c>
      <c r="U282" s="77" t="e">
        <f>IF(T!$A$4&gt;=MONTH(S282),VLOOKUP(S282,'[8]Podklady MZ'!$R$2:$S$367,2,FALSE),NA())</f>
        <v>#N/A</v>
      </c>
      <c r="V282" s="176">
        <f>INDEX([5]PT!$AF$16:$AF$381,DATE(2016,MONTH(S282),DAY(S282))-DATE(2016,1,1)+1,1)</f>
        <v>0</v>
      </c>
      <c r="W282" s="176">
        <f>IF(T!$A$4&lt;MONTH(S282),VLOOKUP(S282,'[8]Podklady MZ'!$R$2:$S$367,2,FALSE),NA())</f>
        <v>20.967741935483872</v>
      </c>
    </row>
    <row r="283" spans="19:23" x14ac:dyDescent="0.2">
      <c r="S283" s="76">
        <f t="shared" si="4"/>
        <v>42286</v>
      </c>
      <c r="T283" s="77">
        <f>INDEX([12]ČR!$D$18:$D$383,DATE(2016,MONTH(S283),DAY(S283))-DATE(2016,1,1)+1,1)/1000000</f>
        <v>15.092905475487182</v>
      </c>
      <c r="U283" s="77" t="e">
        <f>IF(T!$A$4&gt;=MONTH(S283),VLOOKUP(S283,'[8]Podklady MZ'!$R$2:$S$367,2,FALSE),NA())</f>
        <v>#N/A</v>
      </c>
      <c r="V283" s="176">
        <f>INDEX([5]PT!$AF$16:$AF$381,DATE(2016,MONTH(S283),DAY(S283))-DATE(2016,1,1)+1,1)</f>
        <v>0</v>
      </c>
      <c r="W283" s="176">
        <f>IF(T!$A$4&lt;MONTH(S283),VLOOKUP(S283,'[8]Podklady MZ'!$R$2:$S$367,2,FALSE),NA())</f>
        <v>20.967741935483872</v>
      </c>
    </row>
    <row r="284" spans="19:23" x14ac:dyDescent="0.2">
      <c r="S284" s="76">
        <f t="shared" si="4"/>
        <v>42287</v>
      </c>
      <c r="T284" s="77">
        <f>INDEX([12]ČR!$D$18:$D$383,DATE(2016,MONTH(S284),DAY(S284))-DATE(2016,1,1)+1,1)/1000000</f>
        <v>14.757388313683579</v>
      </c>
      <c r="U284" s="77" t="e">
        <f>IF(T!$A$4&gt;=MONTH(S284),VLOOKUP(S284,'[8]Podklady MZ'!$R$2:$S$367,2,FALSE),NA())</f>
        <v>#N/A</v>
      </c>
      <c r="V284" s="176">
        <f>INDEX([5]PT!$AF$16:$AF$381,DATE(2016,MONTH(S284),DAY(S284))-DATE(2016,1,1)+1,1)</f>
        <v>0</v>
      </c>
      <c r="W284" s="176">
        <f>IF(T!$A$4&lt;MONTH(S284),VLOOKUP(S284,'[8]Podklady MZ'!$R$2:$S$367,2,FALSE),NA())</f>
        <v>20.967741935483872</v>
      </c>
    </row>
    <row r="285" spans="19:23" x14ac:dyDescent="0.2">
      <c r="S285" s="76">
        <f t="shared" si="4"/>
        <v>42288</v>
      </c>
      <c r="T285" s="77">
        <f>INDEX([12]ČR!$D$18:$D$383,DATE(2016,MONTH(S285),DAY(S285))-DATE(2016,1,1)+1,1)/1000000</f>
        <v>12.577807255365114</v>
      </c>
      <c r="U285" s="77" t="e">
        <f>IF(T!$A$4&gt;=MONTH(S285),VLOOKUP(S285,'[8]Podklady MZ'!$R$2:$S$367,2,FALSE),NA())</f>
        <v>#N/A</v>
      </c>
      <c r="V285" s="176">
        <f>INDEX([5]PT!$AF$16:$AF$381,DATE(2016,MONTH(S285),DAY(S285))-DATE(2016,1,1)+1,1)</f>
        <v>0</v>
      </c>
      <c r="W285" s="176">
        <f>IF(T!$A$4&lt;MONTH(S285),VLOOKUP(S285,'[8]Podklady MZ'!$R$2:$S$367,2,FALSE),NA())</f>
        <v>20.967741935483872</v>
      </c>
    </row>
    <row r="286" spans="19:23" x14ac:dyDescent="0.2">
      <c r="S286" s="76">
        <f t="shared" si="4"/>
        <v>42289</v>
      </c>
      <c r="T286" s="77">
        <f>INDEX([12]ČR!$D$18:$D$383,DATE(2016,MONTH(S286),DAY(S286))-DATE(2016,1,1)+1,1)/1000000</f>
        <v>12.420204680277019</v>
      </c>
      <c r="U286" s="77" t="e">
        <f>IF(T!$A$4&gt;=MONTH(S286),VLOOKUP(S286,'[8]Podklady MZ'!$R$2:$S$367,2,FALSE),NA())</f>
        <v>#N/A</v>
      </c>
      <c r="V286" s="176">
        <f>INDEX([5]PT!$AF$16:$AF$381,DATE(2016,MONTH(S286),DAY(S286))-DATE(2016,1,1)+1,1)</f>
        <v>0</v>
      </c>
      <c r="W286" s="176">
        <f>IF(T!$A$4&lt;MONTH(S286),VLOOKUP(S286,'[8]Podklady MZ'!$R$2:$S$367,2,FALSE),NA())</f>
        <v>20.967741935483872</v>
      </c>
    </row>
    <row r="287" spans="19:23" x14ac:dyDescent="0.2">
      <c r="S287" s="76">
        <f t="shared" si="4"/>
        <v>42290</v>
      </c>
      <c r="T287" s="77">
        <f>INDEX([12]ČR!$D$18:$D$383,DATE(2016,MONTH(S287),DAY(S287))-DATE(2016,1,1)+1,1)/1000000</f>
        <v>14.379633515847994</v>
      </c>
      <c r="U287" s="77" t="e">
        <f>IF(T!$A$4&gt;=MONTH(S287),VLOOKUP(S287,'[8]Podklady MZ'!$R$2:$S$367,2,FALSE),NA())</f>
        <v>#N/A</v>
      </c>
      <c r="V287" s="176">
        <f>INDEX([5]PT!$AF$16:$AF$381,DATE(2016,MONTH(S287),DAY(S287))-DATE(2016,1,1)+1,1)</f>
        <v>0</v>
      </c>
      <c r="W287" s="176">
        <f>IF(T!$A$4&lt;MONTH(S287),VLOOKUP(S287,'[8]Podklady MZ'!$R$2:$S$367,2,FALSE),NA())</f>
        <v>20.967741935483872</v>
      </c>
    </row>
    <row r="288" spans="19:23" x14ac:dyDescent="0.2">
      <c r="S288" s="76">
        <f t="shared" si="4"/>
        <v>42291</v>
      </c>
      <c r="T288" s="77">
        <f>INDEX([12]ČR!$D$18:$D$383,DATE(2016,MONTH(S288),DAY(S288))-DATE(2016,1,1)+1,1)/1000000</f>
        <v>14.975768861072046</v>
      </c>
      <c r="U288" s="77" t="e">
        <f>IF(T!$A$4&gt;=MONTH(S288),VLOOKUP(S288,'[8]Podklady MZ'!$R$2:$S$367,2,FALSE),NA())</f>
        <v>#N/A</v>
      </c>
      <c r="V288" s="176">
        <f>INDEX([5]PT!$AF$16:$AF$381,DATE(2016,MONTH(S288),DAY(S288))-DATE(2016,1,1)+1,1)</f>
        <v>0</v>
      </c>
      <c r="W288" s="176">
        <f>IF(T!$A$4&lt;MONTH(S288),VLOOKUP(S288,'[8]Podklady MZ'!$R$2:$S$367,2,FALSE),NA())</f>
        <v>20.967741935483872</v>
      </c>
    </row>
    <row r="289" spans="19:23" x14ac:dyDescent="0.2">
      <c r="S289" s="76">
        <f t="shared" si="4"/>
        <v>42292</v>
      </c>
      <c r="T289" s="77">
        <f>INDEX([12]ČR!$D$18:$D$383,DATE(2016,MONTH(S289),DAY(S289))-DATE(2016,1,1)+1,1)/1000000</f>
        <v>16.572652806813757</v>
      </c>
      <c r="U289" s="77" t="e">
        <f>IF(T!$A$4&gt;=MONTH(S289),VLOOKUP(S289,'[8]Podklady MZ'!$R$2:$S$367,2,FALSE),NA())</f>
        <v>#N/A</v>
      </c>
      <c r="V289" s="176">
        <f>INDEX([5]PT!$AF$16:$AF$381,DATE(2016,MONTH(S289),DAY(S289))-DATE(2016,1,1)+1,1)</f>
        <v>0</v>
      </c>
      <c r="W289" s="176">
        <f>IF(T!$A$4&lt;MONTH(S289),VLOOKUP(S289,'[8]Podklady MZ'!$R$2:$S$367,2,FALSE),NA())</f>
        <v>20.967741935483872</v>
      </c>
    </row>
    <row r="290" spans="19:23" x14ac:dyDescent="0.2">
      <c r="S290" s="76">
        <f t="shared" si="4"/>
        <v>42293</v>
      </c>
      <c r="T290" s="77">
        <f>INDEX([12]ČR!$D$18:$D$383,DATE(2016,MONTH(S290),DAY(S290))-DATE(2016,1,1)+1,1)/1000000</f>
        <v>16.32268119993379</v>
      </c>
      <c r="U290" s="77" t="e">
        <f>IF(T!$A$4&gt;=MONTH(S290),VLOOKUP(S290,'[8]Podklady MZ'!$R$2:$S$367,2,FALSE),NA())</f>
        <v>#N/A</v>
      </c>
      <c r="V290" s="176">
        <f>INDEX([5]PT!$AF$16:$AF$381,DATE(2016,MONTH(S290),DAY(S290))-DATE(2016,1,1)+1,1)</f>
        <v>0</v>
      </c>
      <c r="W290" s="176">
        <f>IF(T!$A$4&lt;MONTH(S290),VLOOKUP(S290,'[8]Podklady MZ'!$R$2:$S$367,2,FALSE),NA())</f>
        <v>20.967741935483872</v>
      </c>
    </row>
    <row r="291" spans="19:23" x14ac:dyDescent="0.2">
      <c r="S291" s="76">
        <f t="shared" si="4"/>
        <v>42294</v>
      </c>
      <c r="T291" s="77">
        <f>INDEX([12]ČR!$D$18:$D$383,DATE(2016,MONTH(S291),DAY(S291))-DATE(2016,1,1)+1,1)/1000000</f>
        <v>16.501299539387901</v>
      </c>
      <c r="U291" s="77" t="e">
        <f>IF(T!$A$4&gt;=MONTH(S291),VLOOKUP(S291,'[8]Podklady MZ'!$R$2:$S$367,2,FALSE),NA())</f>
        <v>#N/A</v>
      </c>
      <c r="V291" s="176">
        <f>INDEX([5]PT!$AF$16:$AF$381,DATE(2016,MONTH(S291),DAY(S291))-DATE(2016,1,1)+1,1)</f>
        <v>0</v>
      </c>
      <c r="W291" s="176">
        <f>IF(T!$A$4&lt;MONTH(S291),VLOOKUP(S291,'[8]Podklady MZ'!$R$2:$S$367,2,FALSE),NA())</f>
        <v>20.967741935483872</v>
      </c>
    </row>
    <row r="292" spans="19:23" x14ac:dyDescent="0.2">
      <c r="S292" s="76">
        <f t="shared" si="4"/>
        <v>42295</v>
      </c>
      <c r="T292" s="77">
        <f>INDEX([12]ČR!$D$18:$D$383,DATE(2016,MONTH(S292),DAY(S292))-DATE(2016,1,1)+1,1)/1000000</f>
        <v>14.211969279977012</v>
      </c>
      <c r="U292" s="77" t="e">
        <f>IF(T!$A$4&gt;=MONTH(S292),VLOOKUP(S292,'[8]Podklady MZ'!$R$2:$S$367,2,FALSE),NA())</f>
        <v>#N/A</v>
      </c>
      <c r="V292" s="176">
        <f>INDEX([5]PT!$AF$16:$AF$381,DATE(2016,MONTH(S292),DAY(S292))-DATE(2016,1,1)+1,1)</f>
        <v>0</v>
      </c>
      <c r="W292" s="176">
        <f>IF(T!$A$4&lt;MONTH(S292),VLOOKUP(S292,'[8]Podklady MZ'!$R$2:$S$367,2,FALSE),NA())</f>
        <v>20.967741935483872</v>
      </c>
    </row>
    <row r="293" spans="19:23" x14ac:dyDescent="0.2">
      <c r="S293" s="76">
        <f t="shared" si="4"/>
        <v>42296</v>
      </c>
      <c r="T293" s="77">
        <f>INDEX([12]ČR!$D$18:$D$383,DATE(2016,MONTH(S293),DAY(S293))-DATE(2016,1,1)+1,1)/1000000</f>
        <v>14.947717499801447</v>
      </c>
      <c r="U293" s="77" t="e">
        <f>IF(T!$A$4&gt;=MONTH(S293),VLOOKUP(S293,'[8]Podklady MZ'!$R$2:$S$367,2,FALSE),NA())</f>
        <v>#N/A</v>
      </c>
      <c r="V293" s="176">
        <f>INDEX([5]PT!$AF$16:$AF$381,DATE(2016,MONTH(S293),DAY(S293))-DATE(2016,1,1)+1,1)</f>
        <v>0</v>
      </c>
      <c r="W293" s="176">
        <f>IF(T!$A$4&lt;MONTH(S293),VLOOKUP(S293,'[8]Podklady MZ'!$R$2:$S$367,2,FALSE),NA())</f>
        <v>20.967741935483872</v>
      </c>
    </row>
    <row r="294" spans="19:23" x14ac:dyDescent="0.2">
      <c r="S294" s="76">
        <f t="shared" si="4"/>
        <v>42297</v>
      </c>
      <c r="T294" s="77">
        <f>INDEX([12]ČR!$D$18:$D$383,DATE(2016,MONTH(S294),DAY(S294))-DATE(2016,1,1)+1,1)/1000000</f>
        <v>17.188499080847375</v>
      </c>
      <c r="U294" s="77" t="e">
        <f>IF(T!$A$4&gt;=MONTH(S294),VLOOKUP(S294,'[8]Podklady MZ'!$R$2:$S$367,2,FALSE),NA())</f>
        <v>#N/A</v>
      </c>
      <c r="V294" s="176">
        <f>INDEX([5]PT!$AF$16:$AF$381,DATE(2016,MONTH(S294),DAY(S294))-DATE(2016,1,1)+1,1)</f>
        <v>0</v>
      </c>
      <c r="W294" s="176">
        <f>IF(T!$A$4&lt;MONTH(S294),VLOOKUP(S294,'[8]Podklady MZ'!$R$2:$S$367,2,FALSE),NA())</f>
        <v>20.967741935483872</v>
      </c>
    </row>
    <row r="295" spans="19:23" x14ac:dyDescent="0.2">
      <c r="S295" s="76">
        <f t="shared" si="4"/>
        <v>42298</v>
      </c>
      <c r="T295" s="77">
        <f>INDEX([12]ČR!$D$18:$D$383,DATE(2016,MONTH(S295),DAY(S295))-DATE(2016,1,1)+1,1)/1000000</f>
        <v>17.722348648076419</v>
      </c>
      <c r="U295" s="77" t="e">
        <f>IF(T!$A$4&gt;=MONTH(S295),VLOOKUP(S295,'[8]Podklady MZ'!$R$2:$S$367,2,FALSE),NA())</f>
        <v>#N/A</v>
      </c>
      <c r="V295" s="176">
        <f>INDEX([5]PT!$AF$16:$AF$381,DATE(2016,MONTH(S295),DAY(S295))-DATE(2016,1,1)+1,1)</f>
        <v>0</v>
      </c>
      <c r="W295" s="176">
        <f>IF(T!$A$4&lt;MONTH(S295),VLOOKUP(S295,'[8]Podklady MZ'!$R$2:$S$367,2,FALSE),NA())</f>
        <v>20.967741935483872</v>
      </c>
    </row>
    <row r="296" spans="19:23" x14ac:dyDescent="0.2">
      <c r="S296" s="76">
        <f t="shared" si="4"/>
        <v>42299</v>
      </c>
      <c r="T296" s="77">
        <f>INDEX([12]ČR!$D$18:$D$383,DATE(2016,MONTH(S296),DAY(S296))-DATE(2016,1,1)+1,1)/1000000</f>
        <v>22.243381728859848</v>
      </c>
      <c r="U296" s="77" t="e">
        <f>IF(T!$A$4&gt;=MONTH(S296),VLOOKUP(S296,'[8]Podklady MZ'!$R$2:$S$367,2,FALSE),NA())</f>
        <v>#N/A</v>
      </c>
      <c r="V296" s="176">
        <f>INDEX([5]PT!$AF$16:$AF$381,DATE(2016,MONTH(S296),DAY(S296))-DATE(2016,1,1)+1,1)</f>
        <v>0</v>
      </c>
      <c r="W296" s="176">
        <f>IF(T!$A$4&lt;MONTH(S296),VLOOKUP(S296,'[8]Podklady MZ'!$R$2:$S$367,2,FALSE),NA())</f>
        <v>20.967741935483872</v>
      </c>
    </row>
    <row r="297" spans="19:23" x14ac:dyDescent="0.2">
      <c r="S297" s="76">
        <f t="shared" si="4"/>
        <v>42300</v>
      </c>
      <c r="T297" s="77">
        <f>INDEX([12]ČR!$D$18:$D$383,DATE(2016,MONTH(S297),DAY(S297))-DATE(2016,1,1)+1,1)/1000000</f>
        <v>23.527685238451532</v>
      </c>
      <c r="U297" s="77" t="e">
        <f>IF(T!$A$4&gt;=MONTH(S297),VLOOKUP(S297,'[8]Podklady MZ'!$R$2:$S$367,2,FALSE),NA())</f>
        <v>#N/A</v>
      </c>
      <c r="V297" s="176">
        <f>INDEX([5]PT!$AF$16:$AF$381,DATE(2016,MONTH(S297),DAY(S297))-DATE(2016,1,1)+1,1)</f>
        <v>0</v>
      </c>
      <c r="W297" s="176">
        <f>IF(T!$A$4&lt;MONTH(S297),VLOOKUP(S297,'[8]Podklady MZ'!$R$2:$S$367,2,FALSE),NA())</f>
        <v>20.967741935483872</v>
      </c>
    </row>
    <row r="298" spans="19:23" x14ac:dyDescent="0.2">
      <c r="S298" s="76">
        <f t="shared" si="4"/>
        <v>42301</v>
      </c>
      <c r="T298" s="77">
        <f>INDEX([12]ČR!$D$18:$D$383,DATE(2016,MONTH(S298),DAY(S298))-DATE(2016,1,1)+1,1)/1000000</f>
        <v>24.01690304632206</v>
      </c>
      <c r="U298" s="77" t="e">
        <f>IF(T!$A$4&gt;=MONTH(S298),VLOOKUP(S298,'[8]Podklady MZ'!$R$2:$S$367,2,FALSE),NA())</f>
        <v>#N/A</v>
      </c>
      <c r="V298" s="176">
        <f>INDEX([5]PT!$AF$16:$AF$381,DATE(2016,MONTH(S298),DAY(S298))-DATE(2016,1,1)+1,1)</f>
        <v>0</v>
      </c>
      <c r="W298" s="176">
        <f>IF(T!$A$4&lt;MONTH(S298),VLOOKUP(S298,'[8]Podklady MZ'!$R$2:$S$367,2,FALSE),NA())</f>
        <v>20.967741935483872</v>
      </c>
    </row>
    <row r="299" spans="19:23" x14ac:dyDescent="0.2">
      <c r="S299" s="76">
        <f t="shared" si="4"/>
        <v>42302</v>
      </c>
      <c r="T299" s="77">
        <f>INDEX([12]ČR!$D$18:$D$383,DATE(2016,MONTH(S299),DAY(S299))-DATE(2016,1,1)+1,1)/1000000</f>
        <v>22.937737450480171</v>
      </c>
      <c r="U299" s="77" t="e">
        <f>IF(T!$A$4&gt;=MONTH(S299),VLOOKUP(S299,'[8]Podklady MZ'!$R$2:$S$367,2,FALSE),NA())</f>
        <v>#N/A</v>
      </c>
      <c r="V299" s="176">
        <f>INDEX([5]PT!$AF$16:$AF$381,DATE(2016,MONTH(S299),DAY(S299))-DATE(2016,1,1)+1,1)</f>
        <v>0</v>
      </c>
      <c r="W299" s="176">
        <f>IF(T!$A$4&lt;MONTH(S299),VLOOKUP(S299,'[8]Podklady MZ'!$R$2:$S$367,2,FALSE),NA())</f>
        <v>20.967741935483872</v>
      </c>
    </row>
    <row r="300" spans="19:23" x14ac:dyDescent="0.2">
      <c r="S300" s="76">
        <f t="shared" si="4"/>
        <v>42303</v>
      </c>
      <c r="T300" s="77">
        <f>INDEX([12]ČR!$D$18:$D$383,DATE(2016,MONTH(S300),DAY(S300))-DATE(2016,1,1)+1,1)/1000000</f>
        <v>21.763778511162005</v>
      </c>
      <c r="U300" s="77" t="e">
        <f>IF(T!$A$4&gt;=MONTH(S300),VLOOKUP(S300,'[8]Podklady MZ'!$R$2:$S$367,2,FALSE),NA())</f>
        <v>#N/A</v>
      </c>
      <c r="V300" s="176">
        <f>INDEX([5]PT!$AF$16:$AF$381,DATE(2016,MONTH(S300),DAY(S300))-DATE(2016,1,1)+1,1)</f>
        <v>0</v>
      </c>
      <c r="W300" s="176">
        <f>IF(T!$A$4&lt;MONTH(S300),VLOOKUP(S300,'[8]Podklady MZ'!$R$2:$S$367,2,FALSE),NA())</f>
        <v>20.967741935483872</v>
      </c>
    </row>
    <row r="301" spans="19:23" x14ac:dyDescent="0.2">
      <c r="S301" s="76">
        <f t="shared" si="4"/>
        <v>42304</v>
      </c>
      <c r="T301" s="77">
        <f>INDEX([12]ČR!$D$18:$D$383,DATE(2016,MONTH(S301),DAY(S301))-DATE(2016,1,1)+1,1)/1000000</f>
        <v>24.888371905281861</v>
      </c>
      <c r="U301" s="77" t="e">
        <f>IF(T!$A$4&gt;=MONTH(S301),VLOOKUP(S301,'[8]Podklady MZ'!$R$2:$S$367,2,FALSE),NA())</f>
        <v>#N/A</v>
      </c>
      <c r="V301" s="176">
        <f>INDEX([5]PT!$AF$16:$AF$381,DATE(2016,MONTH(S301),DAY(S301))-DATE(2016,1,1)+1,1)</f>
        <v>0</v>
      </c>
      <c r="W301" s="176">
        <f>IF(T!$A$4&lt;MONTH(S301),VLOOKUP(S301,'[8]Podklady MZ'!$R$2:$S$367,2,FALSE),NA())</f>
        <v>20.967741935483872</v>
      </c>
    </row>
    <row r="302" spans="19:23" x14ac:dyDescent="0.2">
      <c r="S302" s="76">
        <f t="shared" si="4"/>
        <v>42305</v>
      </c>
      <c r="T302" s="77">
        <f>INDEX([12]ČR!$D$18:$D$383,DATE(2016,MONTH(S302),DAY(S302))-DATE(2016,1,1)+1,1)/1000000</f>
        <v>25.370627351791391</v>
      </c>
      <c r="U302" s="77" t="e">
        <f>IF(T!$A$4&gt;=MONTH(S302),VLOOKUP(S302,'[8]Podklady MZ'!$R$2:$S$367,2,FALSE),NA())</f>
        <v>#N/A</v>
      </c>
      <c r="V302" s="176">
        <f>INDEX([5]PT!$AF$16:$AF$381,DATE(2016,MONTH(S302),DAY(S302))-DATE(2016,1,1)+1,1)</f>
        <v>0</v>
      </c>
      <c r="W302" s="176">
        <f>IF(T!$A$4&lt;MONTH(S302),VLOOKUP(S302,'[8]Podklady MZ'!$R$2:$S$367,2,FALSE),NA())</f>
        <v>20.967741935483872</v>
      </c>
    </row>
    <row r="303" spans="19:23" x14ac:dyDescent="0.2">
      <c r="S303" s="76">
        <f t="shared" si="4"/>
        <v>42306</v>
      </c>
      <c r="T303" s="77">
        <f>INDEX([12]ČR!$D$18:$D$383,DATE(2016,MONTH(S303),DAY(S303))-DATE(2016,1,1)+1,1)/1000000</f>
        <v>28.2283612955835</v>
      </c>
      <c r="U303" s="77" t="e">
        <f>IF(T!$A$4&gt;=MONTH(S303),VLOOKUP(S303,'[8]Podklady MZ'!$R$2:$S$367,2,FALSE),NA())</f>
        <v>#N/A</v>
      </c>
      <c r="V303" s="176">
        <f>INDEX([5]PT!$AF$16:$AF$381,DATE(2016,MONTH(S303),DAY(S303))-DATE(2016,1,1)+1,1)</f>
        <v>0</v>
      </c>
      <c r="W303" s="176">
        <f>IF(T!$A$4&lt;MONTH(S303),VLOOKUP(S303,'[8]Podklady MZ'!$R$2:$S$367,2,FALSE),NA())</f>
        <v>20.967741935483872</v>
      </c>
    </row>
    <row r="304" spans="19:23" x14ac:dyDescent="0.2">
      <c r="S304" s="76">
        <f t="shared" si="4"/>
        <v>42307</v>
      </c>
      <c r="T304" s="77">
        <f>INDEX([12]ČR!$D$18:$D$383,DATE(2016,MONTH(S304),DAY(S304))-DATE(2016,1,1)+1,1)/1000000</f>
        <v>26.823677433161933</v>
      </c>
      <c r="U304" s="77" t="e">
        <f>IF(T!$A$4&gt;=MONTH(S304),VLOOKUP(S304,'[8]Podklady MZ'!$R$2:$S$367,2,FALSE),NA())</f>
        <v>#N/A</v>
      </c>
      <c r="V304" s="176">
        <f>INDEX([5]PT!$AF$16:$AF$381,DATE(2016,MONTH(S304),DAY(S304))-DATE(2016,1,1)+1,1)</f>
        <v>0</v>
      </c>
      <c r="W304" s="176">
        <f>IF(T!$A$4&lt;MONTH(S304),VLOOKUP(S304,'[8]Podklady MZ'!$R$2:$S$367,2,FALSE),NA())</f>
        <v>20.967741935483872</v>
      </c>
    </row>
    <row r="305" spans="19:23" x14ac:dyDescent="0.2">
      <c r="S305" s="76">
        <f t="shared" si="4"/>
        <v>42308</v>
      </c>
      <c r="T305" s="77">
        <f>INDEX([12]ČR!$D$18:$D$383,DATE(2016,MONTH(S305),DAY(S305))-DATE(2016,1,1)+1,1)/1000000</f>
        <v>24.493415582819839</v>
      </c>
      <c r="U305" s="77" t="e">
        <f>IF(T!$A$4&gt;=MONTH(S305),VLOOKUP(S305,'[8]Podklady MZ'!$R$2:$S$367,2,FALSE),NA())</f>
        <v>#N/A</v>
      </c>
      <c r="V305" s="176">
        <f>INDEX([5]PT!$AF$16:$AF$381,DATE(2016,MONTH(S305),DAY(S305))-DATE(2016,1,1)+1,1)</f>
        <v>0</v>
      </c>
      <c r="W305" s="176">
        <f>IF(T!$A$4&lt;MONTH(S305),VLOOKUP(S305,'[8]Podklady MZ'!$R$2:$S$367,2,FALSE),NA())</f>
        <v>20.967741935483872</v>
      </c>
    </row>
    <row r="306" spans="19:23" x14ac:dyDescent="0.2">
      <c r="S306" s="76">
        <f t="shared" si="4"/>
        <v>42309</v>
      </c>
      <c r="T306" s="77">
        <f>INDEX([12]ČR!$D$18:$D$383,DATE(2016,MONTH(S306),DAY(S306))-DATE(2016,1,1)+1,1)/1000000</f>
        <v>20.912289029639432</v>
      </c>
      <c r="U306" s="77" t="e">
        <f>IF(T!$A$4&gt;=MONTH(S306),VLOOKUP(S306,'[8]Podklady MZ'!$R$2:$S$367,2,FALSE),NA())</f>
        <v>#N/A</v>
      </c>
      <c r="V306" s="176">
        <f>INDEX([5]PT!$AF$16:$AF$381,DATE(2016,MONTH(S306),DAY(S306))-DATE(2016,1,1)+1,1)</f>
        <v>0</v>
      </c>
      <c r="W306" s="176">
        <f>IF(T!$A$4&lt;MONTH(S306),VLOOKUP(S306,'[8]Podklady MZ'!$R$2:$S$367,2,FALSE),NA())</f>
        <v>30.666666666666668</v>
      </c>
    </row>
    <row r="307" spans="19:23" x14ac:dyDescent="0.2">
      <c r="S307" s="76">
        <f t="shared" si="4"/>
        <v>42310</v>
      </c>
      <c r="T307" s="77">
        <f>INDEX([12]ČR!$D$18:$D$383,DATE(2016,MONTH(S307),DAY(S307))-DATE(2016,1,1)+1,1)/1000000</f>
        <v>21.982390211384921</v>
      </c>
      <c r="U307" s="77" t="e">
        <f>IF(T!$A$4&gt;=MONTH(S307),VLOOKUP(S307,'[8]Podklady MZ'!$R$2:$S$367,2,FALSE),NA())</f>
        <v>#N/A</v>
      </c>
      <c r="V307" s="176">
        <f>INDEX([5]PT!$AF$16:$AF$381,DATE(2016,MONTH(S307),DAY(S307))-DATE(2016,1,1)+1,1)</f>
        <v>0</v>
      </c>
      <c r="W307" s="176">
        <f>IF(T!$A$4&lt;MONTH(S307),VLOOKUP(S307,'[8]Podklady MZ'!$R$2:$S$367,2,FALSE),NA())</f>
        <v>30.666666666666668</v>
      </c>
    </row>
    <row r="308" spans="19:23" x14ac:dyDescent="0.2">
      <c r="S308" s="76">
        <f t="shared" si="4"/>
        <v>42311</v>
      </c>
      <c r="T308" s="77">
        <f>INDEX([12]ČR!$D$18:$D$383,DATE(2016,MONTH(S308),DAY(S308))-DATE(2016,1,1)+1,1)/1000000</f>
        <v>25.279865911936046</v>
      </c>
      <c r="U308" s="77" t="e">
        <f>IF(T!$A$4&gt;=MONTH(S308),VLOOKUP(S308,'[8]Podklady MZ'!$R$2:$S$367,2,FALSE),NA())</f>
        <v>#N/A</v>
      </c>
      <c r="V308" s="176">
        <f>INDEX([5]PT!$AF$16:$AF$381,DATE(2016,MONTH(S308),DAY(S308))-DATE(2016,1,1)+1,1)</f>
        <v>0</v>
      </c>
      <c r="W308" s="176">
        <f>IF(T!$A$4&lt;MONTH(S308),VLOOKUP(S308,'[8]Podklady MZ'!$R$2:$S$367,2,FALSE),NA())</f>
        <v>30.666666666666668</v>
      </c>
    </row>
    <row r="309" spans="19:23" x14ac:dyDescent="0.2">
      <c r="S309" s="76">
        <f t="shared" si="4"/>
        <v>42312</v>
      </c>
      <c r="T309" s="77">
        <f>INDEX([12]ČR!$D$18:$D$383,DATE(2016,MONTH(S309),DAY(S309))-DATE(2016,1,1)+1,1)/1000000</f>
        <v>23.073164608872553</v>
      </c>
      <c r="U309" s="77" t="e">
        <f>IF(T!$A$4&gt;=MONTH(S309),VLOOKUP(S309,'[8]Podklady MZ'!$R$2:$S$367,2,FALSE),NA())</f>
        <v>#N/A</v>
      </c>
      <c r="V309" s="176">
        <f>INDEX([5]PT!$AF$16:$AF$381,DATE(2016,MONTH(S309),DAY(S309))-DATE(2016,1,1)+1,1)</f>
        <v>0</v>
      </c>
      <c r="W309" s="176">
        <f>IF(T!$A$4&lt;MONTH(S309),VLOOKUP(S309,'[8]Podklady MZ'!$R$2:$S$367,2,FALSE),NA())</f>
        <v>30.666666666666668</v>
      </c>
    </row>
    <row r="310" spans="19:23" x14ac:dyDescent="0.2">
      <c r="S310" s="76">
        <f t="shared" si="4"/>
        <v>42313</v>
      </c>
      <c r="T310" s="77">
        <f>INDEX([12]ČR!$D$18:$D$383,DATE(2016,MONTH(S310),DAY(S310))-DATE(2016,1,1)+1,1)/1000000</f>
        <v>21.650747595276584</v>
      </c>
      <c r="U310" s="77" t="e">
        <f>IF(T!$A$4&gt;=MONTH(S310),VLOOKUP(S310,'[8]Podklady MZ'!$R$2:$S$367,2,FALSE),NA())</f>
        <v>#N/A</v>
      </c>
      <c r="V310" s="176">
        <f>INDEX([5]PT!$AF$16:$AF$381,DATE(2016,MONTH(S310),DAY(S310))-DATE(2016,1,1)+1,1)</f>
        <v>0</v>
      </c>
      <c r="W310" s="176">
        <f>IF(T!$A$4&lt;MONTH(S310),VLOOKUP(S310,'[8]Podklady MZ'!$R$2:$S$367,2,FALSE),NA())</f>
        <v>30.666666666666668</v>
      </c>
    </row>
    <row r="311" spans="19:23" x14ac:dyDescent="0.2">
      <c r="S311" s="76">
        <f t="shared" si="4"/>
        <v>42314</v>
      </c>
      <c r="T311" s="77">
        <f>INDEX([12]ČR!$D$18:$D$383,DATE(2016,MONTH(S311),DAY(S311))-DATE(2016,1,1)+1,1)/1000000</f>
        <v>22.316157050328712</v>
      </c>
      <c r="U311" s="77" t="e">
        <f>IF(T!$A$4&gt;=MONTH(S311),VLOOKUP(S311,'[8]Podklady MZ'!$R$2:$S$367,2,FALSE),NA())</f>
        <v>#N/A</v>
      </c>
      <c r="V311" s="176">
        <f>INDEX([5]PT!$AF$16:$AF$381,DATE(2016,MONTH(S311),DAY(S311))-DATE(2016,1,1)+1,1)</f>
        <v>0</v>
      </c>
      <c r="W311" s="176">
        <f>IF(T!$A$4&lt;MONTH(S311),VLOOKUP(S311,'[8]Podklady MZ'!$R$2:$S$367,2,FALSE),NA())</f>
        <v>30.666666666666668</v>
      </c>
    </row>
    <row r="312" spans="19:23" x14ac:dyDescent="0.2">
      <c r="S312" s="76">
        <f t="shared" si="4"/>
        <v>42315</v>
      </c>
      <c r="T312" s="77">
        <f>INDEX([12]ČR!$D$18:$D$383,DATE(2016,MONTH(S312),DAY(S312))-DATE(2016,1,1)+1,1)/1000000</f>
        <v>22.275786396136745</v>
      </c>
      <c r="U312" s="77" t="e">
        <f>IF(T!$A$4&gt;=MONTH(S312),VLOOKUP(S312,'[8]Podklady MZ'!$R$2:$S$367,2,FALSE),NA())</f>
        <v>#N/A</v>
      </c>
      <c r="V312" s="176">
        <f>INDEX([5]PT!$AF$16:$AF$381,DATE(2016,MONTH(S312),DAY(S312))-DATE(2016,1,1)+1,1)</f>
        <v>0</v>
      </c>
      <c r="W312" s="176">
        <f>IF(T!$A$4&lt;MONTH(S312),VLOOKUP(S312,'[8]Podklady MZ'!$R$2:$S$367,2,FALSE),NA())</f>
        <v>30.666666666666668</v>
      </c>
    </row>
    <row r="313" spans="19:23" x14ac:dyDescent="0.2">
      <c r="S313" s="76">
        <f t="shared" si="4"/>
        <v>42316</v>
      </c>
      <c r="T313" s="77">
        <f>INDEX([12]ČR!$D$18:$D$383,DATE(2016,MONTH(S313),DAY(S313))-DATE(2016,1,1)+1,1)/1000000</f>
        <v>20.698948451862091</v>
      </c>
      <c r="U313" s="77" t="e">
        <f>IF(T!$A$4&gt;=MONTH(S313),VLOOKUP(S313,'[8]Podklady MZ'!$R$2:$S$367,2,FALSE),NA())</f>
        <v>#N/A</v>
      </c>
      <c r="V313" s="176">
        <f>INDEX([5]PT!$AF$16:$AF$381,DATE(2016,MONTH(S313),DAY(S313))-DATE(2016,1,1)+1,1)</f>
        <v>0</v>
      </c>
      <c r="W313" s="176">
        <f>IF(T!$A$4&lt;MONTH(S313),VLOOKUP(S313,'[8]Podklady MZ'!$R$2:$S$367,2,FALSE),NA())</f>
        <v>30.666666666666668</v>
      </c>
    </row>
    <row r="314" spans="19:23" x14ac:dyDescent="0.2">
      <c r="S314" s="76">
        <f t="shared" si="4"/>
        <v>42317</v>
      </c>
      <c r="T314" s="77">
        <f>INDEX([12]ČR!$D$18:$D$383,DATE(2016,MONTH(S314),DAY(S314))-DATE(2016,1,1)+1,1)/1000000</f>
        <v>21.200649889084382</v>
      </c>
      <c r="U314" s="77" t="e">
        <f>IF(T!$A$4&gt;=MONTH(S314),VLOOKUP(S314,'[8]Podklady MZ'!$R$2:$S$367,2,FALSE),NA())</f>
        <v>#N/A</v>
      </c>
      <c r="V314" s="176">
        <f>INDEX([5]PT!$AF$16:$AF$381,DATE(2016,MONTH(S314),DAY(S314))-DATE(2016,1,1)+1,1)</f>
        <v>0</v>
      </c>
      <c r="W314" s="176">
        <f>IF(T!$A$4&lt;MONTH(S314),VLOOKUP(S314,'[8]Podklady MZ'!$R$2:$S$367,2,FALSE),NA())</f>
        <v>30.666666666666668</v>
      </c>
    </row>
    <row r="315" spans="19:23" x14ac:dyDescent="0.2">
      <c r="S315" s="76">
        <f t="shared" si="4"/>
        <v>42318</v>
      </c>
      <c r="T315" s="77">
        <f>INDEX([12]ČR!$D$18:$D$383,DATE(2016,MONTH(S315),DAY(S315))-DATE(2016,1,1)+1,1)/1000000</f>
        <v>22.81117837236047</v>
      </c>
      <c r="U315" s="77" t="e">
        <f>IF(T!$A$4&gt;=MONTH(S315),VLOOKUP(S315,'[8]Podklady MZ'!$R$2:$S$367,2,FALSE),NA())</f>
        <v>#N/A</v>
      </c>
      <c r="V315" s="176">
        <f>INDEX([5]PT!$AF$16:$AF$381,DATE(2016,MONTH(S315),DAY(S315))-DATE(2016,1,1)+1,1)</f>
        <v>0</v>
      </c>
      <c r="W315" s="176">
        <f>IF(T!$A$4&lt;MONTH(S315),VLOOKUP(S315,'[8]Podklady MZ'!$R$2:$S$367,2,FALSE),NA())</f>
        <v>30.666666666666668</v>
      </c>
    </row>
    <row r="316" spans="19:23" x14ac:dyDescent="0.2">
      <c r="S316" s="76">
        <f t="shared" si="4"/>
        <v>42319</v>
      </c>
      <c r="T316" s="77">
        <f>INDEX([12]ČR!$D$18:$D$383,DATE(2016,MONTH(S316),DAY(S316))-DATE(2016,1,1)+1,1)/1000000</f>
        <v>21.80496826783623</v>
      </c>
      <c r="U316" s="77" t="e">
        <f>IF(T!$A$4&gt;=MONTH(S316),VLOOKUP(S316,'[8]Podklady MZ'!$R$2:$S$367,2,FALSE),NA())</f>
        <v>#N/A</v>
      </c>
      <c r="V316" s="176">
        <f>INDEX([5]PT!$AF$16:$AF$381,DATE(2016,MONTH(S316),DAY(S316))-DATE(2016,1,1)+1,1)</f>
        <v>0</v>
      </c>
      <c r="W316" s="176">
        <f>IF(T!$A$4&lt;MONTH(S316),VLOOKUP(S316,'[8]Podklady MZ'!$R$2:$S$367,2,FALSE),NA())</f>
        <v>30.666666666666668</v>
      </c>
    </row>
    <row r="317" spans="19:23" x14ac:dyDescent="0.2">
      <c r="S317" s="76">
        <f t="shared" si="4"/>
        <v>42320</v>
      </c>
      <c r="T317" s="77">
        <f>INDEX([12]ČR!$D$18:$D$383,DATE(2016,MONTH(S317),DAY(S317))-DATE(2016,1,1)+1,1)/1000000</f>
        <v>21.557851782787974</v>
      </c>
      <c r="U317" s="77" t="e">
        <f>IF(T!$A$4&gt;=MONTH(S317),VLOOKUP(S317,'[8]Podklady MZ'!$R$2:$S$367,2,FALSE),NA())</f>
        <v>#N/A</v>
      </c>
      <c r="V317" s="176">
        <f>INDEX([5]PT!$AF$16:$AF$381,DATE(2016,MONTH(S317),DAY(S317))-DATE(2016,1,1)+1,1)</f>
        <v>0</v>
      </c>
      <c r="W317" s="176">
        <f>IF(T!$A$4&lt;MONTH(S317),VLOOKUP(S317,'[8]Podklady MZ'!$R$2:$S$367,2,FALSE),NA())</f>
        <v>30.666666666666668</v>
      </c>
    </row>
    <row r="318" spans="19:23" x14ac:dyDescent="0.2">
      <c r="S318" s="76">
        <f t="shared" si="4"/>
        <v>42321</v>
      </c>
      <c r="T318" s="77">
        <f>INDEX([12]ČR!$D$18:$D$383,DATE(2016,MONTH(S318),DAY(S318))-DATE(2016,1,1)+1,1)/1000000</f>
        <v>22.454958396599547</v>
      </c>
      <c r="U318" s="77" t="e">
        <f>IF(T!$A$4&gt;=MONTH(S318),VLOOKUP(S318,'[8]Podklady MZ'!$R$2:$S$367,2,FALSE),NA())</f>
        <v>#N/A</v>
      </c>
      <c r="V318" s="176">
        <f>INDEX([5]PT!$AF$16:$AF$381,DATE(2016,MONTH(S318),DAY(S318))-DATE(2016,1,1)+1,1)</f>
        <v>0</v>
      </c>
      <c r="W318" s="176">
        <f>IF(T!$A$4&lt;MONTH(S318),VLOOKUP(S318,'[8]Podklady MZ'!$R$2:$S$367,2,FALSE),NA())</f>
        <v>30.666666666666668</v>
      </c>
    </row>
    <row r="319" spans="19:23" x14ac:dyDescent="0.2">
      <c r="S319" s="76">
        <f t="shared" si="4"/>
        <v>42322</v>
      </c>
      <c r="T319" s="77">
        <f>INDEX([12]ČR!$D$18:$D$383,DATE(2016,MONTH(S319),DAY(S319))-DATE(2016,1,1)+1,1)/1000000</f>
        <v>22.257612890457679</v>
      </c>
      <c r="U319" s="77" t="e">
        <f>IF(T!$A$4&gt;=MONTH(S319),VLOOKUP(S319,'[8]Podklady MZ'!$R$2:$S$367,2,FALSE),NA())</f>
        <v>#N/A</v>
      </c>
      <c r="V319" s="176">
        <f>INDEX([5]PT!$AF$16:$AF$381,DATE(2016,MONTH(S319),DAY(S319))-DATE(2016,1,1)+1,1)</f>
        <v>0</v>
      </c>
      <c r="W319" s="176">
        <f>IF(T!$A$4&lt;MONTH(S319),VLOOKUP(S319,'[8]Podklady MZ'!$R$2:$S$367,2,FALSE),NA())</f>
        <v>30.666666666666668</v>
      </c>
    </row>
    <row r="320" spans="19:23" x14ac:dyDescent="0.2">
      <c r="S320" s="76">
        <f t="shared" si="4"/>
        <v>42323</v>
      </c>
      <c r="T320" s="77">
        <f>INDEX([12]ČR!$D$18:$D$383,DATE(2016,MONTH(S320),DAY(S320))-DATE(2016,1,1)+1,1)/1000000</f>
        <v>19.787129472882192</v>
      </c>
      <c r="U320" s="77" t="e">
        <f>IF(T!$A$4&gt;=MONTH(S320),VLOOKUP(S320,'[8]Podklady MZ'!$R$2:$S$367,2,FALSE),NA())</f>
        <v>#N/A</v>
      </c>
      <c r="V320" s="176">
        <f>INDEX([5]PT!$AF$16:$AF$381,DATE(2016,MONTH(S320),DAY(S320))-DATE(2016,1,1)+1,1)</f>
        <v>0</v>
      </c>
      <c r="W320" s="176">
        <f>IF(T!$A$4&lt;MONTH(S320),VLOOKUP(S320,'[8]Podklady MZ'!$R$2:$S$367,2,FALSE),NA())</f>
        <v>30.666666666666668</v>
      </c>
    </row>
    <row r="321" spans="19:23" x14ac:dyDescent="0.2">
      <c r="S321" s="76">
        <f t="shared" si="4"/>
        <v>42324</v>
      </c>
      <c r="T321" s="77">
        <f>INDEX([12]ČR!$D$18:$D$383,DATE(2016,MONTH(S321),DAY(S321))-DATE(2016,1,1)+1,1)/1000000</f>
        <v>20.345206402121487</v>
      </c>
      <c r="U321" s="77" t="e">
        <f>IF(T!$A$4&gt;=MONTH(S321),VLOOKUP(S321,'[8]Podklady MZ'!$R$2:$S$367,2,FALSE),NA())</f>
        <v>#N/A</v>
      </c>
      <c r="V321" s="176">
        <f>INDEX([5]PT!$AF$16:$AF$381,DATE(2016,MONTH(S321),DAY(S321))-DATE(2016,1,1)+1,1)</f>
        <v>0</v>
      </c>
      <c r="W321" s="176">
        <f>IF(T!$A$4&lt;MONTH(S321),VLOOKUP(S321,'[8]Podklady MZ'!$R$2:$S$367,2,FALSE),NA())</f>
        <v>30.666666666666668</v>
      </c>
    </row>
    <row r="322" spans="19:23" x14ac:dyDescent="0.2">
      <c r="S322" s="76">
        <f t="shared" si="4"/>
        <v>42325</v>
      </c>
      <c r="T322" s="77">
        <f>INDEX([12]ČR!$D$18:$D$383,DATE(2016,MONTH(S322),DAY(S322))-DATE(2016,1,1)+1,1)/1000000</f>
        <v>22.738910999606844</v>
      </c>
      <c r="U322" s="77" t="e">
        <f>IF(T!$A$4&gt;=MONTH(S322),VLOOKUP(S322,'[8]Podklady MZ'!$R$2:$S$367,2,FALSE),NA())</f>
        <v>#N/A</v>
      </c>
      <c r="V322" s="176">
        <f>INDEX([5]PT!$AF$16:$AF$381,DATE(2016,MONTH(S322),DAY(S322))-DATE(2016,1,1)+1,1)</f>
        <v>0</v>
      </c>
      <c r="W322" s="176">
        <f>IF(T!$A$4&lt;MONTH(S322),VLOOKUP(S322,'[8]Podklady MZ'!$R$2:$S$367,2,FALSE),NA())</f>
        <v>30.666666666666668</v>
      </c>
    </row>
    <row r="323" spans="19:23" x14ac:dyDescent="0.2">
      <c r="S323" s="76">
        <f t="shared" si="4"/>
        <v>42326</v>
      </c>
      <c r="T323" s="77">
        <f>INDEX([12]ČR!$D$18:$D$383,DATE(2016,MONTH(S323),DAY(S323))-DATE(2016,1,1)+1,1)/1000000</f>
        <v>25.684126201302274</v>
      </c>
      <c r="U323" s="77" t="e">
        <f>IF(T!$A$4&gt;=MONTH(S323),VLOOKUP(S323,'[8]Podklady MZ'!$R$2:$S$367,2,FALSE),NA())</f>
        <v>#N/A</v>
      </c>
      <c r="V323" s="176">
        <f>INDEX([5]PT!$AF$16:$AF$381,DATE(2016,MONTH(S323),DAY(S323))-DATE(2016,1,1)+1,1)</f>
        <v>0</v>
      </c>
      <c r="W323" s="176">
        <f>IF(T!$A$4&lt;MONTH(S323),VLOOKUP(S323,'[8]Podklady MZ'!$R$2:$S$367,2,FALSE),NA())</f>
        <v>30.666666666666668</v>
      </c>
    </row>
    <row r="324" spans="19:23" x14ac:dyDescent="0.2">
      <c r="S324" s="76">
        <f t="shared" ref="S324:S367" si="5">S323+1</f>
        <v>42327</v>
      </c>
      <c r="T324" s="77">
        <f>INDEX([12]ČR!$D$18:$D$383,DATE(2016,MONTH(S324),DAY(S324))-DATE(2016,1,1)+1,1)/1000000</f>
        <v>27.277887054788337</v>
      </c>
      <c r="U324" s="77" t="e">
        <f>IF(T!$A$4&gt;=MONTH(S324),VLOOKUP(S324,'[8]Podklady MZ'!$R$2:$S$367,2,FALSE),NA())</f>
        <v>#N/A</v>
      </c>
      <c r="V324" s="176">
        <f>INDEX([5]PT!$AF$16:$AF$381,DATE(2016,MONTH(S324),DAY(S324))-DATE(2016,1,1)+1,1)</f>
        <v>0</v>
      </c>
      <c r="W324" s="176">
        <f>IF(T!$A$4&lt;MONTH(S324),VLOOKUP(S324,'[8]Podklady MZ'!$R$2:$S$367,2,FALSE),NA())</f>
        <v>30.666666666666668</v>
      </c>
    </row>
    <row r="325" spans="19:23" x14ac:dyDescent="0.2">
      <c r="S325" s="76">
        <f t="shared" si="5"/>
        <v>42328</v>
      </c>
      <c r="T325" s="77">
        <f>INDEX([12]ČR!$D$18:$D$383,DATE(2016,MONTH(S325),DAY(S325))-DATE(2016,1,1)+1,1)/1000000</f>
        <v>29.719113556801638</v>
      </c>
      <c r="U325" s="77" t="e">
        <f>IF(T!$A$4&gt;=MONTH(S325),VLOOKUP(S325,'[8]Podklady MZ'!$R$2:$S$367,2,FALSE),NA())</f>
        <v>#N/A</v>
      </c>
      <c r="V325" s="176">
        <f>INDEX([5]PT!$AF$16:$AF$381,DATE(2016,MONTH(S325),DAY(S325))-DATE(2016,1,1)+1,1)</f>
        <v>0</v>
      </c>
      <c r="W325" s="176">
        <f>IF(T!$A$4&lt;MONTH(S325),VLOOKUP(S325,'[8]Podklady MZ'!$R$2:$S$367,2,FALSE),NA())</f>
        <v>30.666666666666668</v>
      </c>
    </row>
    <row r="326" spans="19:23" x14ac:dyDescent="0.2">
      <c r="S326" s="76">
        <f t="shared" si="5"/>
        <v>42329</v>
      </c>
      <c r="T326" s="77">
        <f>INDEX([12]ČR!$D$18:$D$383,DATE(2016,MONTH(S326),DAY(S326))-DATE(2016,1,1)+1,1)/1000000</f>
        <v>29.621216859039418</v>
      </c>
      <c r="U326" s="77" t="e">
        <f>IF(T!$A$4&gt;=MONTH(S326),VLOOKUP(S326,'[8]Podklady MZ'!$R$2:$S$367,2,FALSE),NA())</f>
        <v>#N/A</v>
      </c>
      <c r="V326" s="176">
        <f>INDEX([5]PT!$AF$16:$AF$381,DATE(2016,MONTH(S326),DAY(S326))-DATE(2016,1,1)+1,1)</f>
        <v>0</v>
      </c>
      <c r="W326" s="176">
        <f>IF(T!$A$4&lt;MONTH(S326),VLOOKUP(S326,'[8]Podklady MZ'!$R$2:$S$367,2,FALSE),NA())</f>
        <v>30.666666666666668</v>
      </c>
    </row>
    <row r="327" spans="19:23" x14ac:dyDescent="0.2">
      <c r="S327" s="76">
        <f t="shared" si="5"/>
        <v>42330</v>
      </c>
      <c r="T327" s="77">
        <f>INDEX([12]ČR!$D$18:$D$383,DATE(2016,MONTH(S327),DAY(S327))-DATE(2016,1,1)+1,1)/1000000</f>
        <v>26.33254105264739</v>
      </c>
      <c r="U327" s="77" t="e">
        <f>IF(T!$A$4&gt;=MONTH(S327),VLOOKUP(S327,'[8]Podklady MZ'!$R$2:$S$367,2,FALSE),NA())</f>
        <v>#N/A</v>
      </c>
      <c r="V327" s="176">
        <f>INDEX([5]PT!$AF$16:$AF$381,DATE(2016,MONTH(S327),DAY(S327))-DATE(2016,1,1)+1,1)</f>
        <v>0</v>
      </c>
      <c r="W327" s="176">
        <f>IF(T!$A$4&lt;MONTH(S327),VLOOKUP(S327,'[8]Podklady MZ'!$R$2:$S$367,2,FALSE),NA())</f>
        <v>30.666666666666668</v>
      </c>
    </row>
    <row r="328" spans="19:23" x14ac:dyDescent="0.2">
      <c r="S328" s="76">
        <f t="shared" si="5"/>
        <v>42331</v>
      </c>
      <c r="T328" s="77">
        <f>INDEX([12]ČR!$D$18:$D$383,DATE(2016,MONTH(S328),DAY(S328))-DATE(2016,1,1)+1,1)/1000000</f>
        <v>27.115409336794084</v>
      </c>
      <c r="U328" s="77" t="e">
        <f>IF(T!$A$4&gt;=MONTH(S328),VLOOKUP(S328,'[8]Podklady MZ'!$R$2:$S$367,2,FALSE),NA())</f>
        <v>#N/A</v>
      </c>
      <c r="V328" s="176">
        <f>INDEX([5]PT!$AF$16:$AF$381,DATE(2016,MONTH(S328),DAY(S328))-DATE(2016,1,1)+1,1)</f>
        <v>0</v>
      </c>
      <c r="W328" s="176">
        <f>IF(T!$A$4&lt;MONTH(S328),VLOOKUP(S328,'[8]Podklady MZ'!$R$2:$S$367,2,FALSE),NA())</f>
        <v>30.666666666666668</v>
      </c>
    </row>
    <row r="329" spans="19:23" x14ac:dyDescent="0.2">
      <c r="S329" s="76">
        <f t="shared" si="5"/>
        <v>42332</v>
      </c>
      <c r="T329" s="77">
        <f>INDEX([12]ČR!$D$18:$D$383,DATE(2016,MONTH(S329),DAY(S329))-DATE(2016,1,1)+1,1)/1000000</f>
        <v>30.724654955265521</v>
      </c>
      <c r="U329" s="77" t="e">
        <f>IF(T!$A$4&gt;=MONTH(S329),VLOOKUP(S329,'[8]Podklady MZ'!$R$2:$S$367,2,FALSE),NA())</f>
        <v>#N/A</v>
      </c>
      <c r="V329" s="176">
        <f>INDEX([5]PT!$AF$16:$AF$381,DATE(2016,MONTH(S329),DAY(S329))-DATE(2016,1,1)+1,1)</f>
        <v>0</v>
      </c>
      <c r="W329" s="176">
        <f>IF(T!$A$4&lt;MONTH(S329),VLOOKUP(S329,'[8]Podklady MZ'!$R$2:$S$367,2,FALSE),NA())</f>
        <v>30.666666666666668</v>
      </c>
    </row>
    <row r="330" spans="19:23" x14ac:dyDescent="0.2">
      <c r="S330" s="76">
        <f t="shared" si="5"/>
        <v>42333</v>
      </c>
      <c r="T330" s="77">
        <f>INDEX([12]ČR!$D$18:$D$383,DATE(2016,MONTH(S330),DAY(S330))-DATE(2016,1,1)+1,1)/1000000</f>
        <v>31.346045493034111</v>
      </c>
      <c r="U330" s="77" t="e">
        <f>IF(T!$A$4&gt;=MONTH(S330),VLOOKUP(S330,'[8]Podklady MZ'!$R$2:$S$367,2,FALSE),NA())</f>
        <v>#N/A</v>
      </c>
      <c r="V330" s="176">
        <f>INDEX([5]PT!$AF$16:$AF$381,DATE(2016,MONTH(S330),DAY(S330))-DATE(2016,1,1)+1,1)</f>
        <v>0</v>
      </c>
      <c r="W330" s="176">
        <f>IF(T!$A$4&lt;MONTH(S330),VLOOKUP(S330,'[8]Podklady MZ'!$R$2:$S$367,2,FALSE),NA())</f>
        <v>30.666666666666668</v>
      </c>
    </row>
    <row r="331" spans="19:23" x14ac:dyDescent="0.2">
      <c r="S331" s="76">
        <f t="shared" si="5"/>
        <v>42334</v>
      </c>
      <c r="T331" s="77">
        <f>INDEX([12]ČR!$D$18:$D$383,DATE(2016,MONTH(S331),DAY(S331))-DATE(2016,1,1)+1,1)/1000000</f>
        <v>32.961816098163993</v>
      </c>
      <c r="U331" s="77" t="e">
        <f>IF(T!$A$4&gt;=MONTH(S331),VLOOKUP(S331,'[8]Podklady MZ'!$R$2:$S$367,2,FALSE),NA())</f>
        <v>#N/A</v>
      </c>
      <c r="V331" s="176">
        <f>INDEX([5]PT!$AF$16:$AF$381,DATE(2016,MONTH(S331),DAY(S331))-DATE(2016,1,1)+1,1)</f>
        <v>0</v>
      </c>
      <c r="W331" s="176">
        <f>IF(T!$A$4&lt;MONTH(S331),VLOOKUP(S331,'[8]Podklady MZ'!$R$2:$S$367,2,FALSE),NA())</f>
        <v>30.666666666666668</v>
      </c>
    </row>
    <row r="332" spans="19:23" x14ac:dyDescent="0.2">
      <c r="S332" s="76">
        <f t="shared" si="5"/>
        <v>42335</v>
      </c>
      <c r="T332" s="77">
        <f>INDEX([12]ČR!$D$18:$D$383,DATE(2016,MONTH(S332),DAY(S332))-DATE(2016,1,1)+1,1)/1000000</f>
        <v>34.212026424236335</v>
      </c>
      <c r="U332" s="77" t="e">
        <f>IF(T!$A$4&gt;=MONTH(S332),VLOOKUP(S332,'[8]Podklady MZ'!$R$2:$S$367,2,FALSE),NA())</f>
        <v>#N/A</v>
      </c>
      <c r="V332" s="176">
        <f>INDEX([5]PT!$AF$16:$AF$381,DATE(2016,MONTH(S332),DAY(S332))-DATE(2016,1,1)+1,1)</f>
        <v>0</v>
      </c>
      <c r="W332" s="176">
        <f>IF(T!$A$4&lt;MONTH(S332),VLOOKUP(S332,'[8]Podklady MZ'!$R$2:$S$367,2,FALSE),NA())</f>
        <v>30.666666666666668</v>
      </c>
    </row>
    <row r="333" spans="19:23" x14ac:dyDescent="0.2">
      <c r="S333" s="76">
        <f t="shared" si="5"/>
        <v>42336</v>
      </c>
      <c r="T333" s="77">
        <f>INDEX([12]ČR!$D$18:$D$383,DATE(2016,MONTH(S333),DAY(S333))-DATE(2016,1,1)+1,1)/1000000</f>
        <v>34.11248068993433</v>
      </c>
      <c r="U333" s="77" t="e">
        <f>IF(T!$A$4&gt;=MONTH(S333),VLOOKUP(S333,'[8]Podklady MZ'!$R$2:$S$367,2,FALSE),NA())</f>
        <v>#N/A</v>
      </c>
      <c r="V333" s="176">
        <f>INDEX([5]PT!$AF$16:$AF$381,DATE(2016,MONTH(S333),DAY(S333))-DATE(2016,1,1)+1,1)</f>
        <v>0</v>
      </c>
      <c r="W333" s="176">
        <f>IF(T!$A$4&lt;MONTH(S333),VLOOKUP(S333,'[8]Podklady MZ'!$R$2:$S$367,2,FALSE),NA())</f>
        <v>30.666666666666668</v>
      </c>
    </row>
    <row r="334" spans="19:23" x14ac:dyDescent="0.2">
      <c r="S334" s="76">
        <f t="shared" si="5"/>
        <v>42337</v>
      </c>
      <c r="T334" s="77">
        <f>INDEX([12]ČR!$D$18:$D$383,DATE(2016,MONTH(S334),DAY(S334))-DATE(2016,1,1)+1,1)/1000000</f>
        <v>31.936827460860446</v>
      </c>
      <c r="U334" s="77" t="e">
        <f>IF(T!$A$4&gt;=MONTH(S334),VLOOKUP(S334,'[8]Podklady MZ'!$R$2:$S$367,2,FALSE),NA())</f>
        <v>#N/A</v>
      </c>
      <c r="V334" s="176">
        <f>INDEX([5]PT!$AF$16:$AF$381,DATE(2016,MONTH(S334),DAY(S334))-DATE(2016,1,1)+1,1)</f>
        <v>0</v>
      </c>
      <c r="W334" s="176">
        <f>IF(T!$A$4&lt;MONTH(S334),VLOOKUP(S334,'[8]Podklady MZ'!$R$2:$S$367,2,FALSE),NA())</f>
        <v>30.666666666666668</v>
      </c>
    </row>
    <row r="335" spans="19:23" x14ac:dyDescent="0.2">
      <c r="S335" s="76">
        <f t="shared" si="5"/>
        <v>42338</v>
      </c>
      <c r="T335" s="77">
        <f>INDEX([12]ČR!$D$18:$D$383,DATE(2016,MONTH(S335),DAY(S335))-DATE(2016,1,1)+1,1)/1000000</f>
        <v>32.779629590800965</v>
      </c>
      <c r="U335" s="77" t="e">
        <f>IF(T!$A$4&gt;=MONTH(S335),VLOOKUP(S335,'[8]Podklady MZ'!$R$2:$S$367,2,FALSE),NA())</f>
        <v>#N/A</v>
      </c>
      <c r="V335" s="176">
        <f>INDEX([5]PT!$AF$16:$AF$381,DATE(2016,MONTH(S335),DAY(S335))-DATE(2016,1,1)+1,1)</f>
        <v>0</v>
      </c>
      <c r="W335" s="176">
        <f>IF(T!$A$4&lt;MONTH(S335),VLOOKUP(S335,'[8]Podklady MZ'!$R$2:$S$367,2,FALSE),NA())</f>
        <v>30.666666666666668</v>
      </c>
    </row>
    <row r="336" spans="19:23" x14ac:dyDescent="0.2">
      <c r="S336" s="76">
        <f t="shared" si="5"/>
        <v>42339</v>
      </c>
      <c r="T336" s="77">
        <f>INDEX([12]ČR!$D$18:$D$383,DATE(2016,MONTH(S336),DAY(S336))-DATE(2016,1,1)+1,1)/1000000</f>
        <v>37.854518178144026</v>
      </c>
      <c r="U336" s="77" t="e">
        <f>IF(T!$A$4&gt;=MONTH(S336),VLOOKUP(S336,'[8]Podklady MZ'!$R$2:$S$367,2,FALSE),NA())</f>
        <v>#N/A</v>
      </c>
      <c r="V336" s="176">
        <f>INDEX([5]PT!$AF$16:$AF$381,DATE(2016,MONTH(S336),DAY(S336))-DATE(2016,1,1)+1,1)</f>
        <v>0</v>
      </c>
      <c r="W336" s="176">
        <f>IF(T!$A$4&lt;MONTH(S336),VLOOKUP(S336,'[8]Podklady MZ'!$R$2:$S$367,2,FALSE),NA())</f>
        <v>34.838709677419352</v>
      </c>
    </row>
    <row r="337" spans="19:23" x14ac:dyDescent="0.2">
      <c r="S337" s="76">
        <f t="shared" si="5"/>
        <v>42340</v>
      </c>
      <c r="T337" s="77">
        <f>INDEX([12]ČR!$D$18:$D$383,DATE(2016,MONTH(S337),DAY(S337))-DATE(2016,1,1)+1,1)/1000000</f>
        <v>38.441498500806389</v>
      </c>
      <c r="U337" s="77" t="e">
        <f>IF(T!$A$4&gt;=MONTH(S337),VLOOKUP(S337,'[8]Podklady MZ'!$R$2:$S$367,2,FALSE),NA())</f>
        <v>#N/A</v>
      </c>
      <c r="V337" s="176">
        <f>INDEX([5]PT!$AF$16:$AF$381,DATE(2016,MONTH(S337),DAY(S337))-DATE(2016,1,1)+1,1)</f>
        <v>0</v>
      </c>
      <c r="W337" s="176">
        <f>IF(T!$A$4&lt;MONTH(S337),VLOOKUP(S337,'[8]Podklady MZ'!$R$2:$S$367,2,FALSE),NA())</f>
        <v>34.838709677419352</v>
      </c>
    </row>
    <row r="338" spans="19:23" x14ac:dyDescent="0.2">
      <c r="S338" s="76">
        <f t="shared" si="5"/>
        <v>42341</v>
      </c>
      <c r="T338" s="77">
        <f>INDEX([12]ČR!$D$18:$D$383,DATE(2016,MONTH(S338),DAY(S338))-DATE(2016,1,1)+1,1)/1000000</f>
        <v>36.109693127145711</v>
      </c>
      <c r="U338" s="77" t="e">
        <f>IF(T!$A$4&gt;=MONTH(S338),VLOOKUP(S338,'[8]Podklady MZ'!$R$2:$S$367,2,FALSE),NA())</f>
        <v>#N/A</v>
      </c>
      <c r="V338" s="176">
        <f>INDEX([5]PT!$AF$16:$AF$381,DATE(2016,MONTH(S338),DAY(S338))-DATE(2016,1,1)+1,1)</f>
        <v>0</v>
      </c>
      <c r="W338" s="176">
        <f>IF(T!$A$4&lt;MONTH(S338),VLOOKUP(S338,'[8]Podklady MZ'!$R$2:$S$367,2,FALSE),NA())</f>
        <v>34.838709677419352</v>
      </c>
    </row>
    <row r="339" spans="19:23" x14ac:dyDescent="0.2">
      <c r="S339" s="76">
        <f t="shared" si="5"/>
        <v>42342</v>
      </c>
      <c r="T339" s="77">
        <f>INDEX([12]ČR!$D$18:$D$383,DATE(2016,MONTH(S339),DAY(S339))-DATE(2016,1,1)+1,1)/1000000</f>
        <v>33.026257705300381</v>
      </c>
      <c r="U339" s="77" t="e">
        <f>IF(T!$A$4&gt;=MONTH(S339),VLOOKUP(S339,'[8]Podklady MZ'!$R$2:$S$367,2,FALSE),NA())</f>
        <v>#N/A</v>
      </c>
      <c r="V339" s="176">
        <f>INDEX([5]PT!$AF$16:$AF$381,DATE(2016,MONTH(S339),DAY(S339))-DATE(2016,1,1)+1,1)</f>
        <v>0</v>
      </c>
      <c r="W339" s="176">
        <f>IF(T!$A$4&lt;MONTH(S339),VLOOKUP(S339,'[8]Podklady MZ'!$R$2:$S$367,2,FALSE),NA())</f>
        <v>34.838709677419352</v>
      </c>
    </row>
    <row r="340" spans="19:23" x14ac:dyDescent="0.2">
      <c r="S340" s="76">
        <f t="shared" si="5"/>
        <v>42343</v>
      </c>
      <c r="T340" s="77">
        <f>INDEX([12]ČR!$D$18:$D$383,DATE(2016,MONTH(S340),DAY(S340))-DATE(2016,1,1)+1,1)/1000000</f>
        <v>31.364279491276438</v>
      </c>
      <c r="U340" s="77" t="e">
        <f>IF(T!$A$4&gt;=MONTH(S340),VLOOKUP(S340,'[8]Podklady MZ'!$R$2:$S$367,2,FALSE),NA())</f>
        <v>#N/A</v>
      </c>
      <c r="V340" s="176">
        <f>INDEX([5]PT!$AF$16:$AF$381,DATE(2016,MONTH(S340),DAY(S340))-DATE(2016,1,1)+1,1)</f>
        <v>0</v>
      </c>
      <c r="W340" s="176">
        <f>IF(T!$A$4&lt;MONTH(S340),VLOOKUP(S340,'[8]Podklady MZ'!$R$2:$S$367,2,FALSE),NA())</f>
        <v>34.838709677419352</v>
      </c>
    </row>
    <row r="341" spans="19:23" x14ac:dyDescent="0.2">
      <c r="S341" s="76">
        <f t="shared" si="5"/>
        <v>42344</v>
      </c>
      <c r="T341" s="77">
        <f>INDEX([12]ČR!$D$18:$D$383,DATE(2016,MONTH(S341),DAY(S341))-DATE(2016,1,1)+1,1)/1000000</f>
        <v>28.517927459846142</v>
      </c>
      <c r="U341" s="77" t="e">
        <f>IF(T!$A$4&gt;=MONTH(S341),VLOOKUP(S341,'[8]Podklady MZ'!$R$2:$S$367,2,FALSE),NA())</f>
        <v>#N/A</v>
      </c>
      <c r="V341" s="176">
        <f>INDEX([5]PT!$AF$16:$AF$381,DATE(2016,MONTH(S341),DAY(S341))-DATE(2016,1,1)+1,1)</f>
        <v>0</v>
      </c>
      <c r="W341" s="176">
        <f>IF(T!$A$4&lt;MONTH(S341),VLOOKUP(S341,'[8]Podklady MZ'!$R$2:$S$367,2,FALSE),NA())</f>
        <v>34.838709677419352</v>
      </c>
    </row>
    <row r="342" spans="19:23" x14ac:dyDescent="0.2">
      <c r="S342" s="76">
        <f t="shared" si="5"/>
        <v>42345</v>
      </c>
      <c r="T342" s="77">
        <f>INDEX([12]ČR!$D$18:$D$383,DATE(2016,MONTH(S342),DAY(S342))-DATE(2016,1,1)+1,1)/1000000</f>
        <v>29.51894368749495</v>
      </c>
      <c r="U342" s="77" t="e">
        <f>IF(T!$A$4&gt;=MONTH(S342),VLOOKUP(S342,'[8]Podklady MZ'!$R$2:$S$367,2,FALSE),NA())</f>
        <v>#N/A</v>
      </c>
      <c r="V342" s="176">
        <f>INDEX([5]PT!$AF$16:$AF$381,DATE(2016,MONTH(S342),DAY(S342))-DATE(2016,1,1)+1,1)</f>
        <v>0</v>
      </c>
      <c r="W342" s="176">
        <f>IF(T!$A$4&lt;MONTH(S342),VLOOKUP(S342,'[8]Podklady MZ'!$R$2:$S$367,2,FALSE),NA())</f>
        <v>34.838709677419352</v>
      </c>
    </row>
    <row r="343" spans="19:23" x14ac:dyDescent="0.2">
      <c r="S343" s="76">
        <f t="shared" si="5"/>
        <v>42346</v>
      </c>
      <c r="T343" s="77">
        <f>INDEX([12]ČR!$D$18:$D$383,DATE(2016,MONTH(S343),DAY(S343))-DATE(2016,1,1)+1,1)/1000000</f>
        <v>34.209591018453935</v>
      </c>
      <c r="U343" s="77" t="e">
        <f>IF(T!$A$4&gt;=MONTH(S343),VLOOKUP(S343,'[8]Podklady MZ'!$R$2:$S$367,2,FALSE),NA())</f>
        <v>#N/A</v>
      </c>
      <c r="V343" s="176">
        <f>INDEX([5]PT!$AF$16:$AF$381,DATE(2016,MONTH(S343),DAY(S343))-DATE(2016,1,1)+1,1)</f>
        <v>0</v>
      </c>
      <c r="W343" s="176">
        <f>IF(T!$A$4&lt;MONTH(S343),VLOOKUP(S343,'[8]Podklady MZ'!$R$2:$S$367,2,FALSE),NA())</f>
        <v>34.838709677419352</v>
      </c>
    </row>
    <row r="344" spans="19:23" x14ac:dyDescent="0.2">
      <c r="S344" s="76">
        <f t="shared" si="5"/>
        <v>42347</v>
      </c>
      <c r="T344" s="77">
        <f>INDEX([12]ČR!$D$18:$D$383,DATE(2016,MONTH(S344),DAY(S344))-DATE(2016,1,1)+1,1)/1000000</f>
        <v>37.338847312350239</v>
      </c>
      <c r="U344" s="77" t="e">
        <f>IF(T!$A$4&gt;=MONTH(S344),VLOOKUP(S344,'[8]Podklady MZ'!$R$2:$S$367,2,FALSE),NA())</f>
        <v>#N/A</v>
      </c>
      <c r="V344" s="176">
        <f>INDEX([5]PT!$AF$16:$AF$381,DATE(2016,MONTH(S344),DAY(S344))-DATE(2016,1,1)+1,1)</f>
        <v>0</v>
      </c>
      <c r="W344" s="176">
        <f>IF(T!$A$4&lt;MONTH(S344),VLOOKUP(S344,'[8]Podklady MZ'!$R$2:$S$367,2,FALSE),NA())</f>
        <v>34.838709677419352</v>
      </c>
    </row>
    <row r="345" spans="19:23" x14ac:dyDescent="0.2">
      <c r="S345" s="76">
        <f t="shared" si="5"/>
        <v>42348</v>
      </c>
      <c r="T345" s="77">
        <f>INDEX([12]ČR!$D$18:$D$383,DATE(2016,MONTH(S345),DAY(S345))-DATE(2016,1,1)+1,1)/1000000</f>
        <v>38.204923429852293</v>
      </c>
      <c r="U345" s="77" t="e">
        <f>IF(T!$A$4&gt;=MONTH(S345),VLOOKUP(S345,'[8]Podklady MZ'!$R$2:$S$367,2,FALSE),NA())</f>
        <v>#N/A</v>
      </c>
      <c r="V345" s="176">
        <f>INDEX([5]PT!$AF$16:$AF$381,DATE(2016,MONTH(S345),DAY(S345))-DATE(2016,1,1)+1,1)</f>
        <v>0</v>
      </c>
      <c r="W345" s="176">
        <f>IF(T!$A$4&lt;MONTH(S345),VLOOKUP(S345,'[8]Podklady MZ'!$R$2:$S$367,2,FALSE),NA())</f>
        <v>34.838709677419352</v>
      </c>
    </row>
    <row r="346" spans="19:23" x14ac:dyDescent="0.2">
      <c r="S346" s="76">
        <f t="shared" si="5"/>
        <v>42349</v>
      </c>
      <c r="T346" s="77">
        <f>INDEX([12]ČR!$D$18:$D$383,DATE(2016,MONTH(S346),DAY(S346))-DATE(2016,1,1)+1,1)/1000000</f>
        <v>35.644809926941086</v>
      </c>
      <c r="U346" s="77" t="e">
        <f>IF(T!$A$4&gt;=MONTH(S346),VLOOKUP(S346,'[8]Podklady MZ'!$R$2:$S$367,2,FALSE),NA())</f>
        <v>#N/A</v>
      </c>
      <c r="V346" s="176">
        <f>INDEX([5]PT!$AF$16:$AF$381,DATE(2016,MONTH(S346),DAY(S346))-DATE(2016,1,1)+1,1)</f>
        <v>0</v>
      </c>
      <c r="W346" s="176">
        <f>IF(T!$A$4&lt;MONTH(S346),VLOOKUP(S346,'[8]Podklady MZ'!$R$2:$S$367,2,FALSE),NA())</f>
        <v>34.838709677419352</v>
      </c>
    </row>
    <row r="347" spans="19:23" x14ac:dyDescent="0.2">
      <c r="S347" s="76">
        <f t="shared" si="5"/>
        <v>42350</v>
      </c>
      <c r="T347" s="77">
        <f>INDEX([12]ČR!$D$18:$D$383,DATE(2016,MONTH(S347),DAY(S347))-DATE(2016,1,1)+1,1)/1000000</f>
        <v>31.430502833099503</v>
      </c>
      <c r="U347" s="77" t="e">
        <f>IF(T!$A$4&gt;=MONTH(S347),VLOOKUP(S347,'[8]Podklady MZ'!$R$2:$S$367,2,FALSE),NA())</f>
        <v>#N/A</v>
      </c>
      <c r="V347" s="176">
        <f>INDEX([5]PT!$AF$16:$AF$381,DATE(2016,MONTH(S347),DAY(S347))-DATE(2016,1,1)+1,1)</f>
        <v>0</v>
      </c>
      <c r="W347" s="176">
        <f>IF(T!$A$4&lt;MONTH(S347),VLOOKUP(S347,'[8]Podklady MZ'!$R$2:$S$367,2,FALSE),NA())</f>
        <v>34.838709677419352</v>
      </c>
    </row>
    <row r="348" spans="19:23" x14ac:dyDescent="0.2">
      <c r="S348" s="76">
        <f t="shared" si="5"/>
        <v>42351</v>
      </c>
      <c r="T348" s="77">
        <f>INDEX([12]ČR!$D$18:$D$383,DATE(2016,MONTH(S348),DAY(S348))-DATE(2016,1,1)+1,1)/1000000</f>
        <v>27.420865255375002</v>
      </c>
      <c r="U348" s="77" t="e">
        <f>IF(T!$A$4&gt;=MONTH(S348),VLOOKUP(S348,'[8]Podklady MZ'!$R$2:$S$367,2,FALSE),NA())</f>
        <v>#N/A</v>
      </c>
      <c r="V348" s="176">
        <f>INDEX([5]PT!$AF$16:$AF$381,DATE(2016,MONTH(S348),DAY(S348))-DATE(2016,1,1)+1,1)</f>
        <v>0</v>
      </c>
      <c r="W348" s="176">
        <f>IF(T!$A$4&lt;MONTH(S348),VLOOKUP(S348,'[8]Podklady MZ'!$R$2:$S$367,2,FALSE),NA())</f>
        <v>34.838709677419352</v>
      </c>
    </row>
    <row r="349" spans="19:23" x14ac:dyDescent="0.2">
      <c r="S349" s="76">
        <f t="shared" si="5"/>
        <v>42352</v>
      </c>
      <c r="T349" s="77">
        <f>INDEX([12]ČR!$D$18:$D$383,DATE(2016,MONTH(S349),DAY(S349))-DATE(2016,1,1)+1,1)/1000000</f>
        <v>28.083426580878104</v>
      </c>
      <c r="U349" s="77" t="e">
        <f>IF(T!$A$4&gt;=MONTH(S349),VLOOKUP(S349,'[8]Podklady MZ'!$R$2:$S$367,2,FALSE),NA())</f>
        <v>#N/A</v>
      </c>
      <c r="V349" s="176">
        <f>INDEX([5]PT!$AF$16:$AF$381,DATE(2016,MONTH(S349),DAY(S349))-DATE(2016,1,1)+1,1)</f>
        <v>0</v>
      </c>
      <c r="W349" s="176">
        <f>IF(T!$A$4&lt;MONTH(S349),VLOOKUP(S349,'[8]Podklady MZ'!$R$2:$S$367,2,FALSE),NA())</f>
        <v>34.838709677419352</v>
      </c>
    </row>
    <row r="350" spans="19:23" x14ac:dyDescent="0.2">
      <c r="S350" s="76">
        <f t="shared" si="5"/>
        <v>42353</v>
      </c>
      <c r="T350" s="77">
        <f>INDEX([12]ČR!$D$18:$D$383,DATE(2016,MONTH(S350),DAY(S350))-DATE(2016,1,1)+1,1)/1000000</f>
        <v>30.529867411220717</v>
      </c>
      <c r="U350" s="77" t="e">
        <f>IF(T!$A$4&gt;=MONTH(S350),VLOOKUP(S350,'[8]Podklady MZ'!$R$2:$S$367,2,FALSE),NA())</f>
        <v>#N/A</v>
      </c>
      <c r="V350" s="176">
        <f>INDEX([5]PT!$AF$16:$AF$381,DATE(2016,MONTH(S350),DAY(S350))-DATE(2016,1,1)+1,1)</f>
        <v>0</v>
      </c>
      <c r="W350" s="176">
        <f>IF(T!$A$4&lt;MONTH(S350),VLOOKUP(S350,'[8]Podklady MZ'!$R$2:$S$367,2,FALSE),NA())</f>
        <v>34.838709677419352</v>
      </c>
    </row>
    <row r="351" spans="19:23" x14ac:dyDescent="0.2">
      <c r="S351" s="76">
        <f t="shared" si="5"/>
        <v>42354</v>
      </c>
      <c r="T351" s="77">
        <f>INDEX([12]ČR!$D$18:$D$383,DATE(2016,MONTH(S351),DAY(S351))-DATE(2016,1,1)+1,1)/1000000</f>
        <v>30.919331233765597</v>
      </c>
      <c r="U351" s="77" t="e">
        <f>IF(T!$A$4&gt;=MONTH(S351),VLOOKUP(S351,'[8]Podklady MZ'!$R$2:$S$367,2,FALSE),NA())</f>
        <v>#N/A</v>
      </c>
      <c r="V351" s="176">
        <f>INDEX([5]PT!$AF$16:$AF$381,DATE(2016,MONTH(S351),DAY(S351))-DATE(2016,1,1)+1,1)</f>
        <v>0</v>
      </c>
      <c r="W351" s="176">
        <f>IF(T!$A$4&lt;MONTH(S351),VLOOKUP(S351,'[8]Podklady MZ'!$R$2:$S$367,2,FALSE),NA())</f>
        <v>34.838709677419352</v>
      </c>
    </row>
    <row r="352" spans="19:23" x14ac:dyDescent="0.2">
      <c r="S352" s="76">
        <f t="shared" si="5"/>
        <v>42355</v>
      </c>
      <c r="T352" s="77">
        <f>INDEX([12]ČR!$D$18:$D$383,DATE(2016,MONTH(S352),DAY(S352))-DATE(2016,1,1)+1,1)/1000000</f>
        <v>31.288395402017816</v>
      </c>
      <c r="U352" s="77" t="e">
        <f>IF(T!$A$4&gt;=MONTH(S352),VLOOKUP(S352,'[8]Podklady MZ'!$R$2:$S$367,2,FALSE),NA())</f>
        <v>#N/A</v>
      </c>
      <c r="V352" s="176">
        <f>INDEX([5]PT!$AF$16:$AF$381,DATE(2016,MONTH(S352),DAY(S352))-DATE(2016,1,1)+1,1)</f>
        <v>0</v>
      </c>
      <c r="W352" s="176">
        <f>IF(T!$A$4&lt;MONTH(S352),VLOOKUP(S352,'[8]Podklady MZ'!$R$2:$S$367,2,FALSE),NA())</f>
        <v>34.838709677419352</v>
      </c>
    </row>
    <row r="353" spans="19:23" x14ac:dyDescent="0.2">
      <c r="S353" s="76">
        <f t="shared" si="5"/>
        <v>42356</v>
      </c>
      <c r="T353" s="77">
        <f>INDEX([12]ČR!$D$18:$D$383,DATE(2016,MONTH(S353),DAY(S353))-DATE(2016,1,1)+1,1)/1000000</f>
        <v>28.572530961628207</v>
      </c>
      <c r="U353" s="77" t="e">
        <f>IF(T!$A$4&gt;=MONTH(S353),VLOOKUP(S353,'[8]Podklady MZ'!$R$2:$S$367,2,FALSE),NA())</f>
        <v>#N/A</v>
      </c>
      <c r="V353" s="176">
        <f>INDEX([5]PT!$AF$16:$AF$381,DATE(2016,MONTH(S353),DAY(S353))-DATE(2016,1,1)+1,1)</f>
        <v>0</v>
      </c>
      <c r="W353" s="176">
        <f>IF(T!$A$4&lt;MONTH(S353),VLOOKUP(S353,'[8]Podklady MZ'!$R$2:$S$367,2,FALSE),NA())</f>
        <v>34.838709677419352</v>
      </c>
    </row>
    <row r="354" spans="19:23" x14ac:dyDescent="0.2">
      <c r="S354" s="76">
        <f t="shared" si="5"/>
        <v>42357</v>
      </c>
      <c r="T354" s="77">
        <f>INDEX([12]ČR!$D$18:$D$383,DATE(2016,MONTH(S354),DAY(S354))-DATE(2016,1,1)+1,1)/1000000</f>
        <v>25.029565808429169</v>
      </c>
      <c r="U354" s="77" t="e">
        <f>IF(T!$A$4&gt;=MONTH(S354),VLOOKUP(S354,'[8]Podklady MZ'!$R$2:$S$367,2,FALSE),NA())</f>
        <v>#N/A</v>
      </c>
      <c r="V354" s="176">
        <f>INDEX([5]PT!$AF$16:$AF$381,DATE(2016,MONTH(S354),DAY(S354))-DATE(2016,1,1)+1,1)</f>
        <v>0</v>
      </c>
      <c r="W354" s="176">
        <f>IF(T!$A$4&lt;MONTH(S354),VLOOKUP(S354,'[8]Podklady MZ'!$R$2:$S$367,2,FALSE),NA())</f>
        <v>34.838709677419352</v>
      </c>
    </row>
    <row r="355" spans="19:23" x14ac:dyDescent="0.2">
      <c r="S355" s="76">
        <f t="shared" si="5"/>
        <v>42358</v>
      </c>
      <c r="T355" s="77">
        <f>INDEX([12]ČR!$D$18:$D$383,DATE(2016,MONTH(S355),DAY(S355))-DATE(2016,1,1)+1,1)/1000000</f>
        <v>25.921658317524329</v>
      </c>
      <c r="U355" s="77" t="e">
        <f>IF(T!$A$4&gt;=MONTH(S355),VLOOKUP(S355,'[8]Podklady MZ'!$R$2:$S$367,2,FALSE),NA())</f>
        <v>#N/A</v>
      </c>
      <c r="V355" s="176">
        <f>INDEX([5]PT!$AF$16:$AF$381,DATE(2016,MONTH(S355),DAY(S355))-DATE(2016,1,1)+1,1)</f>
        <v>0</v>
      </c>
      <c r="W355" s="176">
        <f>IF(T!$A$4&lt;MONTH(S355),VLOOKUP(S355,'[8]Podklady MZ'!$R$2:$S$367,2,FALSE),NA())</f>
        <v>34.838709677419352</v>
      </c>
    </row>
    <row r="356" spans="19:23" x14ac:dyDescent="0.2">
      <c r="S356" s="76">
        <f t="shared" si="5"/>
        <v>42359</v>
      </c>
      <c r="T356" s="77">
        <f>INDEX([12]ČR!$D$18:$D$383,DATE(2016,MONTH(S356),DAY(S356))-DATE(2016,1,1)+1,1)/1000000</f>
        <v>27.286221259888482</v>
      </c>
      <c r="U356" s="77" t="e">
        <f>IF(T!$A$4&gt;=MONTH(S356),VLOOKUP(S356,'[8]Podklady MZ'!$R$2:$S$367,2,FALSE),NA())</f>
        <v>#N/A</v>
      </c>
      <c r="V356" s="176">
        <f>INDEX([5]PT!$AF$16:$AF$381,DATE(2016,MONTH(S356),DAY(S356))-DATE(2016,1,1)+1,1)</f>
        <v>0</v>
      </c>
      <c r="W356" s="176">
        <f>IF(T!$A$4&lt;MONTH(S356),VLOOKUP(S356,'[8]Podklady MZ'!$R$2:$S$367,2,FALSE),NA())</f>
        <v>34.838709677419352</v>
      </c>
    </row>
    <row r="357" spans="19:23" x14ac:dyDescent="0.2">
      <c r="S357" s="76">
        <f t="shared" si="5"/>
        <v>42360</v>
      </c>
      <c r="T357" s="77">
        <f>INDEX([12]ČR!$D$18:$D$383,DATE(2016,MONTH(S357),DAY(S357))-DATE(2016,1,1)+1,1)/1000000</f>
        <v>27.236034880550331</v>
      </c>
      <c r="U357" s="77" t="e">
        <f>IF(T!$A$4&gt;=MONTH(S357),VLOOKUP(S357,'[8]Podklady MZ'!$R$2:$S$367,2,FALSE),NA())</f>
        <v>#N/A</v>
      </c>
      <c r="V357" s="176">
        <f>INDEX([5]PT!$AF$16:$AF$381,DATE(2016,MONTH(S357),DAY(S357))-DATE(2016,1,1)+1,1)</f>
        <v>0</v>
      </c>
      <c r="W357" s="176">
        <f>IF(T!$A$4&lt;MONTH(S357),VLOOKUP(S357,'[8]Podklady MZ'!$R$2:$S$367,2,FALSE),NA())</f>
        <v>34.838709677419352</v>
      </c>
    </row>
    <row r="358" spans="19:23" x14ac:dyDescent="0.2">
      <c r="S358" s="76">
        <f t="shared" si="5"/>
        <v>42361</v>
      </c>
      <c r="T358" s="77">
        <f>INDEX([12]ČR!$D$18:$D$383,DATE(2016,MONTH(S358),DAY(S358))-DATE(2016,1,1)+1,1)/1000000</f>
        <v>24.182742733133647</v>
      </c>
      <c r="U358" s="77" t="e">
        <f>IF(T!$A$4&gt;=MONTH(S358),VLOOKUP(S358,'[8]Podklady MZ'!$R$2:$S$367,2,FALSE),NA())</f>
        <v>#N/A</v>
      </c>
      <c r="V358" s="176">
        <f>INDEX([5]PT!$AF$16:$AF$381,DATE(2016,MONTH(S358),DAY(S358))-DATE(2016,1,1)+1,1)</f>
        <v>0</v>
      </c>
      <c r="W358" s="176">
        <f>IF(T!$A$4&lt;MONTH(S358),VLOOKUP(S358,'[8]Podklady MZ'!$R$2:$S$367,2,FALSE),NA())</f>
        <v>34.838709677419352</v>
      </c>
    </row>
    <row r="359" spans="19:23" x14ac:dyDescent="0.2">
      <c r="S359" s="76">
        <f t="shared" si="5"/>
        <v>42362</v>
      </c>
      <c r="T359" s="77">
        <f>INDEX([12]ČR!$D$18:$D$383,DATE(2016,MONTH(S359),DAY(S359))-DATE(2016,1,1)+1,1)/1000000</f>
        <v>23.168486093916595</v>
      </c>
      <c r="U359" s="77" t="e">
        <f>IF(T!$A$4&gt;=MONTH(S359),VLOOKUP(S359,'[8]Podklady MZ'!$R$2:$S$367,2,FALSE),NA())</f>
        <v>#N/A</v>
      </c>
      <c r="V359" s="176">
        <f>INDEX([5]PT!$AF$16:$AF$381,DATE(2016,MONTH(S359),DAY(S359))-DATE(2016,1,1)+1,1)</f>
        <v>0</v>
      </c>
      <c r="W359" s="176">
        <f>IF(T!$A$4&lt;MONTH(S359),VLOOKUP(S359,'[8]Podklady MZ'!$R$2:$S$367,2,FALSE),NA())</f>
        <v>34.838709677419352</v>
      </c>
    </row>
    <row r="360" spans="19:23" x14ac:dyDescent="0.2">
      <c r="S360" s="76">
        <f t="shared" si="5"/>
        <v>42363</v>
      </c>
      <c r="T360" s="77">
        <f>INDEX([12]ČR!$D$18:$D$383,DATE(2016,MONTH(S360),DAY(S360))-DATE(2016,1,1)+1,1)/1000000</f>
        <v>25.0502196645295</v>
      </c>
      <c r="U360" s="77" t="e">
        <f>IF(T!$A$4&gt;=MONTH(S360),VLOOKUP(S360,'[8]Podklady MZ'!$R$2:$S$367,2,FALSE),NA())</f>
        <v>#N/A</v>
      </c>
      <c r="V360" s="176">
        <f>INDEX([5]PT!$AF$16:$AF$381,DATE(2016,MONTH(S360),DAY(S360))-DATE(2016,1,1)+1,1)</f>
        <v>0</v>
      </c>
      <c r="W360" s="176">
        <f>IF(T!$A$4&lt;MONTH(S360),VLOOKUP(S360,'[8]Podklady MZ'!$R$2:$S$367,2,FALSE),NA())</f>
        <v>34.838709677419352</v>
      </c>
    </row>
    <row r="361" spans="19:23" x14ac:dyDescent="0.2">
      <c r="S361" s="76">
        <f t="shared" si="5"/>
        <v>42364</v>
      </c>
      <c r="T361" s="77">
        <f>INDEX([12]ČR!$D$18:$D$383,DATE(2016,MONTH(S361),DAY(S361))-DATE(2016,1,1)+1,1)/1000000</f>
        <v>30.002314163589158</v>
      </c>
      <c r="U361" s="77" t="e">
        <f>IF(T!$A$4&gt;=MONTH(S361),VLOOKUP(S361,'[8]Podklady MZ'!$R$2:$S$367,2,FALSE),NA())</f>
        <v>#N/A</v>
      </c>
      <c r="V361" s="176">
        <f>INDEX([5]PT!$AF$16:$AF$381,DATE(2016,MONTH(S361),DAY(S361))-DATE(2016,1,1)+1,1)</f>
        <v>0</v>
      </c>
      <c r="W361" s="176">
        <f>IF(T!$A$4&lt;MONTH(S361),VLOOKUP(S361,'[8]Podklady MZ'!$R$2:$S$367,2,FALSE),NA())</f>
        <v>34.838709677419352</v>
      </c>
    </row>
    <row r="362" spans="19:23" x14ac:dyDescent="0.2">
      <c r="S362" s="76">
        <f t="shared" si="5"/>
        <v>42365</v>
      </c>
      <c r="T362" s="77">
        <f>INDEX([12]ČR!$D$18:$D$383,DATE(2016,MONTH(S362),DAY(S362))-DATE(2016,1,1)+1,1)/1000000</f>
        <v>33.819575464437477</v>
      </c>
      <c r="U362" s="77" t="e">
        <f>IF(T!$A$4&gt;=MONTH(S362),VLOOKUP(S362,'[8]Podklady MZ'!$R$2:$S$367,2,FALSE),NA())</f>
        <v>#N/A</v>
      </c>
      <c r="V362" s="176">
        <f>INDEX([5]PT!$AF$16:$AF$381,DATE(2016,MONTH(S362),DAY(S362))-DATE(2016,1,1)+1,1)</f>
        <v>0</v>
      </c>
      <c r="W362" s="176">
        <f>IF(T!$A$4&lt;MONTH(S362),VLOOKUP(S362,'[8]Podklady MZ'!$R$2:$S$367,2,FALSE),NA())</f>
        <v>34.838709677419352</v>
      </c>
    </row>
    <row r="363" spans="19:23" x14ac:dyDescent="0.2">
      <c r="S363" s="76">
        <f t="shared" si="5"/>
        <v>42366</v>
      </c>
      <c r="T363" s="77">
        <f>INDEX([12]ČR!$D$18:$D$383,DATE(2016,MONTH(S363),DAY(S363))-DATE(2016,1,1)+1,1)/1000000</f>
        <v>38.256776847175416</v>
      </c>
      <c r="U363" s="77" t="e">
        <f>IF(T!$A$4&gt;=MONTH(S363),VLOOKUP(S363,'[8]Podklady MZ'!$R$2:$S$367,2,FALSE),NA())</f>
        <v>#N/A</v>
      </c>
      <c r="V363" s="176">
        <f>INDEX([5]PT!$AF$16:$AF$381,DATE(2016,MONTH(S363),DAY(S363))-DATE(2016,1,1)+1,1)</f>
        <v>0</v>
      </c>
      <c r="W363" s="176">
        <f>IF(T!$A$4&lt;MONTH(S363),VLOOKUP(S363,'[8]Podklady MZ'!$R$2:$S$367,2,FALSE),NA())</f>
        <v>34.838709677419352</v>
      </c>
    </row>
    <row r="364" spans="19:23" x14ac:dyDescent="0.2">
      <c r="S364" s="76">
        <f t="shared" si="5"/>
        <v>42367</v>
      </c>
      <c r="T364" s="77">
        <f>INDEX([12]ČR!$D$18:$D$383,DATE(2016,MONTH(S364),DAY(S364))-DATE(2016,1,1)+1,1)/1000000</f>
        <v>41.016428883228755</v>
      </c>
      <c r="U364" s="77" t="e">
        <f>IF(T!$A$4&gt;=MONTH(S364),VLOOKUP(S364,'[8]Podklady MZ'!$R$2:$S$367,2,FALSE),NA())</f>
        <v>#N/A</v>
      </c>
      <c r="V364" s="176">
        <f>INDEX([5]PT!$AF$16:$AF$381,DATE(2016,MONTH(S364),DAY(S364))-DATE(2016,1,1)+1,1)</f>
        <v>0</v>
      </c>
      <c r="W364" s="176">
        <f>IF(T!$A$4&lt;MONTH(S364),VLOOKUP(S364,'[8]Podklady MZ'!$R$2:$S$367,2,FALSE),NA())</f>
        <v>34.838709677419352</v>
      </c>
    </row>
    <row r="365" spans="19:23" x14ac:dyDescent="0.2">
      <c r="S365" s="76">
        <f t="shared" si="5"/>
        <v>42368</v>
      </c>
      <c r="T365" s="77">
        <f>INDEX([12]ČR!$D$18:$D$383,DATE(2016,MONTH(S365),DAY(S365))-DATE(2016,1,1)+1,1)/1000000</f>
        <v>40.53163433214683</v>
      </c>
      <c r="U365" s="77" t="e">
        <f>IF(T!$A$4&gt;=MONTH(S365),VLOOKUP(S365,'[8]Podklady MZ'!$R$2:$S$367,2,FALSE),NA())</f>
        <v>#N/A</v>
      </c>
      <c r="V365" s="176">
        <f>INDEX([5]PT!$AF$16:$AF$381,DATE(2016,MONTH(S365),DAY(S365))-DATE(2016,1,1)+1,1)</f>
        <v>0</v>
      </c>
      <c r="W365" s="176">
        <f>IF(T!$A$4&lt;MONTH(S365),VLOOKUP(S365,'[8]Podklady MZ'!$R$2:$S$367,2,FALSE),NA())</f>
        <v>34.838709677419352</v>
      </c>
    </row>
    <row r="366" spans="19:23" x14ac:dyDescent="0.2">
      <c r="S366" s="76">
        <f t="shared" si="5"/>
        <v>42369</v>
      </c>
      <c r="T366" s="77">
        <f>INDEX([12]ČR!$D$18:$D$383,DATE(2016,MONTH(S366),DAY(S366))-DATE(2016,1,1)+1,1)/1000000</f>
        <v>37.874485907892407</v>
      </c>
      <c r="U366" s="77" t="e">
        <f>IF(T!$A$4&gt;=MONTH(S366),VLOOKUP(S366,'[8]Podklady MZ'!$R$2:$S$367,2,FALSE),NA())</f>
        <v>#N/A</v>
      </c>
      <c r="V366" s="176">
        <f>INDEX([5]PT!$AF$16:$AF$381,DATE(2016,MONTH(S366),DAY(S366))-DATE(2016,1,1)+1,1)</f>
        <v>0</v>
      </c>
      <c r="W366" s="176">
        <f>IF(T!$A$4&lt;MONTH(S366),VLOOKUP(S366,'[8]Podklady MZ'!$R$2:$S$367,2,FALSE),NA())</f>
        <v>34.838709677419352</v>
      </c>
    </row>
    <row r="367" spans="19:23" x14ac:dyDescent="0.2">
      <c r="S367" s="76">
        <f t="shared" si="5"/>
        <v>42370</v>
      </c>
      <c r="T367" s="77">
        <f>INDEX([12]ČR!$D$18:$D$383,DATE(2016,MONTH(S367),DAY(S367))-DATE(2016,1,1)+1,1)/1000000</f>
        <v>29.819936957415216</v>
      </c>
      <c r="U367" s="77">
        <f>IF(T!$A$4&gt;=MONTH(S367),VLOOKUP(S367,'[8]Podklady MZ'!$R$2:$S$367,2,FALSE),NA())</f>
        <v>34.064890044007484</v>
      </c>
      <c r="V367" s="176">
        <f>INDEX([5]PT!$AF$16:$AF$381,DATE(2016,MONTH(S367),DAY(S367))-DATE(2016,1,1)+1,1)</f>
        <v>0</v>
      </c>
      <c r="W367" s="176" t="e">
        <f>IF(T!$A$4&lt;MONTH(S367),VLOOKUP(S367,'[8]Podklady MZ'!$R$2:$S$367,2,FALSE),NA())</f>
        <v>#N/A</v>
      </c>
    </row>
    <row r="368" spans="19:23" x14ac:dyDescent="0.2">
      <c r="S368" s="17"/>
      <c r="U368" s="17"/>
    </row>
    <row r="369" spans="19:21" x14ac:dyDescent="0.2">
      <c r="S369" s="17"/>
      <c r="U369" s="17"/>
    </row>
    <row r="370" spans="19:21" x14ac:dyDescent="0.2">
      <c r="S370" s="17"/>
      <c r="U370" s="17"/>
    </row>
    <row r="371" spans="19:21" x14ac:dyDescent="0.2">
      <c r="S371" s="17"/>
      <c r="U371" s="17"/>
    </row>
    <row r="372" spans="19:21" x14ac:dyDescent="0.2">
      <c r="S372" s="17"/>
      <c r="U372" s="17"/>
    </row>
    <row r="373" spans="19:21" x14ac:dyDescent="0.2">
      <c r="S373" s="17"/>
      <c r="U373" s="17"/>
    </row>
    <row r="374" spans="19:21" x14ac:dyDescent="0.2">
      <c r="S374" s="17"/>
      <c r="U374" s="17"/>
    </row>
    <row r="375" spans="19:21" x14ac:dyDescent="0.2">
      <c r="S375" s="17"/>
      <c r="U375" s="17"/>
    </row>
    <row r="376" spans="19:21" x14ac:dyDescent="0.2">
      <c r="S376" s="17"/>
      <c r="U376" s="17"/>
    </row>
    <row r="377" spans="19:21" x14ac:dyDescent="0.2">
      <c r="S377" s="17"/>
      <c r="U377" s="17"/>
    </row>
    <row r="378" spans="19:21" x14ac:dyDescent="0.2">
      <c r="S378" s="17"/>
      <c r="U378" s="17"/>
    </row>
    <row r="379" spans="19:21" x14ac:dyDescent="0.2">
      <c r="S379" s="17"/>
      <c r="U379" s="17"/>
    </row>
    <row r="380" spans="19:21" x14ac:dyDescent="0.2">
      <c r="S380" s="17"/>
      <c r="U380" s="17"/>
    </row>
    <row r="381" spans="19:21" x14ac:dyDescent="0.2">
      <c r="S381" s="17"/>
      <c r="U381" s="17"/>
    </row>
    <row r="382" spans="19:21" x14ac:dyDescent="0.2">
      <c r="S382" s="17"/>
      <c r="U382" s="17"/>
    </row>
    <row r="383" spans="19:21" x14ac:dyDescent="0.2">
      <c r="S383" s="17"/>
      <c r="U383" s="17"/>
    </row>
    <row r="384" spans="19:21" x14ac:dyDescent="0.2">
      <c r="S384" s="17"/>
      <c r="U384" s="17"/>
    </row>
    <row r="385" spans="19:21" x14ac:dyDescent="0.2">
      <c r="S385" s="17"/>
      <c r="U385" s="17"/>
    </row>
    <row r="386" spans="19:21" x14ac:dyDescent="0.2">
      <c r="S386" s="17"/>
      <c r="U386" s="17"/>
    </row>
    <row r="387" spans="19:21" x14ac:dyDescent="0.2">
      <c r="S387" s="17"/>
      <c r="U387" s="17"/>
    </row>
    <row r="388" spans="19:21" x14ac:dyDescent="0.2">
      <c r="S388" s="17"/>
      <c r="U388" s="17"/>
    </row>
    <row r="389" spans="19:21" x14ac:dyDescent="0.2">
      <c r="S389" s="17"/>
      <c r="U389" s="17"/>
    </row>
    <row r="390" spans="19:21" x14ac:dyDescent="0.2">
      <c r="S390" s="17"/>
      <c r="U390" s="17"/>
    </row>
    <row r="391" spans="19:21" x14ac:dyDescent="0.2">
      <c r="S391" s="17"/>
      <c r="U391" s="17"/>
    </row>
    <row r="392" spans="19:21" x14ac:dyDescent="0.2">
      <c r="S392" s="17"/>
      <c r="U392" s="17"/>
    </row>
    <row r="393" spans="19:21" x14ac:dyDescent="0.2">
      <c r="S393" s="17"/>
      <c r="U393" s="17"/>
    </row>
    <row r="394" spans="19:21" x14ac:dyDescent="0.2">
      <c r="S394" s="17"/>
      <c r="U394" s="17"/>
    </row>
    <row r="395" spans="19:21" x14ac:dyDescent="0.2">
      <c r="S395" s="17"/>
      <c r="U395" s="17"/>
    </row>
    <row r="396" spans="19:21" x14ac:dyDescent="0.2">
      <c r="S396" s="17"/>
      <c r="U396" s="17"/>
    </row>
    <row r="397" spans="19:21" x14ac:dyDescent="0.2">
      <c r="S397" s="17"/>
      <c r="U397" s="17"/>
    </row>
  </sheetData>
  <mergeCells count="11">
    <mergeCell ref="A39:F39"/>
    <mergeCell ref="A38:O38"/>
    <mergeCell ref="A31:A34"/>
    <mergeCell ref="B31:B32"/>
    <mergeCell ref="B33:B34"/>
    <mergeCell ref="N1:O1"/>
    <mergeCell ref="A2:O2"/>
    <mergeCell ref="A24:O24"/>
    <mergeCell ref="B27:B28"/>
    <mergeCell ref="A27:A30"/>
    <mergeCell ref="B29:B30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U41"/>
  <sheetViews>
    <sheetView view="pageBreakPreview" zoomScaleNormal="100" zoomScaleSheetLayoutView="100" workbookViewId="0">
      <selection activeCell="C1" sqref="C1"/>
    </sheetView>
  </sheetViews>
  <sheetFormatPr defaultRowHeight="12.75" x14ac:dyDescent="0.2"/>
  <cols>
    <col min="1" max="1" width="16.85546875" style="17" customWidth="1"/>
    <col min="2" max="2" width="13.85546875" style="17" customWidth="1"/>
    <col min="3" max="3" width="6.710937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21" ht="14.1" customHeight="1" x14ac:dyDescent="0.2">
      <c r="O1" s="821" t="s">
        <v>87</v>
      </c>
      <c r="P1" s="821"/>
    </row>
    <row r="2" spans="1:21" ht="15.95" customHeight="1" x14ac:dyDescent="0.25">
      <c r="A2" s="877" t="s">
        <v>262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21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21" ht="14.1" customHeight="1" x14ac:dyDescent="0.2">
      <c r="D4" s="508"/>
      <c r="E4" s="508"/>
      <c r="F4" s="508"/>
      <c r="G4" s="508"/>
      <c r="P4" s="594"/>
    </row>
    <row r="5" spans="1:21" ht="18" customHeight="1" x14ac:dyDescent="0.2">
      <c r="A5" s="515"/>
      <c r="B5" s="516"/>
      <c r="C5" s="517"/>
      <c r="D5" s="618" t="s">
        <v>13</v>
      </c>
      <c r="E5" s="618" t="s">
        <v>58</v>
      </c>
      <c r="F5" s="619" t="s">
        <v>59</v>
      </c>
      <c r="G5" s="618" t="s">
        <v>60</v>
      </c>
      <c r="H5" s="618" t="s">
        <v>61</v>
      </c>
      <c r="I5" s="619" t="s">
        <v>62</v>
      </c>
      <c r="J5" s="618" t="s">
        <v>63</v>
      </c>
      <c r="K5" s="618" t="s">
        <v>64</v>
      </c>
      <c r="L5" s="619" t="s">
        <v>65</v>
      </c>
      <c r="M5" s="618" t="s">
        <v>66</v>
      </c>
      <c r="N5" s="618" t="s">
        <v>67</v>
      </c>
      <c r="O5" s="618" t="s">
        <v>68</v>
      </c>
      <c r="P5" s="588" t="s">
        <v>2</v>
      </c>
      <c r="Q5" s="13"/>
    </row>
    <row r="6" spans="1:21" ht="9" customHeight="1" x14ac:dyDescent="0.2">
      <c r="A6" s="879" t="s">
        <v>306</v>
      </c>
      <c r="B6" s="519"/>
      <c r="C6" s="520"/>
      <c r="D6" s="509"/>
      <c r="E6" s="509"/>
      <c r="F6" s="521"/>
      <c r="G6" s="509"/>
      <c r="H6" s="509"/>
      <c r="I6" s="521"/>
      <c r="J6" s="509"/>
      <c r="K6" s="509"/>
      <c r="L6" s="521"/>
      <c r="M6" s="509"/>
      <c r="N6" s="509"/>
      <c r="O6" s="509"/>
      <c r="P6" s="589"/>
      <c r="Q6" s="13"/>
    </row>
    <row r="7" spans="1:21" ht="18" customHeight="1" x14ac:dyDescent="0.2">
      <c r="A7" s="875"/>
      <c r="B7" s="571" t="s">
        <v>71</v>
      </c>
      <c r="C7" s="572" t="s">
        <v>250</v>
      </c>
      <c r="D7" s="556">
        <v>1120</v>
      </c>
      <c r="E7" s="620">
        <v>1000</v>
      </c>
      <c r="F7" s="621">
        <v>910</v>
      </c>
      <c r="G7" s="620">
        <v>630</v>
      </c>
      <c r="H7" s="556">
        <v>400</v>
      </c>
      <c r="I7" s="557">
        <v>310</v>
      </c>
      <c r="J7" s="556">
        <v>290</v>
      </c>
      <c r="K7" s="556">
        <v>290</v>
      </c>
      <c r="L7" s="557">
        <v>380</v>
      </c>
      <c r="M7" s="556">
        <v>650</v>
      </c>
      <c r="N7" s="556">
        <v>920</v>
      </c>
      <c r="O7" s="556">
        <v>1080</v>
      </c>
      <c r="P7" s="596">
        <f>SUM(D7:O7)</f>
        <v>7980</v>
      </c>
    </row>
    <row r="8" spans="1:21" ht="18" customHeight="1" x14ac:dyDescent="0.2">
      <c r="A8" s="875"/>
      <c r="B8" s="571" t="s">
        <v>71</v>
      </c>
      <c r="C8" s="572" t="s">
        <v>303</v>
      </c>
      <c r="D8" s="620">
        <v>11900</v>
      </c>
      <c r="E8" s="620">
        <v>10620</v>
      </c>
      <c r="F8" s="621">
        <v>9660</v>
      </c>
      <c r="G8" s="620">
        <v>6690</v>
      </c>
      <c r="H8" s="556">
        <v>4250</v>
      </c>
      <c r="I8" s="557">
        <v>3290</v>
      </c>
      <c r="J8" s="556">
        <v>3080</v>
      </c>
      <c r="K8" s="556">
        <v>3080</v>
      </c>
      <c r="L8" s="557">
        <v>4040</v>
      </c>
      <c r="M8" s="556">
        <v>6900</v>
      </c>
      <c r="N8" s="556">
        <v>9770</v>
      </c>
      <c r="O8" s="556">
        <v>11470</v>
      </c>
      <c r="P8" s="596">
        <f>SUM(D8:O8)</f>
        <v>84750</v>
      </c>
    </row>
    <row r="9" spans="1:21" ht="18" customHeight="1" x14ac:dyDescent="0.2">
      <c r="A9" s="875"/>
      <c r="B9" s="565" t="s">
        <v>263</v>
      </c>
      <c r="C9" s="567" t="s">
        <v>252</v>
      </c>
      <c r="D9" s="751">
        <v>-2</v>
      </c>
      <c r="E9" s="751">
        <v>-0.7</v>
      </c>
      <c r="F9" s="752">
        <v>3.3</v>
      </c>
      <c r="G9" s="751">
        <v>7.6</v>
      </c>
      <c r="H9" s="753">
        <v>13</v>
      </c>
      <c r="I9" s="754">
        <v>15.8</v>
      </c>
      <c r="J9" s="753">
        <v>17.5</v>
      </c>
      <c r="K9" s="753">
        <v>17.2</v>
      </c>
      <c r="L9" s="754">
        <v>13</v>
      </c>
      <c r="M9" s="753">
        <v>8</v>
      </c>
      <c r="N9" s="753">
        <v>2.6</v>
      </c>
      <c r="O9" s="753">
        <v>-0.4</v>
      </c>
      <c r="P9" s="755">
        <f>AVERAGE(D9:O9)</f>
        <v>7.9083333333333323</v>
      </c>
    </row>
    <row r="10" spans="1:21" ht="9" customHeight="1" x14ac:dyDescent="0.2">
      <c r="A10" s="876"/>
      <c r="B10" s="511"/>
      <c r="C10" s="531"/>
      <c r="D10" s="532"/>
      <c r="E10" s="532"/>
      <c r="F10" s="533"/>
      <c r="G10" s="532"/>
      <c r="H10" s="534"/>
      <c r="I10" s="535"/>
      <c r="J10" s="534"/>
      <c r="K10" s="534"/>
      <c r="L10" s="535"/>
      <c r="M10" s="534"/>
      <c r="N10" s="534"/>
      <c r="O10" s="534"/>
      <c r="P10" s="591"/>
    </row>
    <row r="11" spans="1:21" ht="9" customHeight="1" x14ac:dyDescent="0.2">
      <c r="A11" s="879" t="s">
        <v>267</v>
      </c>
      <c r="B11" s="512"/>
      <c r="C11" s="536"/>
      <c r="D11" s="526"/>
      <c r="E11" s="526"/>
      <c r="F11" s="527"/>
      <c r="G11" s="526"/>
      <c r="H11" s="528"/>
      <c r="I11" s="529"/>
      <c r="J11" s="528"/>
      <c r="K11" s="528"/>
      <c r="L11" s="529"/>
      <c r="M11" s="528"/>
      <c r="N11" s="528"/>
      <c r="O11" s="528"/>
      <c r="P11" s="590"/>
    </row>
    <row r="12" spans="1:21" ht="18" customHeight="1" x14ac:dyDescent="0.2">
      <c r="A12" s="875"/>
      <c r="B12" s="98" t="s">
        <v>71</v>
      </c>
      <c r="C12" s="568" t="s">
        <v>250</v>
      </c>
      <c r="D12" s="530">
        <f>'[8]Podklady MZ'!D52</f>
        <v>1081.280644710429</v>
      </c>
      <c r="E12" s="530">
        <f>'[8]Podklady MZ'!E52</f>
        <v>989.86689164730865</v>
      </c>
      <c r="F12" s="545">
        <f>'[8]Podklady MZ'!F52</f>
        <v>865.53252041105134</v>
      </c>
      <c r="G12" s="530">
        <f>'[8]Podklady MZ'!G52</f>
        <v>622.80856614391325</v>
      </c>
      <c r="H12" s="530">
        <f>'[8]Podklady MZ'!H52</f>
        <v>405.64282959119492</v>
      </c>
      <c r="I12" s="545">
        <f>'[8]Podklady MZ'!I52</f>
        <v>310</v>
      </c>
      <c r="J12" s="530">
        <f>'[8]Podklady MZ'!J52</f>
        <v>289.99999999999994</v>
      </c>
      <c r="K12" s="530">
        <f>'[8]Podklady MZ'!K52</f>
        <v>289.99999999999994</v>
      </c>
      <c r="L12" s="545">
        <f>'[8]Podklady MZ'!L52</f>
        <v>380.00000000000011</v>
      </c>
      <c r="M12" s="530">
        <f>'[8]Podklady MZ'!M52</f>
        <v>650.00000000000057</v>
      </c>
      <c r="N12" s="530">
        <f>'[8]Podklady MZ'!N52</f>
        <v>919.99999999999966</v>
      </c>
      <c r="O12" s="530">
        <f>'[8]Podklady MZ'!O52</f>
        <v>1080.0000000000002</v>
      </c>
      <c r="P12" s="590">
        <f>SUM(D12:O12)</f>
        <v>7885.1314525038979</v>
      </c>
      <c r="U12" s="66"/>
    </row>
    <row r="13" spans="1:21" ht="18" customHeight="1" x14ac:dyDescent="0.2">
      <c r="A13" s="875"/>
      <c r="B13" s="98" t="s">
        <v>71</v>
      </c>
      <c r="C13" s="568" t="s">
        <v>303</v>
      </c>
      <c r="D13" s="543">
        <f>'[8]Podklady MZ'!D53</f>
        <v>11492.757934199999</v>
      </c>
      <c r="E13" s="543">
        <f>'[8]Podklady MZ'!E53</f>
        <v>10525.401338</v>
      </c>
      <c r="F13" s="570">
        <f>'[8]Podklady MZ'!F53</f>
        <v>9201.9026437999983</v>
      </c>
      <c r="G13" s="543">
        <f>'[8]Podklady MZ'!G53</f>
        <v>6626.1087002000022</v>
      </c>
      <c r="H13" s="543">
        <f>'[8]Podklady MZ'!H53</f>
        <v>4299.8139936666676</v>
      </c>
      <c r="I13" s="570">
        <f>'[8]Podklady MZ'!I53</f>
        <v>3289.9999999999986</v>
      </c>
      <c r="J13" s="543">
        <f>'[8]Podklady MZ'!J53</f>
        <v>3080.0000000000005</v>
      </c>
      <c r="K13" s="543">
        <f>'[8]Podklady MZ'!K53</f>
        <v>3080.0000000000005</v>
      </c>
      <c r="L13" s="570">
        <f>'[8]Podklady MZ'!L53</f>
        <v>4039.9999999999982</v>
      </c>
      <c r="M13" s="543">
        <f>'[8]Podklady MZ'!M53</f>
        <v>6900.0000000000036</v>
      </c>
      <c r="N13" s="543">
        <f>'[8]Podklady MZ'!N53</f>
        <v>9770</v>
      </c>
      <c r="O13" s="543">
        <f>'[8]Podklady MZ'!O53</f>
        <v>11470</v>
      </c>
      <c r="P13" s="590">
        <f>SUM(D13:O13)</f>
        <v>83775.984609866675</v>
      </c>
    </row>
    <row r="14" spans="1:21" ht="18" customHeight="1" x14ac:dyDescent="0.2">
      <c r="A14" s="875"/>
      <c r="B14" s="98" t="s">
        <v>243</v>
      </c>
      <c r="C14" s="576" t="s">
        <v>252</v>
      </c>
      <c r="D14" s="543">
        <f>'[8]Podklady MZ'!D54</f>
        <v>1.2161290322580647</v>
      </c>
      <c r="E14" s="543">
        <f>'[8]Podklady MZ'!E54</f>
        <v>0.22142857142857128</v>
      </c>
      <c r="F14" s="570">
        <f>'[8]Podklady MZ'!F54</f>
        <v>4.3258064516129036</v>
      </c>
      <c r="G14" s="543">
        <f>'[8]Podklady MZ'!G54</f>
        <v>8.2200000000000006</v>
      </c>
      <c r="H14" s="543">
        <f>'[8]Podklady MZ'!H54</f>
        <v>12.838709677419352</v>
      </c>
      <c r="I14" s="570">
        <f>'[8]Podklady MZ'!I54</f>
        <v>15.800000000000008</v>
      </c>
      <c r="J14" s="543">
        <f>'[8]Podklady MZ'!J54</f>
        <v>17.5</v>
      </c>
      <c r="K14" s="543">
        <f>'[8]Podklady MZ'!K54</f>
        <v>17.199999999999996</v>
      </c>
      <c r="L14" s="570">
        <f>'[8]Podklady MZ'!L54</f>
        <v>13</v>
      </c>
      <c r="M14" s="543">
        <f>'[8]Podklady MZ'!M54</f>
        <v>8</v>
      </c>
      <c r="N14" s="543">
        <f>'[8]Podklady MZ'!N54</f>
        <v>2.5999999999999996</v>
      </c>
      <c r="O14" s="543">
        <f>'[8]Podklady MZ'!O54</f>
        <v>-0.40000000000000019</v>
      </c>
      <c r="P14" s="590">
        <f>AVERAGE(D14:O14)</f>
        <v>8.3768394777265751</v>
      </c>
    </row>
    <row r="15" spans="1:21" ht="9" customHeight="1" x14ac:dyDescent="0.2">
      <c r="A15" s="876"/>
      <c r="B15" s="511"/>
      <c r="C15" s="531"/>
      <c r="D15" s="532"/>
      <c r="E15" s="532"/>
      <c r="F15" s="533"/>
      <c r="G15" s="532"/>
      <c r="H15" s="534"/>
      <c r="I15" s="535"/>
      <c r="J15" s="534"/>
      <c r="K15" s="534"/>
      <c r="L15" s="535"/>
      <c r="M15" s="534"/>
      <c r="N15" s="534"/>
      <c r="O15" s="534"/>
      <c r="P15" s="591"/>
    </row>
    <row r="16" spans="1:21" ht="9" customHeight="1" x14ac:dyDescent="0.2">
      <c r="A16" s="879" t="s">
        <v>268</v>
      </c>
      <c r="B16" s="512"/>
      <c r="C16" s="536"/>
      <c r="D16" s="526"/>
      <c r="E16" s="526"/>
      <c r="F16" s="527"/>
      <c r="G16" s="526"/>
      <c r="H16" s="528"/>
      <c r="I16" s="529"/>
      <c r="J16" s="528"/>
      <c r="K16" s="528"/>
      <c r="L16" s="529"/>
      <c r="M16" s="528"/>
      <c r="N16" s="528"/>
      <c r="O16" s="528"/>
      <c r="P16" s="590"/>
    </row>
    <row r="17" spans="1:16" ht="18" customHeight="1" x14ac:dyDescent="0.2">
      <c r="A17" s="875"/>
      <c r="B17" s="98" t="s">
        <v>71</v>
      </c>
      <c r="C17" s="568" t="s">
        <v>250</v>
      </c>
      <c r="D17" s="530">
        <f>'[8]Podklady MZ'!D57</f>
        <v>1162.3827182199684</v>
      </c>
      <c r="E17" s="543">
        <f>'[8]Podklady MZ'!E57</f>
        <v>1022.8621044614633</v>
      </c>
      <c r="F17" s="570">
        <f>'[8]Podklady MZ'!F57</f>
        <v>901.33118683539692</v>
      </c>
      <c r="G17" s="543">
        <f>'[8]Podklady MZ'!G57</f>
        <v>647.29636373718301</v>
      </c>
      <c r="H17" s="530">
        <f>'[8]Podklady MZ'!H57</f>
        <v>400.02609472310149</v>
      </c>
      <c r="I17" s="545">
        <f>'[8]Podklady MZ'!I57</f>
        <v>310.00000000000006</v>
      </c>
      <c r="J17" s="530">
        <f>'[8]Podklady MZ'!J57</f>
        <v>289.99999999999994</v>
      </c>
      <c r="K17" s="530">
        <f>'[8]Podklady MZ'!K57</f>
        <v>289.99999999999994</v>
      </c>
      <c r="L17" s="545">
        <f>'[8]Podklady MZ'!L57</f>
        <v>380.00000000000011</v>
      </c>
      <c r="M17" s="530">
        <f>'[8]Podklady MZ'!M57</f>
        <v>650.00000000000057</v>
      </c>
      <c r="N17" s="530">
        <f>'[8]Podklady MZ'!N57</f>
        <v>919.99999999999966</v>
      </c>
      <c r="O17" s="530">
        <f>'[8]Podklady MZ'!O57</f>
        <v>1080.0000000000002</v>
      </c>
      <c r="P17" s="590">
        <f>SUM(D17:O17)</f>
        <v>8053.8984679771147</v>
      </c>
    </row>
    <row r="18" spans="1:16" ht="18" customHeight="1" x14ac:dyDescent="0.2">
      <c r="A18" s="875"/>
      <c r="B18" s="98" t="s">
        <v>71</v>
      </c>
      <c r="C18" s="568" t="s">
        <v>303</v>
      </c>
      <c r="D18" s="543">
        <f>'[8]Podklady MZ'!D58</f>
        <v>12354.778819681072</v>
      </c>
      <c r="E18" s="543">
        <f>'[8]Podklady MZ'!E58</f>
        <v>10876.244325104813</v>
      </c>
      <c r="F18" s="570">
        <f>'[8]Podklady MZ'!F58</f>
        <v>9582.4959033788018</v>
      </c>
      <c r="G18" s="543">
        <f>'[8]Podklady MZ'!G58</f>
        <v>6886.6362804260079</v>
      </c>
      <c r="H18" s="530">
        <f>'[8]Podklady MZ'!H58</f>
        <v>4240.2766040648767</v>
      </c>
      <c r="I18" s="545">
        <f>'[8]Podklady MZ'!I58</f>
        <v>3289.9999999999991</v>
      </c>
      <c r="J18" s="530">
        <f>'[8]Podklady MZ'!J58</f>
        <v>3080.0000000000005</v>
      </c>
      <c r="K18" s="530">
        <f>'[8]Podklady MZ'!K58</f>
        <v>3080.0000000000005</v>
      </c>
      <c r="L18" s="545">
        <f>'[8]Podklady MZ'!L58</f>
        <v>4039.9999999999977</v>
      </c>
      <c r="M18" s="530">
        <f>'[8]Podklady MZ'!M58</f>
        <v>6900.0000000000036</v>
      </c>
      <c r="N18" s="530">
        <f>'[8]Podklady MZ'!N58</f>
        <v>9770</v>
      </c>
      <c r="O18" s="530">
        <f>'[8]Podklady MZ'!O58</f>
        <v>11470</v>
      </c>
      <c r="P18" s="590">
        <f>SUM(D18:O18)</f>
        <v>85570.431932655571</v>
      </c>
    </row>
    <row r="19" spans="1:16" ht="18" customHeight="1" x14ac:dyDescent="0.2">
      <c r="A19" s="875"/>
      <c r="B19" s="98" t="s">
        <v>263</v>
      </c>
      <c r="C19" s="576" t="s">
        <v>252</v>
      </c>
      <c r="D19" s="543">
        <f>'[8]Podklady MZ'!D59</f>
        <v>-2</v>
      </c>
      <c r="E19" s="543">
        <f>'[8]Podklady MZ'!E59</f>
        <v>-0.7</v>
      </c>
      <c r="F19" s="570">
        <f>'[8]Podklady MZ'!F59</f>
        <v>3.3</v>
      </c>
      <c r="G19" s="543">
        <f>'[8]Podklady MZ'!G59</f>
        <v>7.6</v>
      </c>
      <c r="H19" s="530">
        <f>'[8]Podklady MZ'!H59</f>
        <v>13</v>
      </c>
      <c r="I19" s="545">
        <f>'[8]Podklady MZ'!I59</f>
        <v>15.8</v>
      </c>
      <c r="J19" s="530">
        <f>'[8]Podklady MZ'!J59</f>
        <v>17.5</v>
      </c>
      <c r="K19" s="530">
        <f>'[8]Podklady MZ'!K59</f>
        <v>17.2</v>
      </c>
      <c r="L19" s="545">
        <f>'[8]Podklady MZ'!L59</f>
        <v>13</v>
      </c>
      <c r="M19" s="530">
        <f>'[8]Podklady MZ'!M59</f>
        <v>8</v>
      </c>
      <c r="N19" s="530">
        <f>'[8]Podklady MZ'!N59</f>
        <v>2.6</v>
      </c>
      <c r="O19" s="530">
        <f>'[8]Podklady MZ'!O59</f>
        <v>-0.4</v>
      </c>
      <c r="P19" s="590">
        <f>AVERAGE(D19:O19)</f>
        <v>7.9083333333333323</v>
      </c>
    </row>
    <row r="20" spans="1:16" ht="9" customHeight="1" x14ac:dyDescent="0.2">
      <c r="A20" s="876"/>
      <c r="B20" s="511"/>
      <c r="C20" s="531"/>
      <c r="D20" s="532"/>
      <c r="E20" s="532"/>
      <c r="F20" s="533"/>
      <c r="G20" s="532"/>
      <c r="H20" s="534"/>
      <c r="I20" s="535"/>
      <c r="J20" s="534"/>
      <c r="K20" s="534"/>
      <c r="L20" s="535"/>
      <c r="M20" s="534"/>
      <c r="N20" s="534"/>
      <c r="O20" s="534"/>
      <c r="P20" s="591"/>
    </row>
    <row r="21" spans="1:16" ht="9" customHeight="1" x14ac:dyDescent="0.2">
      <c r="A21" s="617"/>
      <c r="B21" s="98"/>
      <c r="C21" s="568"/>
      <c r="D21" s="543"/>
      <c r="E21" s="543"/>
      <c r="F21" s="543"/>
      <c r="G21" s="544"/>
      <c r="H21" s="530"/>
      <c r="I21" s="545"/>
      <c r="J21" s="530"/>
      <c r="K21" s="530"/>
      <c r="L21" s="530"/>
      <c r="M21" s="24"/>
      <c r="N21" s="530"/>
      <c r="O21" s="530"/>
      <c r="P21" s="590"/>
    </row>
    <row r="22" spans="1:16" ht="14.1" customHeight="1" x14ac:dyDescent="0.2">
      <c r="D22" s="501"/>
      <c r="E22" s="501"/>
      <c r="F22" s="501"/>
      <c r="G22" s="501"/>
      <c r="H22" s="501"/>
      <c r="I22" s="501"/>
      <c r="J22" s="501"/>
      <c r="K22" s="501"/>
      <c r="L22" s="501"/>
      <c r="M22" s="501"/>
      <c r="N22" s="501"/>
      <c r="O22" s="501"/>
      <c r="P22" s="746"/>
    </row>
    <row r="23" spans="1:16" ht="14.1" customHeight="1" x14ac:dyDescent="0.2">
      <c r="D23" s="501"/>
      <c r="E23" s="501"/>
      <c r="F23" s="501"/>
      <c r="G23" s="501"/>
      <c r="H23" s="501"/>
      <c r="I23" s="501"/>
      <c r="J23" s="501"/>
      <c r="K23" s="501"/>
      <c r="L23" s="501"/>
      <c r="M23" s="501"/>
      <c r="N23" s="501"/>
      <c r="O23" s="501"/>
      <c r="P23" s="501"/>
    </row>
    <row r="24" spans="1:16" ht="14.1" customHeight="1" x14ac:dyDescent="0.2">
      <c r="D24" s="501"/>
      <c r="E24" s="501"/>
      <c r="F24" s="501"/>
      <c r="G24" s="501"/>
      <c r="H24" s="501"/>
      <c r="I24" s="501"/>
      <c r="J24" s="501"/>
      <c r="K24" s="501"/>
      <c r="L24" s="501"/>
      <c r="M24" s="501"/>
      <c r="N24" s="501"/>
      <c r="O24" s="501"/>
      <c r="P24" s="501"/>
    </row>
    <row r="25" spans="1:16" ht="14.1" customHeight="1" x14ac:dyDescent="0.2">
      <c r="D25" s="501"/>
      <c r="E25" s="501"/>
      <c r="F25" s="501"/>
      <c r="G25" s="501"/>
      <c r="H25" s="501"/>
      <c r="I25" s="501"/>
      <c r="J25" s="501"/>
      <c r="K25" s="501"/>
      <c r="L25" s="501"/>
      <c r="M25" s="501"/>
      <c r="N25" s="501"/>
      <c r="O25" s="501"/>
      <c r="P25" s="501"/>
    </row>
    <row r="26" spans="1:16" ht="14.1" customHeight="1" x14ac:dyDescent="0.2">
      <c r="D26" s="501">
        <v>1</v>
      </c>
      <c r="E26" s="501">
        <v>2</v>
      </c>
      <c r="F26" s="501">
        <v>3</v>
      </c>
      <c r="G26" s="501">
        <v>4</v>
      </c>
      <c r="H26" s="501">
        <v>5</v>
      </c>
      <c r="I26" s="501">
        <v>6</v>
      </c>
      <c r="J26" s="501">
        <v>7</v>
      </c>
      <c r="K26" s="501">
        <v>8</v>
      </c>
      <c r="L26" s="501">
        <v>9</v>
      </c>
      <c r="M26" s="501">
        <v>10</v>
      </c>
      <c r="N26" s="501">
        <v>11</v>
      </c>
      <c r="O26" s="501">
        <v>12</v>
      </c>
      <c r="P26" s="501"/>
    </row>
    <row r="27" spans="1:16" ht="14.1" customHeight="1" x14ac:dyDescent="0.2">
      <c r="D27" s="501" t="s">
        <v>30</v>
      </c>
      <c r="E27" s="501" t="s">
        <v>31</v>
      </c>
      <c r="F27" s="501" t="s">
        <v>32</v>
      </c>
      <c r="G27" s="501" t="s">
        <v>33</v>
      </c>
      <c r="H27" s="501" t="s">
        <v>34</v>
      </c>
      <c r="I27" s="501" t="s">
        <v>35</v>
      </c>
      <c r="J27" s="501" t="s">
        <v>36</v>
      </c>
      <c r="K27" s="501" t="s">
        <v>37</v>
      </c>
      <c r="L27" s="501" t="s">
        <v>38</v>
      </c>
      <c r="M27" s="501" t="s">
        <v>39</v>
      </c>
      <c r="N27" s="501" t="s">
        <v>40</v>
      </c>
      <c r="O27" s="501" t="s">
        <v>41</v>
      </c>
      <c r="P27" s="501"/>
    </row>
    <row r="28" spans="1:16" x14ac:dyDescent="0.2">
      <c r="C28" s="622" t="s">
        <v>90</v>
      </c>
      <c r="D28" s="501">
        <f>D7</f>
        <v>1120</v>
      </c>
      <c r="E28" s="501">
        <f t="shared" ref="E28:O28" si="0">E7</f>
        <v>1000</v>
      </c>
      <c r="F28" s="501">
        <f t="shared" si="0"/>
        <v>910</v>
      </c>
      <c r="G28" s="501">
        <f t="shared" si="0"/>
        <v>630</v>
      </c>
      <c r="H28" s="501">
        <f t="shared" si="0"/>
        <v>400</v>
      </c>
      <c r="I28" s="501">
        <f t="shared" si="0"/>
        <v>310</v>
      </c>
      <c r="J28" s="501">
        <f t="shared" si="0"/>
        <v>290</v>
      </c>
      <c r="K28" s="501">
        <f t="shared" si="0"/>
        <v>290</v>
      </c>
      <c r="L28" s="501">
        <f t="shared" si="0"/>
        <v>380</v>
      </c>
      <c r="M28" s="501">
        <f t="shared" si="0"/>
        <v>650</v>
      </c>
      <c r="N28" s="501">
        <f t="shared" si="0"/>
        <v>920</v>
      </c>
      <c r="O28" s="501">
        <f t="shared" si="0"/>
        <v>1080</v>
      </c>
      <c r="P28" s="501"/>
    </row>
    <row r="29" spans="1:16" x14ac:dyDescent="0.2">
      <c r="C29" s="622" t="s">
        <v>88</v>
      </c>
      <c r="D29" s="501">
        <f>D12</f>
        <v>1081.280644710429</v>
      </c>
      <c r="E29" s="501">
        <f>IF(T!$A$4&gt;=E$26,E12,0)</f>
        <v>989.86689164730865</v>
      </c>
      <c r="F29" s="501">
        <f>IF(T!$A$4&gt;=F$26,F12,0)</f>
        <v>865.53252041105134</v>
      </c>
      <c r="G29" s="501">
        <f>IF(T!$A$4&gt;=G$26,G12,0)</f>
        <v>622.80856614391325</v>
      </c>
      <c r="H29" s="501">
        <f>IF(T!$A$4&gt;=H$26,H12,0)</f>
        <v>0</v>
      </c>
      <c r="I29" s="501">
        <f>IF(T!$A$4&gt;=I$26,I12,0)</f>
        <v>0</v>
      </c>
      <c r="J29" s="501">
        <f>IF(T!$A$4&gt;=J$26,J12,0)</f>
        <v>0</v>
      </c>
      <c r="K29" s="501">
        <f>IF(T!$A$4&gt;=K$26,K12,0)</f>
        <v>0</v>
      </c>
      <c r="L29" s="501">
        <f>IF(T!$A$4&gt;=L$26,L12,0)</f>
        <v>0</v>
      </c>
      <c r="M29" s="501">
        <f>IF(T!$A$4&gt;=M$26,M12,0)</f>
        <v>0</v>
      </c>
      <c r="N29" s="501">
        <f>IF(T!$A$4&gt;=N$26,N12,0)</f>
        <v>0</v>
      </c>
      <c r="O29" s="501">
        <f>IF(T!$A$4&gt;=O$26,O12,0)</f>
        <v>0</v>
      </c>
      <c r="P29" s="501"/>
    </row>
    <row r="30" spans="1:16" x14ac:dyDescent="0.2">
      <c r="C30" s="622" t="s">
        <v>89</v>
      </c>
      <c r="D30" s="501">
        <f>D17</f>
        <v>1162.3827182199684</v>
      </c>
      <c r="E30" s="501">
        <f>IF(T!$A$4&gt;=E$26,E17,0)</f>
        <v>1022.8621044614633</v>
      </c>
      <c r="F30" s="501">
        <f>IF(T!$A$4&gt;=F$26,F17,0)</f>
        <v>901.33118683539692</v>
      </c>
      <c r="G30" s="501">
        <f>IF(T!$A$4&gt;=G$26,G17,0)</f>
        <v>647.29636373718301</v>
      </c>
      <c r="H30" s="501">
        <f>IF(T!$A$4&gt;=H$26,H17,0)</f>
        <v>0</v>
      </c>
      <c r="I30" s="501">
        <f>IF(T!$A$4&gt;=I$26,I17,0)</f>
        <v>0</v>
      </c>
      <c r="J30" s="501">
        <f>IF(T!$A$4&gt;=J$26,J17,0)</f>
        <v>0</v>
      </c>
      <c r="K30" s="501">
        <f>IF(T!$A$4&gt;=K$26,K17,0)</f>
        <v>0</v>
      </c>
      <c r="L30" s="501">
        <f>IF(T!$A$4&gt;=L$26,L17,0)</f>
        <v>0</v>
      </c>
      <c r="M30" s="501">
        <f>IF(T!$A$4&gt;=M$26,M17,0)</f>
        <v>0</v>
      </c>
      <c r="N30" s="501">
        <f>IF(T!$A$4&gt;=N$26,N17,0)</f>
        <v>0</v>
      </c>
      <c r="O30" s="501">
        <f>IF(T!$A$4&gt;=O$26,O17,0)</f>
        <v>0</v>
      </c>
      <c r="P30" s="501"/>
    </row>
    <row r="31" spans="1:16" x14ac:dyDescent="0.2">
      <c r="D31" s="501"/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</row>
    <row r="32" spans="1:16" x14ac:dyDescent="0.2"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</row>
    <row r="33" spans="1:16" x14ac:dyDescent="0.2"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</row>
    <row r="34" spans="1:16" x14ac:dyDescent="0.2"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</row>
    <row r="35" spans="1:16" x14ac:dyDescent="0.2"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</row>
    <row r="36" spans="1:16" x14ac:dyDescent="0.2">
      <c r="D36" s="501"/>
      <c r="E36" s="501"/>
      <c r="F36" s="501"/>
      <c r="G36" s="501"/>
      <c r="H36" s="501"/>
      <c r="I36" s="501"/>
      <c r="J36" s="501"/>
      <c r="K36" s="501"/>
      <c r="L36" s="501"/>
      <c r="M36" s="501"/>
      <c r="N36" s="501"/>
      <c r="O36" s="501"/>
      <c r="P36" s="501"/>
    </row>
    <row r="40" spans="1:16" ht="5.0999999999999996" customHeight="1" x14ac:dyDescent="0.2">
      <c r="A40" s="183"/>
      <c r="B40" s="183"/>
      <c r="C40" s="183"/>
      <c r="D40" s="756"/>
      <c r="E40" s="183"/>
      <c r="F40" s="51"/>
    </row>
    <row r="41" spans="1:16" x14ac:dyDescent="0.2">
      <c r="A41" s="903" t="s">
        <v>307</v>
      </c>
      <c r="B41" s="903"/>
      <c r="C41" s="903"/>
      <c r="D41" s="903"/>
      <c r="E41" s="903"/>
      <c r="F41" s="903"/>
      <c r="G41" s="903"/>
      <c r="H41" s="903"/>
      <c r="I41" s="903"/>
      <c r="J41" s="903"/>
      <c r="K41" s="903"/>
      <c r="L41" s="903"/>
      <c r="M41" s="903"/>
      <c r="N41" s="903"/>
      <c r="O41" s="903"/>
      <c r="P41" s="903"/>
    </row>
  </sheetData>
  <mergeCells count="7">
    <mergeCell ref="A41:P41"/>
    <mergeCell ref="A16:A20"/>
    <mergeCell ref="O1:P1"/>
    <mergeCell ref="A2:P2"/>
    <mergeCell ref="A3:P3"/>
    <mergeCell ref="A6:A10"/>
    <mergeCell ref="A11:A15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&amp;C16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1EDE1AD-0AA8-4C18-BF6A-38C36BB5A4E5}">
            <xm:f>E$26&gt;T!$A$4</xm:f>
            <x14:dxf>
              <font>
                <color theme="0" tint="-0.24994659260841701"/>
              </font>
            </x14:dxf>
          </x14:cfRule>
          <xm:sqref>E12:O19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T63"/>
  <sheetViews>
    <sheetView view="pageBreakPreview" zoomScaleNormal="100" zoomScaleSheetLayoutView="100" workbookViewId="0">
      <selection activeCell="C1" sqref="C1"/>
    </sheetView>
  </sheetViews>
  <sheetFormatPr defaultRowHeight="11.25" x14ac:dyDescent="0.2"/>
  <cols>
    <col min="1" max="1" width="0.85546875" style="622" customWidth="1"/>
    <col min="2" max="2" width="9.7109375" style="622" customWidth="1"/>
    <col min="3" max="3" width="6.7109375" style="622" customWidth="1"/>
    <col min="4" max="4" width="15.7109375" style="13" customWidth="1"/>
    <col min="5" max="5" width="8.7109375" style="13" customWidth="1"/>
    <col min="6" max="6" width="7.7109375" style="13" customWidth="1"/>
    <col min="7" max="7" width="8.7109375" style="13" customWidth="1"/>
    <col min="8" max="8" width="7.7109375" style="13" customWidth="1"/>
    <col min="9" max="9" width="9.7109375" style="13" customWidth="1"/>
    <col min="10" max="10" width="6.7109375" style="13" customWidth="1"/>
    <col min="11" max="11" width="4.28515625" style="13" customWidth="1"/>
    <col min="12" max="12" width="5.85546875" style="13" customWidth="1"/>
    <col min="13" max="13" width="11.5703125" style="13" bestFit="1" customWidth="1"/>
    <col min="14" max="14" width="13.42578125" style="13" customWidth="1"/>
    <col min="15" max="15" width="14.5703125" style="13" customWidth="1"/>
    <col min="16" max="260" width="9.140625" style="13"/>
    <col min="261" max="261" width="2.7109375" style="13" customWidth="1"/>
    <col min="262" max="266" width="15.7109375" style="13" customWidth="1"/>
    <col min="267" max="267" width="2.85546875" style="13" customWidth="1"/>
    <col min="268" max="268" width="5.85546875" style="13" customWidth="1"/>
    <col min="269" max="269" width="11.5703125" style="13" bestFit="1" customWidth="1"/>
    <col min="270" max="270" width="13.42578125" style="13" customWidth="1"/>
    <col min="271" max="271" width="14.5703125" style="13" customWidth="1"/>
    <col min="272" max="516" width="9.140625" style="13"/>
    <col min="517" max="517" width="2.7109375" style="13" customWidth="1"/>
    <col min="518" max="522" width="15.7109375" style="13" customWidth="1"/>
    <col min="523" max="523" width="2.85546875" style="13" customWidth="1"/>
    <col min="524" max="524" width="5.85546875" style="13" customWidth="1"/>
    <col min="525" max="525" width="11.5703125" style="13" bestFit="1" customWidth="1"/>
    <col min="526" max="526" width="13.42578125" style="13" customWidth="1"/>
    <col min="527" max="527" width="14.5703125" style="13" customWidth="1"/>
    <col min="528" max="772" width="9.140625" style="13"/>
    <col min="773" max="773" width="2.7109375" style="13" customWidth="1"/>
    <col min="774" max="778" width="15.7109375" style="13" customWidth="1"/>
    <col min="779" max="779" width="2.85546875" style="13" customWidth="1"/>
    <col min="780" max="780" width="5.85546875" style="13" customWidth="1"/>
    <col min="781" max="781" width="11.5703125" style="13" bestFit="1" customWidth="1"/>
    <col min="782" max="782" width="13.42578125" style="13" customWidth="1"/>
    <col min="783" max="783" width="14.5703125" style="13" customWidth="1"/>
    <col min="784" max="1028" width="9.140625" style="13"/>
    <col min="1029" max="1029" width="2.7109375" style="13" customWidth="1"/>
    <col min="1030" max="1034" width="15.7109375" style="13" customWidth="1"/>
    <col min="1035" max="1035" width="2.85546875" style="13" customWidth="1"/>
    <col min="1036" max="1036" width="5.85546875" style="13" customWidth="1"/>
    <col min="1037" max="1037" width="11.5703125" style="13" bestFit="1" customWidth="1"/>
    <col min="1038" max="1038" width="13.42578125" style="13" customWidth="1"/>
    <col min="1039" max="1039" width="14.5703125" style="13" customWidth="1"/>
    <col min="1040" max="1284" width="9.140625" style="13"/>
    <col min="1285" max="1285" width="2.7109375" style="13" customWidth="1"/>
    <col min="1286" max="1290" width="15.7109375" style="13" customWidth="1"/>
    <col min="1291" max="1291" width="2.85546875" style="13" customWidth="1"/>
    <col min="1292" max="1292" width="5.85546875" style="13" customWidth="1"/>
    <col min="1293" max="1293" width="11.5703125" style="13" bestFit="1" customWidth="1"/>
    <col min="1294" max="1294" width="13.42578125" style="13" customWidth="1"/>
    <col min="1295" max="1295" width="14.5703125" style="13" customWidth="1"/>
    <col min="1296" max="1540" width="9.140625" style="13"/>
    <col min="1541" max="1541" width="2.7109375" style="13" customWidth="1"/>
    <col min="1542" max="1546" width="15.7109375" style="13" customWidth="1"/>
    <col min="1547" max="1547" width="2.85546875" style="13" customWidth="1"/>
    <col min="1548" max="1548" width="5.85546875" style="13" customWidth="1"/>
    <col min="1549" max="1549" width="11.5703125" style="13" bestFit="1" customWidth="1"/>
    <col min="1550" max="1550" width="13.42578125" style="13" customWidth="1"/>
    <col min="1551" max="1551" width="14.5703125" style="13" customWidth="1"/>
    <col min="1552" max="1796" width="9.140625" style="13"/>
    <col min="1797" max="1797" width="2.7109375" style="13" customWidth="1"/>
    <col min="1798" max="1802" width="15.7109375" style="13" customWidth="1"/>
    <col min="1803" max="1803" width="2.85546875" style="13" customWidth="1"/>
    <col min="1804" max="1804" width="5.85546875" style="13" customWidth="1"/>
    <col min="1805" max="1805" width="11.5703125" style="13" bestFit="1" customWidth="1"/>
    <col min="1806" max="1806" width="13.42578125" style="13" customWidth="1"/>
    <col min="1807" max="1807" width="14.5703125" style="13" customWidth="1"/>
    <col min="1808" max="2052" width="9.140625" style="13"/>
    <col min="2053" max="2053" width="2.7109375" style="13" customWidth="1"/>
    <col min="2054" max="2058" width="15.7109375" style="13" customWidth="1"/>
    <col min="2059" max="2059" width="2.85546875" style="13" customWidth="1"/>
    <col min="2060" max="2060" width="5.85546875" style="13" customWidth="1"/>
    <col min="2061" max="2061" width="11.5703125" style="13" bestFit="1" customWidth="1"/>
    <col min="2062" max="2062" width="13.42578125" style="13" customWidth="1"/>
    <col min="2063" max="2063" width="14.5703125" style="13" customWidth="1"/>
    <col min="2064" max="2308" width="9.140625" style="13"/>
    <col min="2309" max="2309" width="2.7109375" style="13" customWidth="1"/>
    <col min="2310" max="2314" width="15.7109375" style="13" customWidth="1"/>
    <col min="2315" max="2315" width="2.85546875" style="13" customWidth="1"/>
    <col min="2316" max="2316" width="5.85546875" style="13" customWidth="1"/>
    <col min="2317" max="2317" width="11.5703125" style="13" bestFit="1" customWidth="1"/>
    <col min="2318" max="2318" width="13.42578125" style="13" customWidth="1"/>
    <col min="2319" max="2319" width="14.5703125" style="13" customWidth="1"/>
    <col min="2320" max="2564" width="9.140625" style="13"/>
    <col min="2565" max="2565" width="2.7109375" style="13" customWidth="1"/>
    <col min="2566" max="2570" width="15.7109375" style="13" customWidth="1"/>
    <col min="2571" max="2571" width="2.85546875" style="13" customWidth="1"/>
    <col min="2572" max="2572" width="5.85546875" style="13" customWidth="1"/>
    <col min="2573" max="2573" width="11.5703125" style="13" bestFit="1" customWidth="1"/>
    <col min="2574" max="2574" width="13.42578125" style="13" customWidth="1"/>
    <col min="2575" max="2575" width="14.5703125" style="13" customWidth="1"/>
    <col min="2576" max="2820" width="9.140625" style="13"/>
    <col min="2821" max="2821" width="2.7109375" style="13" customWidth="1"/>
    <col min="2822" max="2826" width="15.7109375" style="13" customWidth="1"/>
    <col min="2827" max="2827" width="2.85546875" style="13" customWidth="1"/>
    <col min="2828" max="2828" width="5.85546875" style="13" customWidth="1"/>
    <col min="2829" max="2829" width="11.5703125" style="13" bestFit="1" customWidth="1"/>
    <col min="2830" max="2830" width="13.42578125" style="13" customWidth="1"/>
    <col min="2831" max="2831" width="14.5703125" style="13" customWidth="1"/>
    <col min="2832" max="3076" width="9.140625" style="13"/>
    <col min="3077" max="3077" width="2.7109375" style="13" customWidth="1"/>
    <col min="3078" max="3082" width="15.7109375" style="13" customWidth="1"/>
    <col min="3083" max="3083" width="2.85546875" style="13" customWidth="1"/>
    <col min="3084" max="3084" width="5.85546875" style="13" customWidth="1"/>
    <col min="3085" max="3085" width="11.5703125" style="13" bestFit="1" customWidth="1"/>
    <col min="3086" max="3086" width="13.42578125" style="13" customWidth="1"/>
    <col min="3087" max="3087" width="14.5703125" style="13" customWidth="1"/>
    <col min="3088" max="3332" width="9.140625" style="13"/>
    <col min="3333" max="3333" width="2.7109375" style="13" customWidth="1"/>
    <col min="3334" max="3338" width="15.7109375" style="13" customWidth="1"/>
    <col min="3339" max="3339" width="2.85546875" style="13" customWidth="1"/>
    <col min="3340" max="3340" width="5.85546875" style="13" customWidth="1"/>
    <col min="3341" max="3341" width="11.5703125" style="13" bestFit="1" customWidth="1"/>
    <col min="3342" max="3342" width="13.42578125" style="13" customWidth="1"/>
    <col min="3343" max="3343" width="14.5703125" style="13" customWidth="1"/>
    <col min="3344" max="3588" width="9.140625" style="13"/>
    <col min="3589" max="3589" width="2.7109375" style="13" customWidth="1"/>
    <col min="3590" max="3594" width="15.7109375" style="13" customWidth="1"/>
    <col min="3595" max="3595" width="2.85546875" style="13" customWidth="1"/>
    <col min="3596" max="3596" width="5.85546875" style="13" customWidth="1"/>
    <col min="3597" max="3597" width="11.5703125" style="13" bestFit="1" customWidth="1"/>
    <col min="3598" max="3598" width="13.42578125" style="13" customWidth="1"/>
    <col min="3599" max="3599" width="14.5703125" style="13" customWidth="1"/>
    <col min="3600" max="3844" width="9.140625" style="13"/>
    <col min="3845" max="3845" width="2.7109375" style="13" customWidth="1"/>
    <col min="3846" max="3850" width="15.7109375" style="13" customWidth="1"/>
    <col min="3851" max="3851" width="2.85546875" style="13" customWidth="1"/>
    <col min="3852" max="3852" width="5.85546875" style="13" customWidth="1"/>
    <col min="3853" max="3853" width="11.5703125" style="13" bestFit="1" customWidth="1"/>
    <col min="3854" max="3854" width="13.42578125" style="13" customWidth="1"/>
    <col min="3855" max="3855" width="14.5703125" style="13" customWidth="1"/>
    <col min="3856" max="4100" width="9.140625" style="13"/>
    <col min="4101" max="4101" width="2.7109375" style="13" customWidth="1"/>
    <col min="4102" max="4106" width="15.7109375" style="13" customWidth="1"/>
    <col min="4107" max="4107" width="2.85546875" style="13" customWidth="1"/>
    <col min="4108" max="4108" width="5.85546875" style="13" customWidth="1"/>
    <col min="4109" max="4109" width="11.5703125" style="13" bestFit="1" customWidth="1"/>
    <col min="4110" max="4110" width="13.42578125" style="13" customWidth="1"/>
    <col min="4111" max="4111" width="14.5703125" style="13" customWidth="1"/>
    <col min="4112" max="4356" width="9.140625" style="13"/>
    <col min="4357" max="4357" width="2.7109375" style="13" customWidth="1"/>
    <col min="4358" max="4362" width="15.7109375" style="13" customWidth="1"/>
    <col min="4363" max="4363" width="2.85546875" style="13" customWidth="1"/>
    <col min="4364" max="4364" width="5.85546875" style="13" customWidth="1"/>
    <col min="4365" max="4365" width="11.5703125" style="13" bestFit="1" customWidth="1"/>
    <col min="4366" max="4366" width="13.42578125" style="13" customWidth="1"/>
    <col min="4367" max="4367" width="14.5703125" style="13" customWidth="1"/>
    <col min="4368" max="4612" width="9.140625" style="13"/>
    <col min="4613" max="4613" width="2.7109375" style="13" customWidth="1"/>
    <col min="4614" max="4618" width="15.7109375" style="13" customWidth="1"/>
    <col min="4619" max="4619" width="2.85546875" style="13" customWidth="1"/>
    <col min="4620" max="4620" width="5.85546875" style="13" customWidth="1"/>
    <col min="4621" max="4621" width="11.5703125" style="13" bestFit="1" customWidth="1"/>
    <col min="4622" max="4622" width="13.42578125" style="13" customWidth="1"/>
    <col min="4623" max="4623" width="14.5703125" style="13" customWidth="1"/>
    <col min="4624" max="4868" width="9.140625" style="13"/>
    <col min="4869" max="4869" width="2.7109375" style="13" customWidth="1"/>
    <col min="4870" max="4874" width="15.7109375" style="13" customWidth="1"/>
    <col min="4875" max="4875" width="2.85546875" style="13" customWidth="1"/>
    <col min="4876" max="4876" width="5.85546875" style="13" customWidth="1"/>
    <col min="4877" max="4877" width="11.5703125" style="13" bestFit="1" customWidth="1"/>
    <col min="4878" max="4878" width="13.42578125" style="13" customWidth="1"/>
    <col min="4879" max="4879" width="14.5703125" style="13" customWidth="1"/>
    <col min="4880" max="5124" width="9.140625" style="13"/>
    <col min="5125" max="5125" width="2.7109375" style="13" customWidth="1"/>
    <col min="5126" max="5130" width="15.7109375" style="13" customWidth="1"/>
    <col min="5131" max="5131" width="2.85546875" style="13" customWidth="1"/>
    <col min="5132" max="5132" width="5.85546875" style="13" customWidth="1"/>
    <col min="5133" max="5133" width="11.5703125" style="13" bestFit="1" customWidth="1"/>
    <col min="5134" max="5134" width="13.42578125" style="13" customWidth="1"/>
    <col min="5135" max="5135" width="14.5703125" style="13" customWidth="1"/>
    <col min="5136" max="5380" width="9.140625" style="13"/>
    <col min="5381" max="5381" width="2.7109375" style="13" customWidth="1"/>
    <col min="5382" max="5386" width="15.7109375" style="13" customWidth="1"/>
    <col min="5387" max="5387" width="2.85546875" style="13" customWidth="1"/>
    <col min="5388" max="5388" width="5.85546875" style="13" customWidth="1"/>
    <col min="5389" max="5389" width="11.5703125" style="13" bestFit="1" customWidth="1"/>
    <col min="5390" max="5390" width="13.42578125" style="13" customWidth="1"/>
    <col min="5391" max="5391" width="14.5703125" style="13" customWidth="1"/>
    <col min="5392" max="5636" width="9.140625" style="13"/>
    <col min="5637" max="5637" width="2.7109375" style="13" customWidth="1"/>
    <col min="5638" max="5642" width="15.7109375" style="13" customWidth="1"/>
    <col min="5643" max="5643" width="2.85546875" style="13" customWidth="1"/>
    <col min="5644" max="5644" width="5.85546875" style="13" customWidth="1"/>
    <col min="5645" max="5645" width="11.5703125" style="13" bestFit="1" customWidth="1"/>
    <col min="5646" max="5646" width="13.42578125" style="13" customWidth="1"/>
    <col min="5647" max="5647" width="14.5703125" style="13" customWidth="1"/>
    <col min="5648" max="5892" width="9.140625" style="13"/>
    <col min="5893" max="5893" width="2.7109375" style="13" customWidth="1"/>
    <col min="5894" max="5898" width="15.7109375" style="13" customWidth="1"/>
    <col min="5899" max="5899" width="2.85546875" style="13" customWidth="1"/>
    <col min="5900" max="5900" width="5.85546875" style="13" customWidth="1"/>
    <col min="5901" max="5901" width="11.5703125" style="13" bestFit="1" customWidth="1"/>
    <col min="5902" max="5902" width="13.42578125" style="13" customWidth="1"/>
    <col min="5903" max="5903" width="14.5703125" style="13" customWidth="1"/>
    <col min="5904" max="6148" width="9.140625" style="13"/>
    <col min="6149" max="6149" width="2.7109375" style="13" customWidth="1"/>
    <col min="6150" max="6154" width="15.7109375" style="13" customWidth="1"/>
    <col min="6155" max="6155" width="2.85546875" style="13" customWidth="1"/>
    <col min="6156" max="6156" width="5.85546875" style="13" customWidth="1"/>
    <col min="6157" max="6157" width="11.5703125" style="13" bestFit="1" customWidth="1"/>
    <col min="6158" max="6158" width="13.42578125" style="13" customWidth="1"/>
    <col min="6159" max="6159" width="14.5703125" style="13" customWidth="1"/>
    <col min="6160" max="6404" width="9.140625" style="13"/>
    <col min="6405" max="6405" width="2.7109375" style="13" customWidth="1"/>
    <col min="6406" max="6410" width="15.7109375" style="13" customWidth="1"/>
    <col min="6411" max="6411" width="2.85546875" style="13" customWidth="1"/>
    <col min="6412" max="6412" width="5.85546875" style="13" customWidth="1"/>
    <col min="6413" max="6413" width="11.5703125" style="13" bestFit="1" customWidth="1"/>
    <col min="6414" max="6414" width="13.42578125" style="13" customWidth="1"/>
    <col min="6415" max="6415" width="14.5703125" style="13" customWidth="1"/>
    <col min="6416" max="6660" width="9.140625" style="13"/>
    <col min="6661" max="6661" width="2.7109375" style="13" customWidth="1"/>
    <col min="6662" max="6666" width="15.7109375" style="13" customWidth="1"/>
    <col min="6667" max="6667" width="2.85546875" style="13" customWidth="1"/>
    <col min="6668" max="6668" width="5.85546875" style="13" customWidth="1"/>
    <col min="6669" max="6669" width="11.5703125" style="13" bestFit="1" customWidth="1"/>
    <col min="6670" max="6670" width="13.42578125" style="13" customWidth="1"/>
    <col min="6671" max="6671" width="14.5703125" style="13" customWidth="1"/>
    <col min="6672" max="6916" width="9.140625" style="13"/>
    <col min="6917" max="6917" width="2.7109375" style="13" customWidth="1"/>
    <col min="6918" max="6922" width="15.7109375" style="13" customWidth="1"/>
    <col min="6923" max="6923" width="2.85546875" style="13" customWidth="1"/>
    <col min="6924" max="6924" width="5.85546875" style="13" customWidth="1"/>
    <col min="6925" max="6925" width="11.5703125" style="13" bestFit="1" customWidth="1"/>
    <col min="6926" max="6926" width="13.42578125" style="13" customWidth="1"/>
    <col min="6927" max="6927" width="14.5703125" style="13" customWidth="1"/>
    <col min="6928" max="7172" width="9.140625" style="13"/>
    <col min="7173" max="7173" width="2.7109375" style="13" customWidth="1"/>
    <col min="7174" max="7178" width="15.7109375" style="13" customWidth="1"/>
    <col min="7179" max="7179" width="2.85546875" style="13" customWidth="1"/>
    <col min="7180" max="7180" width="5.85546875" style="13" customWidth="1"/>
    <col min="7181" max="7181" width="11.5703125" style="13" bestFit="1" customWidth="1"/>
    <col min="7182" max="7182" width="13.42578125" style="13" customWidth="1"/>
    <col min="7183" max="7183" width="14.5703125" style="13" customWidth="1"/>
    <col min="7184" max="7428" width="9.140625" style="13"/>
    <col min="7429" max="7429" width="2.7109375" style="13" customWidth="1"/>
    <col min="7430" max="7434" width="15.7109375" style="13" customWidth="1"/>
    <col min="7435" max="7435" width="2.85546875" style="13" customWidth="1"/>
    <col min="7436" max="7436" width="5.85546875" style="13" customWidth="1"/>
    <col min="7437" max="7437" width="11.5703125" style="13" bestFit="1" customWidth="1"/>
    <col min="7438" max="7438" width="13.42578125" style="13" customWidth="1"/>
    <col min="7439" max="7439" width="14.5703125" style="13" customWidth="1"/>
    <col min="7440" max="7684" width="9.140625" style="13"/>
    <col min="7685" max="7685" width="2.7109375" style="13" customWidth="1"/>
    <col min="7686" max="7690" width="15.7109375" style="13" customWidth="1"/>
    <col min="7691" max="7691" width="2.85546875" style="13" customWidth="1"/>
    <col min="7692" max="7692" width="5.85546875" style="13" customWidth="1"/>
    <col min="7693" max="7693" width="11.5703125" style="13" bestFit="1" customWidth="1"/>
    <col min="7694" max="7694" width="13.42578125" style="13" customWidth="1"/>
    <col min="7695" max="7695" width="14.5703125" style="13" customWidth="1"/>
    <col min="7696" max="7940" width="9.140625" style="13"/>
    <col min="7941" max="7941" width="2.7109375" style="13" customWidth="1"/>
    <col min="7942" max="7946" width="15.7109375" style="13" customWidth="1"/>
    <col min="7947" max="7947" width="2.85546875" style="13" customWidth="1"/>
    <col min="7948" max="7948" width="5.85546875" style="13" customWidth="1"/>
    <col min="7949" max="7949" width="11.5703125" style="13" bestFit="1" customWidth="1"/>
    <col min="7950" max="7950" width="13.42578125" style="13" customWidth="1"/>
    <col min="7951" max="7951" width="14.5703125" style="13" customWidth="1"/>
    <col min="7952" max="8196" width="9.140625" style="13"/>
    <col min="8197" max="8197" width="2.7109375" style="13" customWidth="1"/>
    <col min="8198" max="8202" width="15.7109375" style="13" customWidth="1"/>
    <col min="8203" max="8203" width="2.85546875" style="13" customWidth="1"/>
    <col min="8204" max="8204" width="5.85546875" style="13" customWidth="1"/>
    <col min="8205" max="8205" width="11.5703125" style="13" bestFit="1" customWidth="1"/>
    <col min="8206" max="8206" width="13.42578125" style="13" customWidth="1"/>
    <col min="8207" max="8207" width="14.5703125" style="13" customWidth="1"/>
    <col min="8208" max="8452" width="9.140625" style="13"/>
    <col min="8453" max="8453" width="2.7109375" style="13" customWidth="1"/>
    <col min="8454" max="8458" width="15.7109375" style="13" customWidth="1"/>
    <col min="8459" max="8459" width="2.85546875" style="13" customWidth="1"/>
    <col min="8460" max="8460" width="5.85546875" style="13" customWidth="1"/>
    <col min="8461" max="8461" width="11.5703125" style="13" bestFit="1" customWidth="1"/>
    <col min="8462" max="8462" width="13.42578125" style="13" customWidth="1"/>
    <col min="8463" max="8463" width="14.5703125" style="13" customWidth="1"/>
    <col min="8464" max="8708" width="9.140625" style="13"/>
    <col min="8709" max="8709" width="2.7109375" style="13" customWidth="1"/>
    <col min="8710" max="8714" width="15.7109375" style="13" customWidth="1"/>
    <col min="8715" max="8715" width="2.85546875" style="13" customWidth="1"/>
    <col min="8716" max="8716" width="5.85546875" style="13" customWidth="1"/>
    <col min="8717" max="8717" width="11.5703125" style="13" bestFit="1" customWidth="1"/>
    <col min="8718" max="8718" width="13.42578125" style="13" customWidth="1"/>
    <col min="8719" max="8719" width="14.5703125" style="13" customWidth="1"/>
    <col min="8720" max="8964" width="9.140625" style="13"/>
    <col min="8965" max="8965" width="2.7109375" style="13" customWidth="1"/>
    <col min="8966" max="8970" width="15.7109375" style="13" customWidth="1"/>
    <col min="8971" max="8971" width="2.85546875" style="13" customWidth="1"/>
    <col min="8972" max="8972" width="5.85546875" style="13" customWidth="1"/>
    <col min="8973" max="8973" width="11.5703125" style="13" bestFit="1" customWidth="1"/>
    <col min="8974" max="8974" width="13.42578125" style="13" customWidth="1"/>
    <col min="8975" max="8975" width="14.5703125" style="13" customWidth="1"/>
    <col min="8976" max="9220" width="9.140625" style="13"/>
    <col min="9221" max="9221" width="2.7109375" style="13" customWidth="1"/>
    <col min="9222" max="9226" width="15.7109375" style="13" customWidth="1"/>
    <col min="9227" max="9227" width="2.85546875" style="13" customWidth="1"/>
    <col min="9228" max="9228" width="5.85546875" style="13" customWidth="1"/>
    <col min="9229" max="9229" width="11.5703125" style="13" bestFit="1" customWidth="1"/>
    <col min="9230" max="9230" width="13.42578125" style="13" customWidth="1"/>
    <col min="9231" max="9231" width="14.5703125" style="13" customWidth="1"/>
    <col min="9232" max="9476" width="9.140625" style="13"/>
    <col min="9477" max="9477" width="2.7109375" style="13" customWidth="1"/>
    <col min="9478" max="9482" width="15.7109375" style="13" customWidth="1"/>
    <col min="9483" max="9483" width="2.85546875" style="13" customWidth="1"/>
    <col min="9484" max="9484" width="5.85546875" style="13" customWidth="1"/>
    <col min="9485" max="9485" width="11.5703125" style="13" bestFit="1" customWidth="1"/>
    <col min="9486" max="9486" width="13.42578125" style="13" customWidth="1"/>
    <col min="9487" max="9487" width="14.5703125" style="13" customWidth="1"/>
    <col min="9488" max="9732" width="9.140625" style="13"/>
    <col min="9733" max="9733" width="2.7109375" style="13" customWidth="1"/>
    <col min="9734" max="9738" width="15.7109375" style="13" customWidth="1"/>
    <col min="9739" max="9739" width="2.85546875" style="13" customWidth="1"/>
    <col min="9740" max="9740" width="5.85546875" style="13" customWidth="1"/>
    <col min="9741" max="9741" width="11.5703125" style="13" bestFit="1" customWidth="1"/>
    <col min="9742" max="9742" width="13.42578125" style="13" customWidth="1"/>
    <col min="9743" max="9743" width="14.5703125" style="13" customWidth="1"/>
    <col min="9744" max="9988" width="9.140625" style="13"/>
    <col min="9989" max="9989" width="2.7109375" style="13" customWidth="1"/>
    <col min="9990" max="9994" width="15.7109375" style="13" customWidth="1"/>
    <col min="9995" max="9995" width="2.85546875" style="13" customWidth="1"/>
    <col min="9996" max="9996" width="5.85546875" style="13" customWidth="1"/>
    <col min="9997" max="9997" width="11.5703125" style="13" bestFit="1" customWidth="1"/>
    <col min="9998" max="9998" width="13.42578125" style="13" customWidth="1"/>
    <col min="9999" max="9999" width="14.5703125" style="13" customWidth="1"/>
    <col min="10000" max="10244" width="9.140625" style="13"/>
    <col min="10245" max="10245" width="2.7109375" style="13" customWidth="1"/>
    <col min="10246" max="10250" width="15.7109375" style="13" customWidth="1"/>
    <col min="10251" max="10251" width="2.85546875" style="13" customWidth="1"/>
    <col min="10252" max="10252" width="5.85546875" style="13" customWidth="1"/>
    <col min="10253" max="10253" width="11.5703125" style="13" bestFit="1" customWidth="1"/>
    <col min="10254" max="10254" width="13.42578125" style="13" customWidth="1"/>
    <col min="10255" max="10255" width="14.5703125" style="13" customWidth="1"/>
    <col min="10256" max="10500" width="9.140625" style="13"/>
    <col min="10501" max="10501" width="2.7109375" style="13" customWidth="1"/>
    <col min="10502" max="10506" width="15.7109375" style="13" customWidth="1"/>
    <col min="10507" max="10507" width="2.85546875" style="13" customWidth="1"/>
    <col min="10508" max="10508" width="5.85546875" style="13" customWidth="1"/>
    <col min="10509" max="10509" width="11.5703125" style="13" bestFit="1" customWidth="1"/>
    <col min="10510" max="10510" width="13.42578125" style="13" customWidth="1"/>
    <col min="10511" max="10511" width="14.5703125" style="13" customWidth="1"/>
    <col min="10512" max="10756" width="9.140625" style="13"/>
    <col min="10757" max="10757" width="2.7109375" style="13" customWidth="1"/>
    <col min="10758" max="10762" width="15.7109375" style="13" customWidth="1"/>
    <col min="10763" max="10763" width="2.85546875" style="13" customWidth="1"/>
    <col min="10764" max="10764" width="5.85546875" style="13" customWidth="1"/>
    <col min="10765" max="10765" width="11.5703125" style="13" bestFit="1" customWidth="1"/>
    <col min="10766" max="10766" width="13.42578125" style="13" customWidth="1"/>
    <col min="10767" max="10767" width="14.5703125" style="13" customWidth="1"/>
    <col min="10768" max="11012" width="9.140625" style="13"/>
    <col min="11013" max="11013" width="2.7109375" style="13" customWidth="1"/>
    <col min="11014" max="11018" width="15.7109375" style="13" customWidth="1"/>
    <col min="11019" max="11019" width="2.85546875" style="13" customWidth="1"/>
    <col min="11020" max="11020" width="5.85546875" style="13" customWidth="1"/>
    <col min="11021" max="11021" width="11.5703125" style="13" bestFit="1" customWidth="1"/>
    <col min="11022" max="11022" width="13.42578125" style="13" customWidth="1"/>
    <col min="11023" max="11023" width="14.5703125" style="13" customWidth="1"/>
    <col min="11024" max="11268" width="9.140625" style="13"/>
    <col min="11269" max="11269" width="2.7109375" style="13" customWidth="1"/>
    <col min="11270" max="11274" width="15.7109375" style="13" customWidth="1"/>
    <col min="11275" max="11275" width="2.85546875" style="13" customWidth="1"/>
    <col min="11276" max="11276" width="5.85546875" style="13" customWidth="1"/>
    <col min="11277" max="11277" width="11.5703125" style="13" bestFit="1" customWidth="1"/>
    <col min="11278" max="11278" width="13.42578125" style="13" customWidth="1"/>
    <col min="11279" max="11279" width="14.5703125" style="13" customWidth="1"/>
    <col min="11280" max="11524" width="9.140625" style="13"/>
    <col min="11525" max="11525" width="2.7109375" style="13" customWidth="1"/>
    <col min="11526" max="11530" width="15.7109375" style="13" customWidth="1"/>
    <col min="11531" max="11531" width="2.85546875" style="13" customWidth="1"/>
    <col min="11532" max="11532" width="5.85546875" style="13" customWidth="1"/>
    <col min="11533" max="11533" width="11.5703125" style="13" bestFit="1" customWidth="1"/>
    <col min="11534" max="11534" width="13.42578125" style="13" customWidth="1"/>
    <col min="11535" max="11535" width="14.5703125" style="13" customWidth="1"/>
    <col min="11536" max="11780" width="9.140625" style="13"/>
    <col min="11781" max="11781" width="2.7109375" style="13" customWidth="1"/>
    <col min="11782" max="11786" width="15.7109375" style="13" customWidth="1"/>
    <col min="11787" max="11787" width="2.85546875" style="13" customWidth="1"/>
    <col min="11788" max="11788" width="5.85546875" style="13" customWidth="1"/>
    <col min="11789" max="11789" width="11.5703125" style="13" bestFit="1" customWidth="1"/>
    <col min="11790" max="11790" width="13.42578125" style="13" customWidth="1"/>
    <col min="11791" max="11791" width="14.5703125" style="13" customWidth="1"/>
    <col min="11792" max="12036" width="9.140625" style="13"/>
    <col min="12037" max="12037" width="2.7109375" style="13" customWidth="1"/>
    <col min="12038" max="12042" width="15.7109375" style="13" customWidth="1"/>
    <col min="12043" max="12043" width="2.85546875" style="13" customWidth="1"/>
    <col min="12044" max="12044" width="5.85546875" style="13" customWidth="1"/>
    <col min="12045" max="12045" width="11.5703125" style="13" bestFit="1" customWidth="1"/>
    <col min="12046" max="12046" width="13.42578125" style="13" customWidth="1"/>
    <col min="12047" max="12047" width="14.5703125" style="13" customWidth="1"/>
    <col min="12048" max="12292" width="9.140625" style="13"/>
    <col min="12293" max="12293" width="2.7109375" style="13" customWidth="1"/>
    <col min="12294" max="12298" width="15.7109375" style="13" customWidth="1"/>
    <col min="12299" max="12299" width="2.85546875" style="13" customWidth="1"/>
    <col min="12300" max="12300" width="5.85546875" style="13" customWidth="1"/>
    <col min="12301" max="12301" width="11.5703125" style="13" bestFit="1" customWidth="1"/>
    <col min="12302" max="12302" width="13.42578125" style="13" customWidth="1"/>
    <col min="12303" max="12303" width="14.5703125" style="13" customWidth="1"/>
    <col min="12304" max="12548" width="9.140625" style="13"/>
    <col min="12549" max="12549" width="2.7109375" style="13" customWidth="1"/>
    <col min="12550" max="12554" width="15.7109375" style="13" customWidth="1"/>
    <col min="12555" max="12555" width="2.85546875" style="13" customWidth="1"/>
    <col min="12556" max="12556" width="5.85546875" style="13" customWidth="1"/>
    <col min="12557" max="12557" width="11.5703125" style="13" bestFit="1" customWidth="1"/>
    <col min="12558" max="12558" width="13.42578125" style="13" customWidth="1"/>
    <col min="12559" max="12559" width="14.5703125" style="13" customWidth="1"/>
    <col min="12560" max="12804" width="9.140625" style="13"/>
    <col min="12805" max="12805" width="2.7109375" style="13" customWidth="1"/>
    <col min="12806" max="12810" width="15.7109375" style="13" customWidth="1"/>
    <col min="12811" max="12811" width="2.85546875" style="13" customWidth="1"/>
    <col min="12812" max="12812" width="5.85546875" style="13" customWidth="1"/>
    <col min="12813" max="12813" width="11.5703125" style="13" bestFit="1" customWidth="1"/>
    <col min="12814" max="12814" width="13.42578125" style="13" customWidth="1"/>
    <col min="12815" max="12815" width="14.5703125" style="13" customWidth="1"/>
    <col min="12816" max="13060" width="9.140625" style="13"/>
    <col min="13061" max="13061" width="2.7109375" style="13" customWidth="1"/>
    <col min="13062" max="13066" width="15.7109375" style="13" customWidth="1"/>
    <col min="13067" max="13067" width="2.85546875" style="13" customWidth="1"/>
    <col min="13068" max="13068" width="5.85546875" style="13" customWidth="1"/>
    <col min="13069" max="13069" width="11.5703125" style="13" bestFit="1" customWidth="1"/>
    <col min="13070" max="13070" width="13.42578125" style="13" customWidth="1"/>
    <col min="13071" max="13071" width="14.5703125" style="13" customWidth="1"/>
    <col min="13072" max="13316" width="9.140625" style="13"/>
    <col min="13317" max="13317" width="2.7109375" style="13" customWidth="1"/>
    <col min="13318" max="13322" width="15.7109375" style="13" customWidth="1"/>
    <col min="13323" max="13323" width="2.85546875" style="13" customWidth="1"/>
    <col min="13324" max="13324" width="5.85546875" style="13" customWidth="1"/>
    <col min="13325" max="13325" width="11.5703125" style="13" bestFit="1" customWidth="1"/>
    <col min="13326" max="13326" width="13.42578125" style="13" customWidth="1"/>
    <col min="13327" max="13327" width="14.5703125" style="13" customWidth="1"/>
    <col min="13328" max="13572" width="9.140625" style="13"/>
    <col min="13573" max="13573" width="2.7109375" style="13" customWidth="1"/>
    <col min="13574" max="13578" width="15.7109375" style="13" customWidth="1"/>
    <col min="13579" max="13579" width="2.85546875" style="13" customWidth="1"/>
    <col min="13580" max="13580" width="5.85546875" style="13" customWidth="1"/>
    <col min="13581" max="13581" width="11.5703125" style="13" bestFit="1" customWidth="1"/>
    <col min="13582" max="13582" width="13.42578125" style="13" customWidth="1"/>
    <col min="13583" max="13583" width="14.5703125" style="13" customWidth="1"/>
    <col min="13584" max="13828" width="9.140625" style="13"/>
    <col min="13829" max="13829" width="2.7109375" style="13" customWidth="1"/>
    <col min="13830" max="13834" width="15.7109375" style="13" customWidth="1"/>
    <col min="13835" max="13835" width="2.85546875" style="13" customWidth="1"/>
    <col min="13836" max="13836" width="5.85546875" style="13" customWidth="1"/>
    <col min="13837" max="13837" width="11.5703125" style="13" bestFit="1" customWidth="1"/>
    <col min="13838" max="13838" width="13.42578125" style="13" customWidth="1"/>
    <col min="13839" max="13839" width="14.5703125" style="13" customWidth="1"/>
    <col min="13840" max="14084" width="9.140625" style="13"/>
    <col min="14085" max="14085" width="2.7109375" style="13" customWidth="1"/>
    <col min="14086" max="14090" width="15.7109375" style="13" customWidth="1"/>
    <col min="14091" max="14091" width="2.85546875" style="13" customWidth="1"/>
    <col min="14092" max="14092" width="5.85546875" style="13" customWidth="1"/>
    <col min="14093" max="14093" width="11.5703125" style="13" bestFit="1" customWidth="1"/>
    <col min="14094" max="14094" width="13.42578125" style="13" customWidth="1"/>
    <col min="14095" max="14095" width="14.5703125" style="13" customWidth="1"/>
    <col min="14096" max="14340" width="9.140625" style="13"/>
    <col min="14341" max="14341" width="2.7109375" style="13" customWidth="1"/>
    <col min="14342" max="14346" width="15.7109375" style="13" customWidth="1"/>
    <col min="14347" max="14347" width="2.85546875" style="13" customWidth="1"/>
    <col min="14348" max="14348" width="5.85546875" style="13" customWidth="1"/>
    <col min="14349" max="14349" width="11.5703125" style="13" bestFit="1" customWidth="1"/>
    <col min="14350" max="14350" width="13.42578125" style="13" customWidth="1"/>
    <col min="14351" max="14351" width="14.5703125" style="13" customWidth="1"/>
    <col min="14352" max="14596" width="9.140625" style="13"/>
    <col min="14597" max="14597" width="2.7109375" style="13" customWidth="1"/>
    <col min="14598" max="14602" width="15.7109375" style="13" customWidth="1"/>
    <col min="14603" max="14603" width="2.85546875" style="13" customWidth="1"/>
    <col min="14604" max="14604" width="5.85546875" style="13" customWidth="1"/>
    <col min="14605" max="14605" width="11.5703125" style="13" bestFit="1" customWidth="1"/>
    <col min="14606" max="14606" width="13.42578125" style="13" customWidth="1"/>
    <col min="14607" max="14607" width="14.5703125" style="13" customWidth="1"/>
    <col min="14608" max="14852" width="9.140625" style="13"/>
    <col min="14853" max="14853" width="2.7109375" style="13" customWidth="1"/>
    <col min="14854" max="14858" width="15.7109375" style="13" customWidth="1"/>
    <col min="14859" max="14859" width="2.85546875" style="13" customWidth="1"/>
    <col min="14860" max="14860" width="5.85546875" style="13" customWidth="1"/>
    <col min="14861" max="14861" width="11.5703125" style="13" bestFit="1" customWidth="1"/>
    <col min="14862" max="14862" width="13.42578125" style="13" customWidth="1"/>
    <col min="14863" max="14863" width="14.5703125" style="13" customWidth="1"/>
    <col min="14864" max="15108" width="9.140625" style="13"/>
    <col min="15109" max="15109" width="2.7109375" style="13" customWidth="1"/>
    <col min="15110" max="15114" width="15.7109375" style="13" customWidth="1"/>
    <col min="15115" max="15115" width="2.85546875" style="13" customWidth="1"/>
    <col min="15116" max="15116" width="5.85546875" style="13" customWidth="1"/>
    <col min="15117" max="15117" width="11.5703125" style="13" bestFit="1" customWidth="1"/>
    <col min="15118" max="15118" width="13.42578125" style="13" customWidth="1"/>
    <col min="15119" max="15119" width="14.5703125" style="13" customWidth="1"/>
    <col min="15120" max="15364" width="9.140625" style="13"/>
    <col min="15365" max="15365" width="2.7109375" style="13" customWidth="1"/>
    <col min="15366" max="15370" width="15.7109375" style="13" customWidth="1"/>
    <col min="15371" max="15371" width="2.85546875" style="13" customWidth="1"/>
    <col min="15372" max="15372" width="5.85546875" style="13" customWidth="1"/>
    <col min="15373" max="15373" width="11.5703125" style="13" bestFit="1" customWidth="1"/>
    <col min="15374" max="15374" width="13.42578125" style="13" customWidth="1"/>
    <col min="15375" max="15375" width="14.5703125" style="13" customWidth="1"/>
    <col min="15376" max="15620" width="9.140625" style="13"/>
    <col min="15621" max="15621" width="2.7109375" style="13" customWidth="1"/>
    <col min="15622" max="15626" width="15.7109375" style="13" customWidth="1"/>
    <col min="15627" max="15627" width="2.85546875" style="13" customWidth="1"/>
    <col min="15628" max="15628" width="5.85546875" style="13" customWidth="1"/>
    <col min="15629" max="15629" width="11.5703125" style="13" bestFit="1" customWidth="1"/>
    <col min="15630" max="15630" width="13.42578125" style="13" customWidth="1"/>
    <col min="15631" max="15631" width="14.5703125" style="13" customWidth="1"/>
    <col min="15632" max="15876" width="9.140625" style="13"/>
    <col min="15877" max="15877" width="2.7109375" style="13" customWidth="1"/>
    <col min="15878" max="15882" width="15.7109375" style="13" customWidth="1"/>
    <col min="15883" max="15883" width="2.85546875" style="13" customWidth="1"/>
    <col min="15884" max="15884" width="5.85546875" style="13" customWidth="1"/>
    <col min="15885" max="15885" width="11.5703125" style="13" bestFit="1" customWidth="1"/>
    <col min="15886" max="15886" width="13.42578125" style="13" customWidth="1"/>
    <col min="15887" max="15887" width="14.5703125" style="13" customWidth="1"/>
    <col min="15888" max="16132" width="9.140625" style="13"/>
    <col min="16133" max="16133" width="2.7109375" style="13" customWidth="1"/>
    <col min="16134" max="16138" width="15.7109375" style="13" customWidth="1"/>
    <col min="16139" max="16139" width="2.85546875" style="13" customWidth="1"/>
    <col min="16140" max="16140" width="5.85546875" style="13" customWidth="1"/>
    <col min="16141" max="16141" width="11.5703125" style="13" bestFit="1" customWidth="1"/>
    <col min="16142" max="16142" width="13.42578125" style="13" customWidth="1"/>
    <col min="16143" max="16143" width="14.5703125" style="13" customWidth="1"/>
    <col min="16144" max="16384" width="9.140625" style="13"/>
  </cols>
  <sheetData>
    <row r="1" spans="1:20" x14ac:dyDescent="0.2">
      <c r="I1" s="802"/>
      <c r="J1" s="802"/>
      <c r="K1" s="802"/>
      <c r="L1" s="695"/>
    </row>
    <row r="2" spans="1:20" ht="24.75" customHeight="1" x14ac:dyDescent="0.25">
      <c r="B2" s="696"/>
      <c r="C2" s="915" t="s">
        <v>295</v>
      </c>
      <c r="D2" s="915"/>
      <c r="E2" s="915"/>
      <c r="F2" s="915"/>
      <c r="G2" s="915"/>
      <c r="H2" s="915"/>
      <c r="I2" s="915"/>
      <c r="J2" s="696"/>
      <c r="K2" s="696"/>
    </row>
    <row r="3" spans="1:20" ht="24.95" customHeight="1" x14ac:dyDescent="0.2">
      <c r="A3" s="697"/>
      <c r="B3" s="698"/>
      <c r="C3" s="915"/>
      <c r="D3" s="915"/>
      <c r="E3" s="915"/>
      <c r="F3" s="915"/>
      <c r="G3" s="915"/>
      <c r="H3" s="915"/>
      <c r="I3" s="915"/>
      <c r="J3" s="699"/>
      <c r="K3" s="700"/>
    </row>
    <row r="4" spans="1:20" ht="24.95" customHeight="1" x14ac:dyDescent="0.2">
      <c r="A4" s="701"/>
      <c r="B4" s="698"/>
      <c r="C4" s="698"/>
      <c r="D4" s="916"/>
      <c r="E4" s="916"/>
      <c r="F4" s="916"/>
      <c r="G4" s="916"/>
      <c r="H4" s="702"/>
      <c r="I4" s="699"/>
      <c r="J4" s="699"/>
      <c r="K4" s="703"/>
    </row>
    <row r="5" spans="1:20" ht="24.95" customHeight="1" x14ac:dyDescent="0.2">
      <c r="A5" s="701"/>
      <c r="B5" s="917" t="s">
        <v>273</v>
      </c>
      <c r="C5" s="917"/>
      <c r="D5" s="704" t="s">
        <v>274</v>
      </c>
      <c r="E5" s="918" t="s">
        <v>275</v>
      </c>
      <c r="F5" s="919"/>
      <c r="G5" s="705"/>
      <c r="H5" s="706" t="s">
        <v>151</v>
      </c>
      <c r="I5" s="917" t="s">
        <v>276</v>
      </c>
      <c r="J5" s="917"/>
      <c r="K5" s="703"/>
      <c r="N5" s="707"/>
    </row>
    <row r="6" spans="1:20" ht="24.95" customHeight="1" x14ac:dyDescent="0.2">
      <c r="A6" s="701"/>
      <c r="B6" s="917"/>
      <c r="C6" s="917"/>
      <c r="D6" s="708"/>
      <c r="E6" s="709"/>
      <c r="F6" s="709"/>
      <c r="G6" s="701"/>
      <c r="H6" s="701"/>
      <c r="I6" s="917"/>
      <c r="J6" s="917"/>
      <c r="K6" s="703"/>
      <c r="M6" s="710"/>
      <c r="N6" s="707"/>
    </row>
    <row r="7" spans="1:20" ht="24.95" customHeight="1" x14ac:dyDescent="0.2">
      <c r="A7" s="701"/>
      <c r="B7" s="711"/>
      <c r="C7" s="711"/>
      <c r="D7" s="712"/>
      <c r="E7" s="712"/>
      <c r="F7" s="920"/>
      <c r="G7" s="920"/>
      <c r="H7" s="920"/>
      <c r="I7" s="920"/>
      <c r="J7" s="711"/>
      <c r="K7" s="703"/>
      <c r="M7" s="710"/>
      <c r="N7" s="707"/>
    </row>
    <row r="8" spans="1:20" ht="24.95" customHeight="1" x14ac:dyDescent="0.2">
      <c r="A8" s="701"/>
      <c r="B8" s="921"/>
      <c r="C8" s="921"/>
      <c r="D8" s="712"/>
      <c r="E8" s="712"/>
      <c r="F8" s="922"/>
      <c r="G8" s="923"/>
      <c r="H8" s="16"/>
      <c r="I8" s="910" t="s">
        <v>279</v>
      </c>
      <c r="J8" s="910"/>
      <c r="K8" s="703"/>
      <c r="M8" s="710"/>
      <c r="N8" s="707"/>
      <c r="O8" s="70"/>
    </row>
    <row r="9" spans="1:20" ht="24.95" customHeight="1" x14ac:dyDescent="0.2">
      <c r="A9" s="701"/>
      <c r="B9" s="917" t="s">
        <v>277</v>
      </c>
      <c r="C9" s="917"/>
      <c r="D9" s="713" t="s">
        <v>278</v>
      </c>
      <c r="F9" s="923"/>
      <c r="G9" s="923"/>
      <c r="H9" s="701"/>
      <c r="I9" s="910"/>
      <c r="J9" s="910"/>
      <c r="K9" s="703"/>
      <c r="N9" s="707"/>
      <c r="O9" s="70"/>
    </row>
    <row r="10" spans="1:20" ht="24.95" customHeight="1" x14ac:dyDescent="0.2">
      <c r="A10" s="701"/>
      <c r="B10" s="917"/>
      <c r="C10" s="917"/>
      <c r="D10" s="714"/>
      <c r="E10" s="715" t="s">
        <v>280</v>
      </c>
      <c r="F10" s="716"/>
      <c r="G10" s="701"/>
      <c r="H10" s="701"/>
      <c r="L10" s="16"/>
      <c r="M10" s="710"/>
      <c r="N10" s="707"/>
      <c r="O10" s="70"/>
      <c r="P10" s="707"/>
      <c r="R10" s="707"/>
      <c r="S10" s="707"/>
      <c r="T10" s="707"/>
    </row>
    <row r="11" spans="1:20" ht="24.95" customHeight="1" x14ac:dyDescent="0.2">
      <c r="A11" s="701"/>
      <c r="D11" s="714"/>
      <c r="E11" s="917" t="s">
        <v>281</v>
      </c>
      <c r="F11" s="917"/>
      <c r="G11" s="717"/>
      <c r="H11" s="717"/>
      <c r="I11" s="925" t="s">
        <v>85</v>
      </c>
      <c r="J11" s="925"/>
      <c r="K11" s="925"/>
      <c r="L11" s="16"/>
      <c r="N11" s="707"/>
      <c r="O11" s="70"/>
      <c r="P11" s="707"/>
      <c r="R11" s="707"/>
      <c r="S11" s="707"/>
      <c r="T11" s="707"/>
    </row>
    <row r="12" spans="1:20" ht="24.95" customHeight="1" x14ac:dyDescent="0.2">
      <c r="A12" s="701"/>
      <c r="B12" s="921"/>
      <c r="C12" s="921"/>
      <c r="D12" s="718"/>
      <c r="E12" s="917"/>
      <c r="F12" s="917"/>
      <c r="I12" s="925"/>
      <c r="J12" s="925"/>
      <c r="K12" s="925"/>
      <c r="L12" s="16"/>
      <c r="N12" s="707"/>
      <c r="O12" s="707"/>
      <c r="P12" s="707"/>
      <c r="Q12" s="70"/>
      <c r="R12" s="707"/>
      <c r="S12" s="707"/>
      <c r="T12" s="707"/>
    </row>
    <row r="13" spans="1:20" ht="24.95" customHeight="1" x14ac:dyDescent="0.2">
      <c r="A13" s="701"/>
      <c r="B13" s="917" t="s">
        <v>282</v>
      </c>
      <c r="C13" s="917"/>
      <c r="D13" s="718" t="s">
        <v>283</v>
      </c>
      <c r="K13" s="698"/>
      <c r="L13" s="16"/>
      <c r="N13" s="707"/>
      <c r="O13" s="707"/>
      <c r="P13" s="707"/>
      <c r="R13" s="707"/>
      <c r="S13" s="707"/>
      <c r="T13" s="707"/>
    </row>
    <row r="14" spans="1:20" ht="24.95" customHeight="1" x14ac:dyDescent="0.2">
      <c r="A14" s="701"/>
      <c r="B14" s="917"/>
      <c r="C14" s="917"/>
      <c r="I14" s="917" t="s">
        <v>314</v>
      </c>
      <c r="J14" s="917"/>
      <c r="K14" s="698"/>
      <c r="L14" s="16"/>
      <c r="N14" s="707"/>
      <c r="O14" s="707"/>
      <c r="P14" s="707"/>
      <c r="Q14" s="70"/>
      <c r="R14" s="707"/>
      <c r="S14" s="707"/>
      <c r="T14" s="707"/>
    </row>
    <row r="15" spans="1:20" ht="24.95" customHeight="1" x14ac:dyDescent="0.2">
      <c r="A15" s="701"/>
      <c r="E15" s="94"/>
      <c r="F15" s="719"/>
      <c r="G15" s="720"/>
      <c r="I15" s="917"/>
      <c r="J15" s="917"/>
      <c r="K15" s="703"/>
      <c r="L15" s="16"/>
      <c r="N15" s="707"/>
      <c r="O15" s="707"/>
      <c r="P15" s="707"/>
      <c r="R15" s="707"/>
      <c r="S15" s="707"/>
      <c r="T15" s="707"/>
    </row>
    <row r="16" spans="1:20" ht="24.95" customHeight="1" x14ac:dyDescent="0.2">
      <c r="A16" s="701"/>
      <c r="D16" s="701"/>
      <c r="H16" s="778"/>
      <c r="L16" s="16"/>
      <c r="N16" s="707"/>
      <c r="O16" s="707"/>
      <c r="P16" s="707"/>
      <c r="Q16" s="70"/>
      <c r="R16" s="707"/>
      <c r="S16" s="707"/>
      <c r="T16" s="707"/>
    </row>
    <row r="17" spans="1:20" ht="24.95" customHeight="1" x14ac:dyDescent="0.2">
      <c r="A17" s="701"/>
      <c r="B17" s="921"/>
      <c r="C17" s="921"/>
      <c r="D17" s="721"/>
      <c r="H17" s="778"/>
      <c r="I17" s="911" t="s">
        <v>284</v>
      </c>
      <c r="J17" s="911"/>
      <c r="K17" s="703"/>
      <c r="L17" s="722"/>
      <c r="M17" s="70"/>
      <c r="N17" s="70"/>
      <c r="O17" s="70"/>
      <c r="P17" s="707"/>
      <c r="R17" s="707"/>
      <c r="S17" s="707"/>
      <c r="T17" s="707"/>
    </row>
    <row r="18" spans="1:20" ht="24.95" customHeight="1" x14ac:dyDescent="0.2">
      <c r="A18" s="703"/>
      <c r="B18" s="924" t="s">
        <v>285</v>
      </c>
      <c r="C18" s="924"/>
      <c r="D18" s="723" t="s">
        <v>286</v>
      </c>
      <c r="E18" s="698"/>
      <c r="F18" s="698"/>
      <c r="I18" s="911"/>
      <c r="J18" s="911"/>
      <c r="K18" s="703"/>
      <c r="N18" s="707"/>
      <c r="O18" s="707"/>
      <c r="P18" s="707"/>
      <c r="R18" s="707"/>
      <c r="S18" s="707"/>
      <c r="T18" s="707"/>
    </row>
    <row r="19" spans="1:20" ht="24.95" customHeight="1" x14ac:dyDescent="0.2">
      <c r="A19" s="724"/>
      <c r="B19" s="924"/>
      <c r="C19" s="924"/>
      <c r="D19" s="725"/>
      <c r="E19" s="715" t="s">
        <v>287</v>
      </c>
      <c r="F19" s="726"/>
      <c r="G19" s="701"/>
      <c r="H19" s="701"/>
      <c r="I19" s="926"/>
      <c r="J19" s="926"/>
      <c r="K19" s="724"/>
      <c r="N19" s="707"/>
      <c r="O19" s="70"/>
      <c r="T19" s="707"/>
    </row>
    <row r="20" spans="1:20" ht="24.95" customHeight="1" x14ac:dyDescent="0.2">
      <c r="A20" s="724"/>
      <c r="B20" s="927"/>
      <c r="C20" s="927"/>
      <c r="D20" s="725"/>
      <c r="E20" s="924" t="s">
        <v>288</v>
      </c>
      <c r="F20" s="924"/>
      <c r="I20" s="924" t="s">
        <v>312</v>
      </c>
      <c r="J20" s="924"/>
      <c r="K20" s="724"/>
      <c r="M20" s="70"/>
      <c r="N20" s="707"/>
      <c r="P20" s="70"/>
      <c r="T20" s="707"/>
    </row>
    <row r="21" spans="1:20" ht="24.95" customHeight="1" x14ac:dyDescent="0.2">
      <c r="A21" s="724"/>
      <c r="B21" s="927"/>
      <c r="C21" s="927"/>
      <c r="D21" s="725"/>
      <c r="E21" s="924"/>
      <c r="F21" s="924"/>
      <c r="I21" s="924"/>
      <c r="J21" s="924"/>
      <c r="K21" s="724"/>
      <c r="M21" s="70"/>
      <c r="N21" s="707"/>
      <c r="O21" s="70"/>
    </row>
    <row r="22" spans="1:20" ht="24.95" customHeight="1" x14ac:dyDescent="0.2">
      <c r="B22" s="924" t="s">
        <v>289</v>
      </c>
      <c r="C22" s="924"/>
      <c r="D22" s="727" t="s">
        <v>290</v>
      </c>
      <c r="K22" s="728"/>
      <c r="N22" s="707"/>
    </row>
    <row r="23" spans="1:20" ht="24.95" customHeight="1" x14ac:dyDescent="0.2">
      <c r="B23" s="924"/>
      <c r="C23" s="924"/>
      <c r="D23" s="729"/>
      <c r="H23" s="778"/>
      <c r="I23" s="913" t="s">
        <v>311</v>
      </c>
      <c r="J23" s="914"/>
      <c r="K23" s="728"/>
      <c r="L23" s="710"/>
    </row>
    <row r="24" spans="1:20" ht="24.95" customHeight="1" x14ac:dyDescent="0.2">
      <c r="A24" s="730"/>
      <c r="B24" s="730"/>
      <c r="C24" s="730"/>
      <c r="D24" s="730"/>
      <c r="F24" s="911" t="s">
        <v>291</v>
      </c>
      <c r="G24" s="911"/>
      <c r="H24" s="778"/>
      <c r="I24" s="913"/>
      <c r="J24" s="914"/>
      <c r="K24" s="728"/>
      <c r="M24" s="70"/>
      <c r="O24" s="70"/>
    </row>
    <row r="25" spans="1:20" ht="24.95" customHeight="1" x14ac:dyDescent="0.2">
      <c r="A25" s="730"/>
      <c r="D25" s="730"/>
      <c r="E25" s="781"/>
      <c r="F25" s="911"/>
      <c r="G25" s="911"/>
      <c r="H25" s="698"/>
      <c r="K25" s="728"/>
    </row>
    <row r="26" spans="1:20" ht="24.95" customHeight="1" x14ac:dyDescent="0.2">
      <c r="A26" s="730"/>
      <c r="I26" s="913" t="s">
        <v>293</v>
      </c>
      <c r="J26" s="912"/>
      <c r="K26" s="728"/>
      <c r="M26" s="70"/>
      <c r="N26" s="70"/>
    </row>
    <row r="27" spans="1:20" ht="24.95" customHeight="1" x14ac:dyDescent="0.2">
      <c r="A27" s="730"/>
      <c r="B27" s="929"/>
      <c r="C27" s="929"/>
      <c r="D27" s="929"/>
      <c r="E27" s="780"/>
      <c r="F27" s="780"/>
      <c r="I27" s="913"/>
      <c r="J27" s="912"/>
      <c r="M27" s="70"/>
      <c r="N27" s="70"/>
    </row>
    <row r="28" spans="1:20" ht="24.95" customHeight="1" x14ac:dyDescent="0.2">
      <c r="E28" s="780"/>
      <c r="F28" s="780"/>
    </row>
    <row r="29" spans="1:20" ht="24.95" customHeight="1" x14ac:dyDescent="0.2">
      <c r="F29" s="930"/>
      <c r="G29" s="930"/>
      <c r="H29" s="779"/>
      <c r="I29" s="779"/>
    </row>
    <row r="30" spans="1:20" ht="10.5" customHeight="1" x14ac:dyDescent="0.2">
      <c r="G30" s="921"/>
      <c r="H30" s="921"/>
    </row>
    <row r="31" spans="1:20" ht="24.95" customHeight="1" x14ac:dyDescent="0.2">
      <c r="F31" s="912" t="s">
        <v>294</v>
      </c>
      <c r="G31" s="912"/>
      <c r="I31" s="780"/>
      <c r="J31" s="780"/>
    </row>
    <row r="32" spans="1:20" ht="24.95" customHeight="1" x14ac:dyDescent="0.2">
      <c r="B32" s="730"/>
      <c r="C32" s="730"/>
      <c r="D32" s="730"/>
      <c r="E32" s="730"/>
      <c r="F32" s="912"/>
      <c r="G32" s="912"/>
      <c r="I32" s="780"/>
      <c r="J32" s="780"/>
      <c r="K32" s="730"/>
    </row>
    <row r="33" spans="1:11" ht="12.95" customHeight="1" x14ac:dyDescent="0.2"/>
    <row r="34" spans="1:11" ht="12.95" customHeight="1" x14ac:dyDescent="0.2">
      <c r="A34" s="931"/>
      <c r="B34" s="931"/>
      <c r="C34" s="931"/>
      <c r="D34" s="931"/>
      <c r="E34" s="931"/>
      <c r="F34" s="931"/>
      <c r="G34" s="931"/>
      <c r="H34" s="931"/>
      <c r="I34" s="931"/>
      <c r="J34" s="931"/>
      <c r="K34" s="931"/>
    </row>
    <row r="35" spans="1:11" ht="20.100000000000001" customHeight="1" x14ac:dyDescent="0.2">
      <c r="A35" s="928"/>
      <c r="B35" s="928"/>
      <c r="C35" s="928"/>
      <c r="D35" s="928"/>
      <c r="E35" s="928"/>
      <c r="F35" s="928"/>
      <c r="G35" s="928"/>
      <c r="H35" s="928"/>
      <c r="I35" s="928"/>
      <c r="J35" s="928"/>
      <c r="K35" s="928"/>
    </row>
    <row r="36" spans="1:11" ht="20.100000000000001" customHeight="1" x14ac:dyDescent="0.2"/>
    <row r="37" spans="1:11" ht="20.100000000000001" customHeight="1" x14ac:dyDescent="0.2"/>
    <row r="38" spans="1:11" ht="15" customHeight="1" x14ac:dyDescent="0.2">
      <c r="A38" s="19"/>
      <c r="B38" s="19"/>
      <c r="C38" s="19"/>
      <c r="D38" s="16"/>
      <c r="E38" s="30"/>
      <c r="F38" s="30"/>
      <c r="G38" s="30"/>
      <c r="H38" s="30"/>
    </row>
    <row r="39" spans="1:11" ht="15" customHeight="1" x14ac:dyDescent="0.2">
      <c r="A39" s="19"/>
      <c r="B39" s="19"/>
      <c r="C39" s="19"/>
      <c r="D39" s="16"/>
      <c r="E39" s="30"/>
      <c r="F39" s="30"/>
      <c r="G39" s="30"/>
      <c r="H39" s="30"/>
    </row>
    <row r="40" spans="1:11" ht="15" customHeight="1" x14ac:dyDescent="0.2">
      <c r="A40" s="19"/>
      <c r="B40" s="19"/>
      <c r="C40" s="19"/>
      <c r="D40" s="16"/>
      <c r="E40" s="30"/>
      <c r="F40" s="30"/>
      <c r="G40" s="30"/>
      <c r="H40" s="30"/>
    </row>
    <row r="41" spans="1:11" ht="15" customHeight="1" x14ac:dyDescent="0.2">
      <c r="A41" s="19"/>
      <c r="B41" s="19"/>
      <c r="C41" s="19"/>
      <c r="D41" s="16"/>
      <c r="E41" s="30"/>
      <c r="F41" s="30"/>
      <c r="G41" s="30"/>
      <c r="H41" s="30"/>
    </row>
    <row r="42" spans="1:11" ht="15" customHeight="1" x14ac:dyDescent="0.2">
      <c r="A42" s="19"/>
      <c r="B42" s="19"/>
      <c r="C42" s="19"/>
      <c r="D42" s="16"/>
      <c r="E42" s="30"/>
      <c r="F42" s="30"/>
      <c r="G42" s="30"/>
      <c r="H42" s="30"/>
    </row>
    <row r="43" spans="1:11" ht="15" customHeight="1" x14ac:dyDescent="0.2">
      <c r="A43" s="19"/>
      <c r="B43" s="19"/>
      <c r="C43" s="19"/>
      <c r="D43" s="16"/>
      <c r="E43" s="30"/>
      <c r="F43" s="30"/>
      <c r="G43" s="30"/>
      <c r="H43" s="30"/>
    </row>
    <row r="44" spans="1:11" ht="15" customHeight="1" x14ac:dyDescent="0.2">
      <c r="A44" s="19"/>
      <c r="B44" s="19"/>
      <c r="C44" s="19"/>
      <c r="D44" s="16"/>
      <c r="E44" s="30"/>
      <c r="F44" s="30"/>
      <c r="G44" s="30"/>
      <c r="H44" s="30"/>
    </row>
    <row r="45" spans="1:11" ht="15" customHeight="1" x14ac:dyDescent="0.2">
      <c r="A45" s="19"/>
      <c r="B45" s="19"/>
      <c r="C45" s="19"/>
      <c r="D45" s="16"/>
      <c r="E45" s="30"/>
      <c r="F45" s="30"/>
      <c r="G45" s="30"/>
      <c r="H45" s="30"/>
    </row>
    <row r="46" spans="1:11" ht="15" customHeight="1" x14ac:dyDescent="0.2">
      <c r="A46" s="19"/>
      <c r="B46" s="19"/>
      <c r="C46" s="19"/>
      <c r="D46" s="16"/>
      <c r="E46" s="30"/>
      <c r="F46" s="30"/>
      <c r="G46" s="30"/>
      <c r="H46" s="30"/>
    </row>
    <row r="47" spans="1:11" ht="15" customHeight="1" x14ac:dyDescent="0.2">
      <c r="E47" s="683"/>
      <c r="F47" s="683"/>
      <c r="G47" s="683"/>
      <c r="H47" s="683"/>
    </row>
    <row r="48" spans="1:11" ht="15" customHeight="1" x14ac:dyDescent="0.2">
      <c r="E48" s="683"/>
      <c r="F48" s="683"/>
      <c r="G48" s="683"/>
      <c r="H48" s="683"/>
    </row>
    <row r="49" spans="4:20" ht="15" customHeight="1" x14ac:dyDescent="0.2">
      <c r="E49" s="683"/>
      <c r="F49" s="683"/>
      <c r="G49" s="683"/>
      <c r="H49" s="683"/>
    </row>
    <row r="50" spans="4:20" ht="15" customHeight="1" x14ac:dyDescent="0.2"/>
    <row r="51" spans="4:20" ht="15" customHeight="1" x14ac:dyDescent="0.2"/>
    <row r="52" spans="4:20" ht="15" customHeight="1" x14ac:dyDescent="0.2"/>
    <row r="53" spans="4:20" s="622" customFormat="1" ht="15" customHeight="1" x14ac:dyDescent="0.2"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spans="4:20" s="622" customFormat="1" ht="15" customHeight="1" x14ac:dyDescent="0.2"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</row>
    <row r="55" spans="4:20" s="622" customFormat="1" ht="15" customHeight="1" x14ac:dyDescent="0.2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spans="4:20" s="622" customFormat="1" ht="15" customHeight="1" x14ac:dyDescent="0.2"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4:20" s="622" customFormat="1" ht="15" customHeight="1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4:20" s="622" customFormat="1" ht="15" customHeight="1" x14ac:dyDescent="0.2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4:20" s="622" customFormat="1" ht="15" customHeight="1" x14ac:dyDescent="0.2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4:20" s="622" customFormat="1" ht="15" customHeight="1" x14ac:dyDescent="0.2"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4:20" s="622" customFormat="1" ht="15" customHeight="1" x14ac:dyDescent="0.2"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4:20" s="622" customFormat="1" ht="15" customHeight="1" x14ac:dyDescent="0.2"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4:20" s="622" customFormat="1" ht="15" customHeight="1" x14ac:dyDescent="0.2"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</sheetData>
  <mergeCells count="33">
    <mergeCell ref="A35:K35"/>
    <mergeCell ref="B27:D27"/>
    <mergeCell ref="F29:G29"/>
    <mergeCell ref="G30:H30"/>
    <mergeCell ref="A34:K34"/>
    <mergeCell ref="F7:I7"/>
    <mergeCell ref="B8:C8"/>
    <mergeCell ref="F8:G9"/>
    <mergeCell ref="B9:C10"/>
    <mergeCell ref="B22:C23"/>
    <mergeCell ref="E11:F12"/>
    <mergeCell ref="I11:K12"/>
    <mergeCell ref="B12:C12"/>
    <mergeCell ref="B13:C14"/>
    <mergeCell ref="B17:C17"/>
    <mergeCell ref="B18:C19"/>
    <mergeCell ref="I19:J19"/>
    <mergeCell ref="B20:C21"/>
    <mergeCell ref="E20:F21"/>
    <mergeCell ref="I20:J21"/>
    <mergeCell ref="I14:J15"/>
    <mergeCell ref="I1:K1"/>
    <mergeCell ref="C2:I3"/>
    <mergeCell ref="D4:G4"/>
    <mergeCell ref="B5:C6"/>
    <mergeCell ref="E5:F5"/>
    <mergeCell ref="I5:J6"/>
    <mergeCell ref="I8:J9"/>
    <mergeCell ref="F24:G25"/>
    <mergeCell ref="F31:G32"/>
    <mergeCell ref="I23:J24"/>
    <mergeCell ref="I26:J27"/>
    <mergeCell ref="I17:J18"/>
  </mergeCells>
  <pageMargins left="1.1811023622047245" right="0.43307086614173229" top="0.55118110236220474" bottom="0.39370078740157483" header="0.51181102362204722" footer="0.31496062992125984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N2"/>
  <sheetViews>
    <sheetView view="pageBreakPreview" zoomScaleNormal="100" zoomScaleSheetLayoutView="100" workbookViewId="0">
      <selection activeCell="C1" sqref="C1"/>
    </sheetView>
  </sheetViews>
  <sheetFormatPr defaultRowHeight="12.75" x14ac:dyDescent="0.2"/>
  <cols>
    <col min="1" max="16384" width="9.140625" style="42"/>
  </cols>
  <sheetData>
    <row r="1" spans="1:14" x14ac:dyDescent="0.2">
      <c r="A1" s="932"/>
      <c r="B1" s="932"/>
      <c r="C1" s="932"/>
      <c r="D1" s="932"/>
      <c r="E1" s="932"/>
      <c r="F1" s="932"/>
      <c r="G1" s="932"/>
      <c r="H1" s="932"/>
      <c r="I1" s="932"/>
      <c r="J1" s="932"/>
      <c r="K1" s="932"/>
      <c r="L1" s="932"/>
      <c r="M1" s="932"/>
      <c r="N1" s="932"/>
    </row>
    <row r="2" spans="1:14" ht="15.75" x14ac:dyDescent="0.25">
      <c r="A2" s="933" t="s">
        <v>292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</row>
  </sheetData>
  <mergeCells count="2">
    <mergeCell ref="A1:N1"/>
    <mergeCell ref="A2:N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32"/>
  <sheetViews>
    <sheetView view="pageBreakPreview" zoomScaleNormal="100" zoomScaleSheetLayoutView="100" workbookViewId="0">
      <selection activeCell="C1" sqref="C1:C4"/>
    </sheetView>
  </sheetViews>
  <sheetFormatPr defaultRowHeight="11.25" x14ac:dyDescent="0.2"/>
  <cols>
    <col min="1" max="1" width="82" style="5" customWidth="1"/>
    <col min="2" max="2" width="2.7109375" style="5" customWidth="1"/>
    <col min="3" max="3" width="9.140625" style="5"/>
    <col min="4" max="4" width="11.7109375" style="5" customWidth="1"/>
    <col min="5" max="6" width="9.140625" style="5"/>
    <col min="7" max="7" width="11.7109375" style="5" customWidth="1"/>
    <col min="8" max="16384" width="9.140625" style="5"/>
  </cols>
  <sheetData>
    <row r="1" spans="1:3" x14ac:dyDescent="0.2">
      <c r="B1" s="230"/>
      <c r="C1" s="791" t="s">
        <v>49</v>
      </c>
    </row>
    <row r="2" spans="1:3" x14ac:dyDescent="0.2">
      <c r="A2" s="201"/>
      <c r="B2" s="230"/>
      <c r="C2" s="792"/>
    </row>
    <row r="3" spans="1:3" x14ac:dyDescent="0.2">
      <c r="A3" s="201"/>
      <c r="B3" s="230"/>
      <c r="C3" s="792"/>
    </row>
    <row r="4" spans="1:3" x14ac:dyDescent="0.2">
      <c r="A4" s="181"/>
      <c r="B4" s="230"/>
      <c r="C4" s="792"/>
    </row>
    <row r="5" spans="1:3" ht="30" customHeight="1" x14ac:dyDescent="0.2">
      <c r="A5" s="631" t="s">
        <v>97</v>
      </c>
      <c r="B5" s="624" t="s">
        <v>50</v>
      </c>
      <c r="C5" s="632" t="s">
        <v>203</v>
      </c>
    </row>
    <row r="6" spans="1:3" ht="30" customHeight="1" x14ac:dyDescent="0.2">
      <c r="A6" s="635" t="s">
        <v>218</v>
      </c>
      <c r="B6" s="226" t="s">
        <v>50</v>
      </c>
      <c r="C6" s="636" t="s">
        <v>204</v>
      </c>
    </row>
    <row r="7" spans="1:3" ht="30" customHeight="1" x14ac:dyDescent="0.2">
      <c r="A7" s="635" t="s">
        <v>186</v>
      </c>
      <c r="B7" s="226" t="s">
        <v>50</v>
      </c>
      <c r="C7" s="636" t="s">
        <v>205</v>
      </c>
    </row>
    <row r="8" spans="1:3" ht="30" customHeight="1" x14ac:dyDescent="0.2">
      <c r="A8" s="635" t="s">
        <v>190</v>
      </c>
      <c r="B8" s="226" t="s">
        <v>50</v>
      </c>
      <c r="C8" s="636" t="s">
        <v>206</v>
      </c>
    </row>
    <row r="9" spans="1:3" ht="30" customHeight="1" x14ac:dyDescent="0.2">
      <c r="A9" s="635" t="s">
        <v>300</v>
      </c>
      <c r="B9" s="226" t="s">
        <v>50</v>
      </c>
      <c r="C9" s="636" t="s">
        <v>207</v>
      </c>
    </row>
    <row r="10" spans="1:3" ht="30" customHeight="1" x14ac:dyDescent="0.2">
      <c r="A10" s="635" t="s">
        <v>191</v>
      </c>
      <c r="B10" s="226" t="s">
        <v>50</v>
      </c>
      <c r="C10" s="636" t="s">
        <v>208</v>
      </c>
    </row>
    <row r="11" spans="1:3" ht="30" customHeight="1" x14ac:dyDescent="0.2">
      <c r="A11" s="635" t="s">
        <v>301</v>
      </c>
      <c r="B11" s="226" t="s">
        <v>50</v>
      </c>
      <c r="C11" s="636" t="s">
        <v>209</v>
      </c>
    </row>
    <row r="12" spans="1:3" ht="30" customHeight="1" x14ac:dyDescent="0.2">
      <c r="A12" s="635" t="s">
        <v>192</v>
      </c>
      <c r="B12" s="226" t="s">
        <v>50</v>
      </c>
      <c r="C12" s="636" t="s">
        <v>210</v>
      </c>
    </row>
    <row r="13" spans="1:3" ht="30" customHeight="1" x14ac:dyDescent="0.2">
      <c r="A13" s="635" t="s">
        <v>193</v>
      </c>
      <c r="B13" s="226" t="s">
        <v>50</v>
      </c>
      <c r="C13" s="636" t="s">
        <v>211</v>
      </c>
    </row>
    <row r="14" spans="1:3" ht="30" customHeight="1" x14ac:dyDescent="0.2">
      <c r="A14" s="635" t="s">
        <v>194</v>
      </c>
      <c r="B14" s="226" t="s">
        <v>50</v>
      </c>
      <c r="C14" s="636" t="s">
        <v>212</v>
      </c>
    </row>
    <row r="15" spans="1:3" ht="30" customHeight="1" x14ac:dyDescent="0.2">
      <c r="A15" s="635" t="s">
        <v>195</v>
      </c>
      <c r="B15" s="226" t="s">
        <v>50</v>
      </c>
      <c r="C15" s="636" t="s">
        <v>213</v>
      </c>
    </row>
    <row r="16" spans="1:3" ht="30" customHeight="1" x14ac:dyDescent="0.2">
      <c r="A16" s="635" t="s">
        <v>82</v>
      </c>
      <c r="B16" s="226" t="s">
        <v>50</v>
      </c>
      <c r="C16" s="636" t="s">
        <v>214</v>
      </c>
    </row>
    <row r="17" spans="1:3" ht="30" customHeight="1" x14ac:dyDescent="0.2">
      <c r="A17" s="635" t="s">
        <v>269</v>
      </c>
      <c r="B17" s="226" t="s">
        <v>50</v>
      </c>
      <c r="C17" s="636" t="s">
        <v>215</v>
      </c>
    </row>
    <row r="18" spans="1:3" ht="30" customHeight="1" x14ac:dyDescent="0.2">
      <c r="A18" s="635" t="s">
        <v>270</v>
      </c>
      <c r="B18" s="226" t="s">
        <v>50</v>
      </c>
      <c r="C18" s="636" t="s">
        <v>216</v>
      </c>
    </row>
    <row r="19" spans="1:3" ht="30" customHeight="1" x14ac:dyDescent="0.2">
      <c r="A19" s="635" t="s">
        <v>296</v>
      </c>
      <c r="B19" s="782" t="s">
        <v>50</v>
      </c>
      <c r="C19" s="636" t="s">
        <v>217</v>
      </c>
    </row>
    <row r="20" spans="1:3" ht="30" customHeight="1" x14ac:dyDescent="0.2">
      <c r="A20" s="633" t="s">
        <v>292</v>
      </c>
      <c r="B20" s="731" t="s">
        <v>50</v>
      </c>
      <c r="C20" s="634" t="s">
        <v>271</v>
      </c>
    </row>
    <row r="21" spans="1:3" ht="23.1" customHeight="1" x14ac:dyDescent="0.2">
      <c r="A21" s="87"/>
      <c r="B21" s="231"/>
      <c r="C21" s="233"/>
    </row>
    <row r="22" spans="1:3" ht="23.1" customHeight="1" x14ac:dyDescent="0.2">
      <c r="A22" s="87"/>
      <c r="B22" s="231"/>
      <c r="C22" s="233"/>
    </row>
    <row r="23" spans="1:3" ht="23.1" customHeight="1" x14ac:dyDescent="0.2">
      <c r="A23" s="199"/>
      <c r="B23" s="231"/>
      <c r="C23" s="233"/>
    </row>
    <row r="24" spans="1:3" ht="23.1" customHeight="1" x14ac:dyDescent="0.2">
      <c r="A24" s="85"/>
      <c r="B24" s="232"/>
      <c r="C24" s="233"/>
    </row>
    <row r="25" spans="1:3" ht="23.1" customHeight="1" x14ac:dyDescent="0.2">
      <c r="A25" s="87"/>
      <c r="B25" s="231"/>
      <c r="C25" s="233"/>
    </row>
    <row r="26" spans="1:3" ht="23.1" customHeight="1" x14ac:dyDescent="0.2">
      <c r="A26" s="87"/>
      <c r="B26" s="231"/>
      <c r="C26" s="233"/>
    </row>
    <row r="27" spans="1:3" ht="23.1" customHeight="1" x14ac:dyDescent="0.2">
      <c r="A27" s="87"/>
      <c r="B27" s="231"/>
      <c r="C27" s="233"/>
    </row>
    <row r="28" spans="1:3" ht="23.1" customHeight="1" x14ac:dyDescent="0.2">
      <c r="A28" s="794"/>
      <c r="B28" s="794"/>
      <c r="C28" s="233"/>
    </row>
    <row r="29" spans="1:3" ht="23.1" customHeight="1" x14ac:dyDescent="0.2">
      <c r="A29" s="794"/>
      <c r="B29" s="794"/>
      <c r="C29" s="233"/>
    </row>
    <row r="30" spans="1:3" ht="23.1" customHeight="1" x14ac:dyDescent="0.2">
      <c r="A30" s="794"/>
      <c r="B30" s="794"/>
      <c r="C30" s="233"/>
    </row>
    <row r="31" spans="1:3" ht="23.1" customHeight="1" x14ac:dyDescent="0.2">
      <c r="A31" s="794"/>
      <c r="B31" s="794"/>
      <c r="C31" s="233"/>
    </row>
    <row r="32" spans="1:3" ht="30" customHeight="1" x14ac:dyDescent="0.2">
      <c r="A32" s="793"/>
      <c r="B32" s="793"/>
      <c r="C32" s="233"/>
    </row>
  </sheetData>
  <mergeCells count="6">
    <mergeCell ref="C1:C4"/>
    <mergeCell ref="A32:B32"/>
    <mergeCell ref="A31:B31"/>
    <mergeCell ref="A30:B30"/>
    <mergeCell ref="A29:B29"/>
    <mergeCell ref="A28:B28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8"/>
  <sheetViews>
    <sheetView view="pageBreakPreview" topLeftCell="A7" zoomScaleNormal="100" zoomScaleSheetLayoutView="100" workbookViewId="0">
      <selection activeCell="C1" sqref="C1"/>
    </sheetView>
  </sheetViews>
  <sheetFormatPr defaultRowHeight="11.25" x14ac:dyDescent="0.2"/>
  <cols>
    <col min="1" max="1" width="10.28515625" style="5" customWidth="1"/>
    <col min="2" max="2" width="2.7109375" style="5" customWidth="1"/>
    <col min="3" max="3" width="65.5703125" style="5" customWidth="1"/>
    <col min="4" max="4" width="11.42578125" style="5" customWidth="1"/>
    <col min="5" max="5" width="9.140625" style="5"/>
    <col min="6" max="6" width="11.7109375" style="5" customWidth="1"/>
    <col min="7" max="8" width="9.140625" style="5"/>
    <col min="9" max="9" width="11.7109375" style="5" customWidth="1"/>
    <col min="10" max="16384" width="9.140625" style="5"/>
  </cols>
  <sheetData>
    <row r="1" spans="1:4" ht="12.75" customHeight="1" x14ac:dyDescent="0.2">
      <c r="A1" s="797" t="s">
        <v>99</v>
      </c>
      <c r="B1" s="224"/>
      <c r="C1" s="795"/>
      <c r="D1" s="795"/>
    </row>
    <row r="2" spans="1:4" x14ac:dyDescent="0.2">
      <c r="A2" s="797"/>
      <c r="B2" s="224"/>
    </row>
    <row r="3" spans="1:4" x14ac:dyDescent="0.2">
      <c r="A3" s="797"/>
      <c r="B3" s="225"/>
    </row>
    <row r="4" spans="1:4" x14ac:dyDescent="0.2">
      <c r="A4" s="798"/>
      <c r="B4" s="224"/>
      <c r="C4" s="229" t="s">
        <v>100</v>
      </c>
    </row>
    <row r="5" spans="1:4" ht="18" customHeight="1" x14ac:dyDescent="0.2">
      <c r="A5" s="623" t="s">
        <v>98</v>
      </c>
      <c r="B5" s="624" t="s">
        <v>50</v>
      </c>
      <c r="C5" s="625" t="s">
        <v>101</v>
      </c>
      <c r="D5" s="625"/>
    </row>
    <row r="6" spans="1:4" ht="18" customHeight="1" x14ac:dyDescent="0.2">
      <c r="A6" s="629" t="s">
        <v>102</v>
      </c>
      <c r="B6" s="226" t="s">
        <v>50</v>
      </c>
      <c r="C6" s="200" t="s">
        <v>4</v>
      </c>
      <c r="D6" s="200"/>
    </row>
    <row r="7" spans="1:4" ht="18" customHeight="1" x14ac:dyDescent="0.2">
      <c r="A7" s="629" t="s">
        <v>9</v>
      </c>
      <c r="B7" s="226" t="s">
        <v>50</v>
      </c>
      <c r="C7" s="200" t="s">
        <v>118</v>
      </c>
      <c r="D7" s="200"/>
    </row>
    <row r="8" spans="1:4" ht="18" customHeight="1" x14ac:dyDescent="0.2">
      <c r="A8" s="629" t="s">
        <v>122</v>
      </c>
      <c r="B8" s="226" t="s">
        <v>50</v>
      </c>
      <c r="C8" s="200" t="s">
        <v>126</v>
      </c>
      <c r="D8" s="200"/>
    </row>
    <row r="9" spans="1:4" ht="18" customHeight="1" x14ac:dyDescent="0.2">
      <c r="A9" s="629" t="s">
        <v>146</v>
      </c>
      <c r="B9" s="226" t="s">
        <v>50</v>
      </c>
      <c r="C9" s="200" t="s">
        <v>147</v>
      </c>
      <c r="D9" s="200"/>
    </row>
    <row r="10" spans="1:4" ht="18" customHeight="1" x14ac:dyDescent="0.2">
      <c r="A10" s="629" t="s">
        <v>129</v>
      </c>
      <c r="B10" s="226" t="s">
        <v>50</v>
      </c>
      <c r="C10" s="200" t="s">
        <v>130</v>
      </c>
      <c r="D10" s="200"/>
    </row>
    <row r="11" spans="1:4" ht="18" customHeight="1" x14ac:dyDescent="0.2">
      <c r="A11" s="629" t="s">
        <v>134</v>
      </c>
      <c r="B11" s="226" t="s">
        <v>50</v>
      </c>
      <c r="C11" s="200" t="s">
        <v>135</v>
      </c>
      <c r="D11" s="200"/>
    </row>
    <row r="12" spans="1:4" ht="18" customHeight="1" x14ac:dyDescent="0.2">
      <c r="A12" s="629" t="s">
        <v>111</v>
      </c>
      <c r="B12" s="226" t="s">
        <v>50</v>
      </c>
      <c r="C12" s="200" t="s">
        <v>112</v>
      </c>
      <c r="D12" s="95"/>
    </row>
    <row r="13" spans="1:4" ht="18" customHeight="1" x14ac:dyDescent="0.2">
      <c r="A13" s="629" t="s">
        <v>138</v>
      </c>
      <c r="B13" s="226" t="s">
        <v>50</v>
      </c>
      <c r="C13" s="95" t="s">
        <v>139</v>
      </c>
      <c r="D13" s="200"/>
    </row>
    <row r="14" spans="1:4" ht="18" customHeight="1" x14ac:dyDescent="0.2">
      <c r="A14" s="629" t="s">
        <v>148</v>
      </c>
      <c r="B14" s="226" t="s">
        <v>50</v>
      </c>
      <c r="C14" s="200" t="s">
        <v>149</v>
      </c>
      <c r="D14" s="200"/>
    </row>
    <row r="15" spans="1:4" ht="18" customHeight="1" x14ac:dyDescent="0.2">
      <c r="A15" s="629" t="s">
        <v>107</v>
      </c>
      <c r="B15" s="226" t="s">
        <v>50</v>
      </c>
      <c r="C15" s="200" t="s">
        <v>108</v>
      </c>
      <c r="D15" s="200"/>
    </row>
    <row r="16" spans="1:4" ht="18" customHeight="1" x14ac:dyDescent="0.2">
      <c r="A16" s="629" t="s">
        <v>8</v>
      </c>
      <c r="B16" s="226" t="s">
        <v>50</v>
      </c>
      <c r="C16" s="200" t="s">
        <v>115</v>
      </c>
      <c r="D16" s="200"/>
    </row>
    <row r="17" spans="1:4" ht="18" customHeight="1" x14ac:dyDescent="0.2">
      <c r="A17" s="629" t="s">
        <v>121</v>
      </c>
      <c r="B17" s="226" t="s">
        <v>50</v>
      </c>
      <c r="C17" s="200" t="s">
        <v>120</v>
      </c>
      <c r="D17" s="200"/>
    </row>
    <row r="18" spans="1:4" ht="18" customHeight="1" x14ac:dyDescent="0.2">
      <c r="A18" s="629" t="s">
        <v>140</v>
      </c>
      <c r="B18" s="226" t="s">
        <v>50</v>
      </c>
      <c r="C18" s="200" t="s">
        <v>141</v>
      </c>
      <c r="D18" s="200"/>
    </row>
    <row r="19" spans="1:4" ht="18" customHeight="1" x14ac:dyDescent="0.2">
      <c r="A19" s="629" t="s">
        <v>119</v>
      </c>
      <c r="B19" s="226" t="s">
        <v>50</v>
      </c>
      <c r="C19" s="200" t="s">
        <v>310</v>
      </c>
      <c r="D19" s="200"/>
    </row>
    <row r="20" spans="1:4" ht="18" customHeight="1" x14ac:dyDescent="0.2">
      <c r="A20" s="629" t="s">
        <v>136</v>
      </c>
      <c r="B20" s="226" t="s">
        <v>50</v>
      </c>
      <c r="C20" s="200" t="s">
        <v>137</v>
      </c>
      <c r="D20" s="95"/>
    </row>
    <row r="21" spans="1:4" ht="18" customHeight="1" x14ac:dyDescent="0.2">
      <c r="A21" s="629" t="s">
        <v>114</v>
      </c>
      <c r="B21" s="226" t="s">
        <v>50</v>
      </c>
      <c r="C21" s="200" t="s">
        <v>113</v>
      </c>
      <c r="D21" s="95"/>
    </row>
    <row r="22" spans="1:4" ht="18" customHeight="1" x14ac:dyDescent="0.2">
      <c r="A22" s="629" t="s">
        <v>104</v>
      </c>
      <c r="B22" s="226" t="s">
        <v>50</v>
      </c>
      <c r="C22" s="200" t="s">
        <v>103</v>
      </c>
      <c r="D22" s="95"/>
    </row>
    <row r="23" spans="1:4" ht="18" customHeight="1" x14ac:dyDescent="0.2">
      <c r="A23" s="630" t="s">
        <v>183</v>
      </c>
      <c r="B23" s="226" t="s">
        <v>50</v>
      </c>
      <c r="C23" s="200" t="s">
        <v>124</v>
      </c>
      <c r="D23" s="95"/>
    </row>
    <row r="24" spans="1:4" ht="18" customHeight="1" x14ac:dyDescent="0.2">
      <c r="A24" s="629" t="s">
        <v>106</v>
      </c>
      <c r="B24" s="226" t="s">
        <v>50</v>
      </c>
      <c r="C24" s="200" t="s">
        <v>105</v>
      </c>
      <c r="D24" s="95"/>
    </row>
    <row r="25" spans="1:4" ht="18" customHeight="1" x14ac:dyDescent="0.2">
      <c r="A25" s="630" t="s">
        <v>184</v>
      </c>
      <c r="B25" s="226" t="s">
        <v>50</v>
      </c>
      <c r="C25" s="796" t="s">
        <v>123</v>
      </c>
      <c r="D25" s="796"/>
    </row>
    <row r="26" spans="1:4" ht="18" customHeight="1" x14ac:dyDescent="0.2">
      <c r="A26" s="630" t="s">
        <v>185</v>
      </c>
      <c r="B26" s="226" t="s">
        <v>50</v>
      </c>
      <c r="C26" s="796" t="s">
        <v>125</v>
      </c>
      <c r="D26" s="796"/>
    </row>
    <row r="27" spans="1:4" ht="18" customHeight="1" x14ac:dyDescent="0.2">
      <c r="A27" s="629" t="s">
        <v>7</v>
      </c>
      <c r="B27" s="226" t="s">
        <v>50</v>
      </c>
      <c r="C27" s="200" t="s">
        <v>117</v>
      </c>
      <c r="D27" s="200"/>
    </row>
    <row r="28" spans="1:4" ht="18" customHeight="1" x14ac:dyDescent="0.2">
      <c r="A28" s="629" t="s">
        <v>131</v>
      </c>
      <c r="B28" s="226" t="s">
        <v>50</v>
      </c>
      <c r="C28" s="200" t="s">
        <v>309</v>
      </c>
      <c r="D28" s="200"/>
    </row>
    <row r="29" spans="1:4" ht="18" customHeight="1" x14ac:dyDescent="0.2">
      <c r="A29" s="629" t="s">
        <v>132</v>
      </c>
      <c r="B29" s="226" t="s">
        <v>50</v>
      </c>
      <c r="C29" s="200" t="s">
        <v>133</v>
      </c>
      <c r="D29" s="200"/>
    </row>
    <row r="30" spans="1:4" ht="18" customHeight="1" x14ac:dyDescent="0.2">
      <c r="A30" s="629" t="s">
        <v>6</v>
      </c>
      <c r="B30" s="226" t="s">
        <v>50</v>
      </c>
      <c r="C30" s="200" t="s">
        <v>116</v>
      </c>
      <c r="D30" s="200"/>
    </row>
    <row r="31" spans="1:4" ht="18" customHeight="1" x14ac:dyDescent="0.2">
      <c r="A31" s="629" t="s">
        <v>144</v>
      </c>
      <c r="B31" s="226" t="s">
        <v>50</v>
      </c>
      <c r="C31" s="200" t="s">
        <v>145</v>
      </c>
      <c r="D31" s="200"/>
    </row>
    <row r="32" spans="1:4" ht="18" customHeight="1" x14ac:dyDescent="0.2">
      <c r="A32" s="629" t="s">
        <v>179</v>
      </c>
      <c r="B32" s="226" t="s">
        <v>50</v>
      </c>
      <c r="C32" s="200" t="s">
        <v>177</v>
      </c>
      <c r="D32" s="200"/>
    </row>
    <row r="33" spans="1:4" ht="18" customHeight="1" x14ac:dyDescent="0.2">
      <c r="A33" s="629" t="s">
        <v>220</v>
      </c>
      <c r="B33" s="226" t="s">
        <v>50</v>
      </c>
      <c r="C33" s="796" t="s">
        <v>221</v>
      </c>
      <c r="D33" s="796"/>
    </row>
    <row r="34" spans="1:4" ht="18" customHeight="1" x14ac:dyDescent="0.2">
      <c r="A34" s="626" t="s">
        <v>110</v>
      </c>
      <c r="B34" s="627" t="s">
        <v>50</v>
      </c>
      <c r="C34" s="628" t="s">
        <v>109</v>
      </c>
      <c r="D34" s="628"/>
    </row>
    <row r="35" spans="1:4" ht="18" customHeight="1" x14ac:dyDescent="0.2">
      <c r="A35" s="236"/>
      <c r="B35" s="226"/>
      <c r="C35" s="156"/>
      <c r="D35" s="156"/>
    </row>
    <row r="36" spans="1:4" ht="23.1" customHeight="1" x14ac:dyDescent="0.2">
      <c r="A36" s="234"/>
      <c r="B36" s="227"/>
      <c r="C36" s="87"/>
      <c r="D36" s="87"/>
    </row>
    <row r="37" spans="1:4" ht="23.1" customHeight="1" x14ac:dyDescent="0.2">
      <c r="A37" s="234"/>
      <c r="B37" s="227"/>
      <c r="C37" s="87"/>
      <c r="D37" s="87"/>
    </row>
    <row r="38" spans="1:4" ht="23.1" customHeight="1" x14ac:dyDescent="0.2">
      <c r="A38" s="234"/>
      <c r="B38" s="227"/>
      <c r="C38" s="199"/>
      <c r="D38" s="199"/>
    </row>
    <row r="39" spans="1:4" ht="23.1" customHeight="1" x14ac:dyDescent="0.2">
      <c r="A39" s="235"/>
      <c r="B39" s="228"/>
      <c r="C39" s="85"/>
      <c r="D39" s="85"/>
    </row>
    <row r="40" spans="1:4" ht="23.1" customHeight="1" x14ac:dyDescent="0.2">
      <c r="A40" s="234"/>
      <c r="B40" s="227"/>
      <c r="C40" s="87"/>
      <c r="D40" s="87"/>
    </row>
    <row r="41" spans="1:4" ht="23.1" customHeight="1" x14ac:dyDescent="0.2">
      <c r="A41" s="234"/>
      <c r="B41" s="227"/>
      <c r="C41" s="87"/>
      <c r="D41" s="87"/>
    </row>
    <row r="42" spans="1:4" ht="23.1" customHeight="1" x14ac:dyDescent="0.2">
      <c r="A42" s="234"/>
      <c r="B42" s="227"/>
      <c r="C42" s="87"/>
      <c r="D42" s="87"/>
    </row>
    <row r="43" spans="1:4" ht="23.1" customHeight="1" x14ac:dyDescent="0.2">
      <c r="A43" s="234"/>
      <c r="B43" s="227"/>
      <c r="C43" s="794"/>
      <c r="D43" s="794"/>
    </row>
    <row r="44" spans="1:4" ht="21.75" customHeight="1" x14ac:dyDescent="0.2">
      <c r="A44" s="234"/>
      <c r="B44" s="227"/>
      <c r="C44" s="794"/>
      <c r="D44" s="794"/>
    </row>
    <row r="45" spans="1:4" ht="23.1" customHeight="1" x14ac:dyDescent="0.2">
      <c r="A45" s="86"/>
      <c r="B45" s="88"/>
      <c r="C45" s="794"/>
      <c r="D45" s="794"/>
    </row>
    <row r="46" spans="1:4" ht="23.1" customHeight="1" x14ac:dyDescent="0.2">
      <c r="A46" s="86"/>
      <c r="B46" s="88"/>
      <c r="C46" s="794"/>
      <c r="D46" s="794"/>
    </row>
    <row r="47" spans="1:4" ht="23.1" customHeight="1" x14ac:dyDescent="0.2">
      <c r="A47" s="86"/>
      <c r="B47" s="88"/>
      <c r="C47" s="794"/>
      <c r="D47" s="794"/>
    </row>
    <row r="48" spans="1:4" ht="30" customHeight="1" x14ac:dyDescent="0.2">
      <c r="A48" s="793"/>
      <c r="B48" s="793"/>
      <c r="C48" s="793"/>
      <c r="D48" s="793"/>
    </row>
  </sheetData>
  <sortState ref="A5:C35">
    <sortCondition ref="A5"/>
  </sortState>
  <mergeCells count="11">
    <mergeCell ref="C45:D45"/>
    <mergeCell ref="C46:D46"/>
    <mergeCell ref="C47:D47"/>
    <mergeCell ref="A48:D48"/>
    <mergeCell ref="C1:D1"/>
    <mergeCell ref="C43:D43"/>
    <mergeCell ref="C44:D44"/>
    <mergeCell ref="C25:D25"/>
    <mergeCell ref="C26:D26"/>
    <mergeCell ref="A1:A4"/>
    <mergeCell ref="C33:D3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6"/>
  <sheetViews>
    <sheetView view="pageBreakPreview" zoomScaleNormal="100" zoomScaleSheetLayoutView="100" workbookViewId="0">
      <selection activeCell="C1" sqref="C1"/>
    </sheetView>
  </sheetViews>
  <sheetFormatPr defaultRowHeight="11.25" x14ac:dyDescent="0.2"/>
  <cols>
    <col min="1" max="1" width="10.5703125" style="2" customWidth="1"/>
    <col min="2" max="2" width="2.7109375" style="21" customWidth="1"/>
    <col min="3" max="3" width="65.5703125" style="2" customWidth="1"/>
    <col min="4" max="4" width="11.7109375" style="2" customWidth="1"/>
    <col min="5" max="5" width="9.140625" style="2"/>
    <col min="6" max="6" width="11.7109375" style="2" customWidth="1"/>
    <col min="7" max="8" width="9.140625" style="2"/>
    <col min="9" max="9" width="11.7109375" style="2" customWidth="1"/>
    <col min="10" max="16384" width="9.140625" style="2"/>
  </cols>
  <sheetData>
    <row r="1" spans="1:4" x14ac:dyDescent="0.2">
      <c r="D1" s="158"/>
    </row>
    <row r="5" spans="1:4" ht="30" customHeight="1" x14ac:dyDescent="0.2">
      <c r="A5" s="23"/>
      <c r="B5" s="20"/>
      <c r="C5" s="799"/>
      <c r="D5" s="800"/>
    </row>
    <row r="6" spans="1:4" ht="30" customHeight="1" x14ac:dyDescent="0.2">
      <c r="A6" s="23"/>
      <c r="B6" s="20"/>
      <c r="C6" s="799"/>
      <c r="D6" s="800"/>
    </row>
    <row r="7" spans="1:4" ht="30" customHeight="1" x14ac:dyDescent="0.2">
      <c r="A7" s="23"/>
      <c r="B7" s="20"/>
      <c r="C7" s="799"/>
      <c r="D7" s="800"/>
    </row>
    <row r="8" spans="1:4" ht="30" customHeight="1" x14ac:dyDescent="0.2">
      <c r="A8" s="23"/>
      <c r="B8" s="20"/>
      <c r="C8" s="799"/>
      <c r="D8" s="800"/>
    </row>
    <row r="9" spans="1:4" ht="30" customHeight="1" x14ac:dyDescent="0.2">
      <c r="A9" s="23"/>
      <c r="B9" s="20"/>
      <c r="C9" s="799"/>
      <c r="D9" s="800"/>
    </row>
    <row r="10" spans="1:4" ht="30" customHeight="1" x14ac:dyDescent="0.2">
      <c r="A10" s="23"/>
      <c r="B10" s="20"/>
      <c r="C10" s="799"/>
      <c r="D10" s="800"/>
    </row>
    <row r="11" spans="1:4" ht="30" customHeight="1" x14ac:dyDescent="0.2">
      <c r="A11" s="23"/>
      <c r="B11" s="20"/>
      <c r="C11" s="799"/>
      <c r="D11" s="800"/>
    </row>
    <row r="12" spans="1:4" ht="30" customHeight="1" x14ac:dyDescent="0.2">
      <c r="A12" s="23"/>
      <c r="B12" s="20"/>
      <c r="C12" s="799"/>
      <c r="D12" s="800"/>
    </row>
    <row r="13" spans="1:4" ht="30" customHeight="1" x14ac:dyDescent="0.2">
      <c r="A13" s="23"/>
      <c r="B13" s="20"/>
      <c r="C13" s="26"/>
      <c r="D13" s="25"/>
    </row>
    <row r="14" spans="1:4" ht="30" customHeight="1" x14ac:dyDescent="0.2">
      <c r="A14" s="23"/>
      <c r="B14" s="20"/>
      <c r="C14" s="26"/>
      <c r="D14" s="25"/>
    </row>
    <row r="15" spans="1:4" ht="30" customHeight="1" x14ac:dyDescent="0.2">
      <c r="A15" s="23"/>
      <c r="B15" s="20"/>
      <c r="C15" s="26"/>
      <c r="D15" s="25"/>
    </row>
    <row r="16" spans="1:4" ht="30" customHeight="1" x14ac:dyDescent="0.2">
      <c r="A16" s="23"/>
      <c r="B16" s="20"/>
      <c r="C16" s="26"/>
      <c r="D16" s="25"/>
    </row>
    <row r="17" spans="1:4" ht="30" customHeight="1" x14ac:dyDescent="0.2">
      <c r="A17" s="23"/>
      <c r="B17" s="20"/>
      <c r="C17" s="26"/>
      <c r="D17" s="25"/>
    </row>
    <row r="18" spans="1:4" ht="23.1" customHeight="1" x14ac:dyDescent="0.2">
      <c r="A18" s="6"/>
      <c r="B18" s="22"/>
      <c r="C18" s="25"/>
      <c r="D18" s="25"/>
    </row>
    <row r="19" spans="1:4" ht="23.1" customHeight="1" x14ac:dyDescent="0.2">
      <c r="A19" s="6"/>
      <c r="B19" s="22"/>
      <c r="C19" s="25"/>
      <c r="D19" s="25"/>
    </row>
    <row r="20" spans="1:4" ht="23.1" customHeight="1" x14ac:dyDescent="0.2">
      <c r="A20" s="6"/>
      <c r="B20" s="22"/>
      <c r="C20" s="25"/>
      <c r="D20" s="25"/>
    </row>
    <row r="21" spans="1:4" ht="23.1" customHeight="1" x14ac:dyDescent="0.2">
      <c r="A21" s="6"/>
      <c r="B21" s="22"/>
      <c r="C21" s="25"/>
      <c r="D21" s="25"/>
    </row>
    <row r="22" spans="1:4" ht="23.1" customHeight="1" x14ac:dyDescent="0.2">
      <c r="A22" s="6"/>
      <c r="B22" s="56"/>
      <c r="C22" s="55"/>
      <c r="D22" s="55"/>
    </row>
    <row r="23" spans="1:4" ht="23.1" customHeight="1" x14ac:dyDescent="0.2">
      <c r="A23" s="6"/>
      <c r="B23" s="56"/>
      <c r="C23" s="55"/>
      <c r="D23" s="55"/>
    </row>
    <row r="24" spans="1:4" ht="23.1" customHeight="1" x14ac:dyDescent="0.2">
      <c r="A24" s="6"/>
      <c r="B24" s="56"/>
      <c r="C24" s="55"/>
      <c r="D24" s="55"/>
    </row>
    <row r="25" spans="1:4" ht="23.1" customHeight="1" x14ac:dyDescent="0.2">
      <c r="A25" s="6"/>
      <c r="B25" s="56"/>
      <c r="C25" s="57"/>
      <c r="D25" s="57"/>
    </row>
    <row r="26" spans="1:4" ht="23.1" customHeight="1" x14ac:dyDescent="0.2">
      <c r="A26" s="6"/>
      <c r="B26" s="56"/>
      <c r="C26" s="57"/>
      <c r="D26" s="57"/>
    </row>
    <row r="27" spans="1:4" ht="23.1" customHeight="1" x14ac:dyDescent="0.2">
      <c r="A27" s="6"/>
      <c r="B27" s="56"/>
      <c r="C27" s="55"/>
      <c r="D27" s="55"/>
    </row>
    <row r="28" spans="1:4" ht="23.1" customHeight="1" x14ac:dyDescent="0.2">
      <c r="A28" s="38"/>
    </row>
    <row r="29" spans="1:4" ht="23.1" customHeight="1" x14ac:dyDescent="0.2">
      <c r="A29" s="6"/>
    </row>
    <row r="30" spans="1:4" ht="23.1" customHeight="1" x14ac:dyDescent="0.2">
      <c r="A30" s="127"/>
      <c r="B30" s="128"/>
      <c r="C30" s="129"/>
      <c r="D30" s="129"/>
    </row>
    <row r="31" spans="1:4" ht="23.1" customHeight="1" x14ac:dyDescent="0.2">
      <c r="A31" s="127"/>
      <c r="B31" s="130"/>
      <c r="C31" s="85"/>
      <c r="D31" s="85"/>
    </row>
    <row r="32" spans="1:4" ht="23.1" customHeight="1" x14ac:dyDescent="0.2">
      <c r="A32" s="127"/>
      <c r="B32" s="56"/>
      <c r="C32" s="57"/>
      <c r="D32" s="57"/>
    </row>
    <row r="33" spans="1:4" ht="23.1" customHeight="1" x14ac:dyDescent="0.2">
      <c r="A33" s="6"/>
      <c r="B33" s="22"/>
      <c r="C33" s="800"/>
      <c r="D33" s="800"/>
    </row>
    <row r="34" spans="1:4" ht="23.1" customHeight="1" x14ac:dyDescent="0.2">
      <c r="A34" s="6"/>
      <c r="B34" s="22"/>
      <c r="C34" s="800"/>
      <c r="D34" s="800"/>
    </row>
    <row r="35" spans="1:4" ht="23.1" customHeight="1" x14ac:dyDescent="0.2">
      <c r="A35" s="6"/>
      <c r="B35" s="22"/>
      <c r="C35" s="800"/>
      <c r="D35" s="800"/>
    </row>
    <row r="36" spans="1:4" ht="30" customHeight="1" x14ac:dyDescent="0.2">
      <c r="A36" s="793"/>
      <c r="B36" s="793"/>
      <c r="C36" s="793"/>
      <c r="D36" s="793"/>
    </row>
  </sheetData>
  <mergeCells count="12">
    <mergeCell ref="C10:D10"/>
    <mergeCell ref="C11:D11"/>
    <mergeCell ref="C12:D12"/>
    <mergeCell ref="C35:D35"/>
    <mergeCell ref="A36:D36"/>
    <mergeCell ref="C33:D33"/>
    <mergeCell ref="C34:D34"/>
    <mergeCell ref="C5:D5"/>
    <mergeCell ref="C6:D6"/>
    <mergeCell ref="C7:D7"/>
    <mergeCell ref="C8:D8"/>
    <mergeCell ref="C9:D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R60"/>
  <sheetViews>
    <sheetView view="pageBreakPreview" zoomScaleNormal="100" zoomScaleSheetLayoutView="100" workbookViewId="0">
      <selection activeCell="C1" sqref="C1"/>
    </sheetView>
  </sheetViews>
  <sheetFormatPr defaultRowHeight="12.75" x14ac:dyDescent="0.2"/>
  <cols>
    <col min="1" max="2" width="8.7109375" style="28" customWidth="1"/>
    <col min="3" max="3" width="31.5703125" style="9" customWidth="1"/>
    <col min="4" max="9" width="13.7109375" style="9" customWidth="1"/>
    <col min="10" max="10" width="11.5703125" style="9" bestFit="1" customWidth="1"/>
    <col min="11" max="11" width="13.42578125" style="9" customWidth="1"/>
    <col min="12" max="12" width="14.5703125" style="9" customWidth="1"/>
    <col min="13" max="13" width="13.5703125" style="9" customWidth="1"/>
    <col min="14" max="14" width="13.28515625" style="9" customWidth="1"/>
    <col min="15" max="16" width="11.42578125" style="9" bestFit="1" customWidth="1"/>
    <col min="17" max="16384" width="9.140625" style="9"/>
  </cols>
  <sheetData>
    <row r="1" spans="1:18" x14ac:dyDescent="0.2">
      <c r="H1" s="802" t="s">
        <v>51</v>
      </c>
      <c r="I1" s="802"/>
    </row>
    <row r="2" spans="1:18" ht="15.75" customHeight="1" x14ac:dyDescent="0.25">
      <c r="A2" s="803" t="s">
        <v>219</v>
      </c>
      <c r="B2" s="803"/>
      <c r="C2" s="803"/>
      <c r="D2" s="803"/>
      <c r="E2" s="803"/>
      <c r="F2" s="803"/>
      <c r="G2" s="803"/>
      <c r="H2" s="803"/>
      <c r="I2" s="803"/>
    </row>
    <row r="3" spans="1:18" ht="19.5" customHeight="1" x14ac:dyDescent="0.2">
      <c r="A3" s="139"/>
      <c r="B3" s="480"/>
      <c r="D3" s="222" t="str">
        <f>T!G19</f>
        <v>Duben</v>
      </c>
      <c r="E3" s="221">
        <f>T!I21</f>
        <v>2015</v>
      </c>
      <c r="F3" s="139"/>
      <c r="G3" s="139"/>
      <c r="H3" s="139"/>
    </row>
    <row r="4" spans="1:18" ht="3.75" customHeight="1" x14ac:dyDescent="0.25">
      <c r="A4" s="41"/>
      <c r="B4" s="481"/>
      <c r="C4" s="40"/>
      <c r="D4" s="29"/>
      <c r="E4" s="29"/>
      <c r="F4" s="29"/>
    </row>
    <row r="5" spans="1:18" ht="15" customHeight="1" x14ac:dyDescent="0.2">
      <c r="A5" s="804"/>
      <c r="B5" s="804"/>
      <c r="C5" s="140"/>
      <c r="D5" s="805" t="s">
        <v>15</v>
      </c>
      <c r="E5" s="806"/>
      <c r="F5" s="807"/>
      <c r="G5" s="805" t="s">
        <v>1</v>
      </c>
      <c r="H5" s="806"/>
      <c r="I5" s="806"/>
    </row>
    <row r="6" spans="1:18" ht="15" customHeight="1" x14ac:dyDescent="0.2">
      <c r="A6" s="808" t="s">
        <v>150</v>
      </c>
      <c r="B6" s="809"/>
      <c r="C6" s="465"/>
      <c r="D6" s="141" t="s">
        <v>151</v>
      </c>
      <c r="E6" s="450" t="s">
        <v>152</v>
      </c>
      <c r="F6" s="446" t="s">
        <v>153</v>
      </c>
      <c r="G6" s="141" t="s">
        <v>151</v>
      </c>
      <c r="H6" s="450" t="s">
        <v>152</v>
      </c>
      <c r="I6" s="456" t="s">
        <v>153</v>
      </c>
    </row>
    <row r="7" spans="1:18" ht="15" customHeight="1" x14ac:dyDescent="0.2">
      <c r="A7" s="810"/>
      <c r="B7" s="811"/>
      <c r="C7" s="31" t="s">
        <v>154</v>
      </c>
      <c r="D7" s="63">
        <f>INDEX('[1]Přepravní soustava'!$C$13:$AL$13,1,3*T!$A$4-2)</f>
        <v>3359554.1312374724</v>
      </c>
      <c r="E7" s="451">
        <f>-INDEX('[1]Přepravní soustava'!$C$22:$AL$22,1,3*T!$A$4-2)</f>
        <v>-2717204.5553303575</v>
      </c>
      <c r="F7" s="447">
        <f>D7+E7</f>
        <v>642349.57590711489</v>
      </c>
      <c r="G7" s="63">
        <f>INDEX('[1]Přepravní soustava'!$C$13:$AL$13,1,3*T!$A$4-1)</f>
        <v>35761425.901000001</v>
      </c>
      <c r="H7" s="451">
        <f>-INDEX('[1]Přepravní soustava'!$C$22:$AL$22,1,3*T!$A$4-1)</f>
        <v>-28932320.229000002</v>
      </c>
      <c r="I7" s="84">
        <f>G7+H7</f>
        <v>6829105.6719999984</v>
      </c>
      <c r="J7" s="27"/>
      <c r="K7" s="37"/>
      <c r="L7" s="37"/>
      <c r="M7" s="37"/>
      <c r="N7" s="177"/>
      <c r="O7" s="177"/>
      <c r="P7" s="177"/>
    </row>
    <row r="8" spans="1:18" ht="15" customHeight="1" x14ac:dyDescent="0.2">
      <c r="A8" s="810"/>
      <c r="B8" s="811"/>
      <c r="C8" s="98" t="s">
        <v>155</v>
      </c>
      <c r="D8" s="63">
        <f>INDEX('[2]Z ZDS'!$C$31:$AX$31,1,4*T!$A$4-3)</f>
        <v>145.13564191763442</v>
      </c>
      <c r="E8" s="451">
        <f>-INDEX('[2]Do ZDS'!$C$32:$AL$32,1,3*T!$A$4-2)</f>
        <v>-22.606785517017283</v>
      </c>
      <c r="F8" s="447">
        <f>D8+E8</f>
        <v>122.52885640061713</v>
      </c>
      <c r="G8" s="63">
        <f>INDEX('[2]Z ZDS'!$C$31:$AX$31,1,4*T!$A$4-2)</f>
        <v>1523.5945649999996</v>
      </c>
      <c r="H8" s="451">
        <f>-INDEX('[2]Do ZDS'!$C$32:$AL$32,1,3*T!$A$4-1)</f>
        <v>-240.55074999999999</v>
      </c>
      <c r="I8" s="84">
        <f>G8+H8</f>
        <v>1283.0438149999995</v>
      </c>
      <c r="J8" s="27"/>
      <c r="K8" s="37"/>
      <c r="L8" s="37"/>
      <c r="M8" s="37"/>
      <c r="N8" s="177"/>
      <c r="O8" s="177"/>
      <c r="P8" s="177"/>
    </row>
    <row r="9" spans="1:18" ht="15" customHeight="1" x14ac:dyDescent="0.2">
      <c r="A9" s="806"/>
      <c r="B9" s="807"/>
      <c r="C9" s="459" t="s">
        <v>156</v>
      </c>
      <c r="D9" s="461">
        <f>SUM(D7:D8)</f>
        <v>3359699.26687939</v>
      </c>
      <c r="E9" s="462">
        <f>SUM(E7:E8)</f>
        <v>-2717227.1621158747</v>
      </c>
      <c r="F9" s="463">
        <f>SUM(F7:F8)</f>
        <v>642472.10476351553</v>
      </c>
      <c r="G9" s="461">
        <f t="shared" ref="G9:I9" si="0">SUM(G7:G8)</f>
        <v>35762949.495564997</v>
      </c>
      <c r="H9" s="462">
        <f t="shared" si="0"/>
        <v>-28932560.779750001</v>
      </c>
      <c r="I9" s="464">
        <f t="shared" si="0"/>
        <v>6830388.7158149984</v>
      </c>
      <c r="J9" s="27"/>
      <c r="K9" s="37"/>
      <c r="L9" s="37"/>
      <c r="M9" s="37"/>
      <c r="N9" s="37"/>
      <c r="O9" s="37"/>
      <c r="P9" s="37"/>
      <c r="Q9" s="37"/>
      <c r="R9" s="177"/>
    </row>
    <row r="10" spans="1:18" ht="15" customHeight="1" x14ac:dyDescent="0.2">
      <c r="A10" s="808" t="s">
        <v>157</v>
      </c>
      <c r="B10" s="809"/>
      <c r="C10" s="142"/>
      <c r="D10" s="645" t="s">
        <v>158</v>
      </c>
      <c r="E10" s="452" t="s">
        <v>159</v>
      </c>
      <c r="F10" s="448" t="s">
        <v>160</v>
      </c>
      <c r="G10" s="645" t="s">
        <v>158</v>
      </c>
      <c r="H10" s="452" t="s">
        <v>159</v>
      </c>
      <c r="I10" s="646" t="s">
        <v>160</v>
      </c>
      <c r="J10" s="27"/>
      <c r="K10" s="37"/>
      <c r="L10" s="37"/>
      <c r="M10" s="37"/>
      <c r="N10" s="177"/>
      <c r="O10" s="177"/>
      <c r="P10" s="177"/>
      <c r="Q10" s="177"/>
      <c r="R10" s="177"/>
    </row>
    <row r="11" spans="1:18" ht="15" customHeight="1" x14ac:dyDescent="0.2">
      <c r="A11" s="810"/>
      <c r="B11" s="811"/>
      <c r="C11" s="63" t="s">
        <v>76</v>
      </c>
      <c r="D11" s="444">
        <f>INDEX('[1]Přepravní soustava'!$C39:$AL39,1,3*T!$A$4-2)</f>
        <v>19612.136999999999</v>
      </c>
      <c r="E11" s="453">
        <f>-INDEX('[1]Přepravní soustava'!$C43:$AL43,1,3*T!$A$4-2)</f>
        <v>-47143.756999999998</v>
      </c>
      <c r="F11" s="449">
        <f>D11+E11</f>
        <v>-27531.62</v>
      </c>
      <c r="G11" s="444">
        <f>INDEX('[1]Přepravní soustava'!$C39:$AL39,1,3*T!$A$4-1)</f>
        <v>209480.465</v>
      </c>
      <c r="H11" s="453">
        <f>-INDEX('[1]Přepravní soustava'!$C43:$AL43,1,3*T!$A$4-1)</f>
        <v>-501814.75199999998</v>
      </c>
      <c r="I11" s="18">
        <f>G11+H11</f>
        <v>-292334.28700000001</v>
      </c>
      <c r="J11" s="27"/>
      <c r="K11" s="37"/>
      <c r="L11" s="37"/>
      <c r="M11" s="37"/>
      <c r="N11" s="177"/>
      <c r="O11" s="177"/>
      <c r="P11" s="177"/>
      <c r="Q11" s="177"/>
      <c r="R11" s="177"/>
    </row>
    <row r="12" spans="1:18" ht="15" customHeight="1" x14ac:dyDescent="0.2">
      <c r="A12" s="810"/>
      <c r="B12" s="811"/>
      <c r="C12" s="100" t="s">
        <v>77</v>
      </c>
      <c r="D12" s="64">
        <f>INDEX('[1]Přepravní soustava'!$C40:$AL40,1,3*T!$A$4-2)</f>
        <v>20922.178</v>
      </c>
      <c r="E12" s="453">
        <f>-INDEX('[1]Přepravní soustava'!$C44:$AL44,1,3*T!$A$4-2)</f>
        <v>-4902.3109999999997</v>
      </c>
      <c r="F12" s="449">
        <f>D12+E12</f>
        <v>16019.867</v>
      </c>
      <c r="G12" s="64">
        <f>INDEX('[1]Přepravní soustava'!$C40:$AL40,1,3*T!$A$4-1)</f>
        <v>223151.84099999999</v>
      </c>
      <c r="H12" s="453">
        <f>-INDEX('[1]Přepravní soustava'!$C44:$AL44,1,3*T!$A$4-1)</f>
        <v>-52154.703999999998</v>
      </c>
      <c r="I12" s="18">
        <f>G12+H12</f>
        <v>170997.13699999999</v>
      </c>
      <c r="J12" s="27"/>
      <c r="K12" s="37"/>
      <c r="L12" s="37"/>
      <c r="M12" s="37"/>
      <c r="N12" s="177"/>
      <c r="O12" s="177"/>
      <c r="P12" s="177"/>
      <c r="Q12" s="177"/>
      <c r="R12" s="177"/>
    </row>
    <row r="13" spans="1:18" ht="15" customHeight="1" x14ac:dyDescent="0.2">
      <c r="A13" s="806"/>
      <c r="B13" s="807"/>
      <c r="C13" s="460" t="s">
        <v>156</v>
      </c>
      <c r="D13" s="466">
        <f t="shared" ref="D13:H13" si="1">SUM(D11:D12)</f>
        <v>40534.315000000002</v>
      </c>
      <c r="E13" s="467">
        <f t="shared" si="1"/>
        <v>-52046.067999999999</v>
      </c>
      <c r="F13" s="468">
        <f t="shared" si="1"/>
        <v>-11511.752999999999</v>
      </c>
      <c r="G13" s="466">
        <f t="shared" si="1"/>
        <v>432632.30599999998</v>
      </c>
      <c r="H13" s="467">
        <f t="shared" si="1"/>
        <v>-553969.45600000001</v>
      </c>
      <c r="I13" s="469">
        <f>SUM(I11:I12)</f>
        <v>-121337.15000000002</v>
      </c>
      <c r="J13" s="27"/>
      <c r="K13" s="37"/>
      <c r="L13" s="37"/>
      <c r="M13" s="37"/>
      <c r="N13" s="37"/>
      <c r="O13" s="37"/>
      <c r="P13" s="37"/>
      <c r="Q13" s="177"/>
      <c r="R13" s="177"/>
    </row>
    <row r="14" spans="1:18" ht="15" customHeight="1" x14ac:dyDescent="0.2">
      <c r="A14" s="808" t="s">
        <v>83</v>
      </c>
      <c r="B14" s="809"/>
      <c r="C14" s="99"/>
      <c r="D14" s="143" t="s">
        <v>161</v>
      </c>
      <c r="E14" s="454" t="s">
        <v>162</v>
      </c>
      <c r="F14" s="144" t="s">
        <v>181</v>
      </c>
      <c r="G14" s="143" t="s">
        <v>161</v>
      </c>
      <c r="H14" s="454" t="s">
        <v>162</v>
      </c>
      <c r="I14" s="457" t="s">
        <v>181</v>
      </c>
      <c r="J14" s="27"/>
      <c r="K14" s="37"/>
      <c r="L14" s="37"/>
      <c r="M14" s="37"/>
      <c r="N14" s="177"/>
      <c r="O14" s="177"/>
      <c r="P14" s="177"/>
      <c r="Q14" s="37"/>
    </row>
    <row r="15" spans="1:18" ht="15" customHeight="1" x14ac:dyDescent="0.2">
      <c r="A15" s="810"/>
      <c r="B15" s="811"/>
      <c r="C15" s="63" t="s">
        <v>163</v>
      </c>
      <c r="D15" s="63">
        <f>INDEX('[3]Poklady MZ'!$C$9:$Z$10,1,2*T!$A$4-1)</f>
        <v>12362.624</v>
      </c>
      <c r="E15" s="453">
        <f>INDEX('[3]Poklady MZ'!$C$22:$Z$22,1,2*T!$A$4-1)</f>
        <v>672.47199999999793</v>
      </c>
      <c r="F15" s="449">
        <f>D15+E15</f>
        <v>13035.095999999998</v>
      </c>
      <c r="G15" s="63">
        <f>INDEX('[3]Poklady MZ'!$C$9:$Z$10,1,2*T!$A$4)</f>
        <v>134786.83842000001</v>
      </c>
      <c r="H15" s="453">
        <f>INDEX('[3]Poklady MZ'!$C$22:$Z$22,1,2*T!$A$4)</f>
        <v>7188.697199999966</v>
      </c>
      <c r="I15" s="18">
        <f>G15+H15</f>
        <v>141975.53561999998</v>
      </c>
      <c r="J15" s="27"/>
      <c r="K15" s="37"/>
      <c r="L15" s="37"/>
      <c r="M15" s="37"/>
      <c r="N15" s="177"/>
      <c r="O15" s="177"/>
      <c r="P15" s="177"/>
      <c r="Q15" s="37"/>
    </row>
    <row r="16" spans="1:18" ht="15" customHeight="1" x14ac:dyDescent="0.2">
      <c r="A16" s="810"/>
      <c r="B16" s="811"/>
      <c r="C16" s="63" t="s">
        <v>164</v>
      </c>
      <c r="D16" s="445">
        <f>INDEX('[3]Poklady MZ'!$C$9:$Z$10,2,2*T!$A$4-1)</f>
        <v>951</v>
      </c>
      <c r="E16" s="453">
        <v>0</v>
      </c>
      <c r="F16" s="449">
        <f>D16+E16</f>
        <v>951</v>
      </c>
      <c r="G16" s="63">
        <f>INDEX('[3]Poklady MZ'!$C$9:$Z$10,2,2*T!$A$4)</f>
        <v>9957</v>
      </c>
      <c r="H16" s="453">
        <v>0</v>
      </c>
      <c r="I16" s="18">
        <f>G16+H16</f>
        <v>9957</v>
      </c>
      <c r="J16" s="27"/>
      <c r="K16" s="37"/>
      <c r="L16" s="37"/>
      <c r="M16" s="37"/>
      <c r="N16" s="177"/>
      <c r="O16" s="177"/>
      <c r="P16" s="177"/>
      <c r="Q16" s="37"/>
    </row>
    <row r="17" spans="1:17" ht="15" customHeight="1" x14ac:dyDescent="0.2">
      <c r="A17" s="806"/>
      <c r="B17" s="807"/>
      <c r="C17" s="460" t="s">
        <v>156</v>
      </c>
      <c r="D17" s="470">
        <f t="shared" ref="D17:I17" si="2">SUM(D15:D16)</f>
        <v>13313.624</v>
      </c>
      <c r="E17" s="471">
        <f t="shared" si="2"/>
        <v>672.47199999999793</v>
      </c>
      <c r="F17" s="472">
        <f t="shared" si="2"/>
        <v>13986.095999999998</v>
      </c>
      <c r="G17" s="470">
        <f t="shared" si="2"/>
        <v>144743.83842000001</v>
      </c>
      <c r="H17" s="471">
        <f t="shared" si="2"/>
        <v>7188.697199999966</v>
      </c>
      <c r="I17" s="473">
        <f t="shared" si="2"/>
        <v>151932.53561999998</v>
      </c>
      <c r="J17" s="27"/>
      <c r="K17" s="37"/>
      <c r="L17" s="37"/>
      <c r="M17" s="37"/>
      <c r="N17" s="37"/>
      <c r="O17" s="37"/>
      <c r="P17" s="37"/>
      <c r="Q17" s="37"/>
    </row>
    <row r="18" spans="1:17" ht="15" customHeight="1" x14ac:dyDescent="0.2">
      <c r="A18" s="812" t="s">
        <v>84</v>
      </c>
      <c r="B18" s="813"/>
      <c r="C18" s="99"/>
      <c r="D18" s="143" t="s">
        <v>165</v>
      </c>
      <c r="E18" s="454" t="s">
        <v>166</v>
      </c>
      <c r="F18" s="144" t="s">
        <v>167</v>
      </c>
      <c r="G18" s="143" t="s">
        <v>165</v>
      </c>
      <c r="H18" s="454" t="s">
        <v>166</v>
      </c>
      <c r="I18" s="457" t="s">
        <v>167</v>
      </c>
      <c r="J18" s="27"/>
      <c r="K18" s="37"/>
      <c r="L18" s="37"/>
      <c r="M18" s="37"/>
      <c r="N18" s="177"/>
      <c r="O18" s="177"/>
      <c r="P18" s="177"/>
      <c r="Q18" s="37"/>
    </row>
    <row r="19" spans="1:17" ht="15" customHeight="1" x14ac:dyDescent="0.2">
      <c r="A19" s="814"/>
      <c r="B19" s="815"/>
      <c r="C19" s="100" t="s">
        <v>313</v>
      </c>
      <c r="D19" s="64">
        <f>-INDEX([2]DS!$B$56:$AK$58,1,3*T!$A$4-1)</f>
        <v>-1594.221</v>
      </c>
      <c r="E19" s="453">
        <v>0</v>
      </c>
      <c r="F19" s="449">
        <f>D19+E19</f>
        <v>-1594.221</v>
      </c>
      <c r="G19" s="445">
        <f>-INDEX([2]DS!$B$56:$AK$58,1,3*T!$A$4)</f>
        <v>-16950.120999999999</v>
      </c>
      <c r="H19" s="453">
        <v>0</v>
      </c>
      <c r="I19" s="18">
        <f>G19+H19</f>
        <v>-16950.120999999999</v>
      </c>
      <c r="J19" s="27"/>
      <c r="K19" s="37"/>
      <c r="L19" s="37"/>
      <c r="M19" s="37"/>
      <c r="N19" s="177"/>
      <c r="O19" s="177"/>
      <c r="P19" s="177"/>
      <c r="Q19" s="37"/>
    </row>
    <row r="20" spans="1:17" ht="15" customHeight="1" x14ac:dyDescent="0.2">
      <c r="A20" s="814"/>
      <c r="B20" s="815"/>
      <c r="C20" s="100" t="s">
        <v>168</v>
      </c>
      <c r="D20" s="445">
        <f>-INDEX([2]DS!$B$56:$AK$58,2,3*T!$A$4-1)</f>
        <v>-607028.12180053024</v>
      </c>
      <c r="E20" s="455">
        <f>-INDEX([2]DS!$B$60:$AK$60,1,3*T!$A$4-1)</f>
        <v>-12578.863840089336</v>
      </c>
      <c r="F20" s="449">
        <f t="shared" ref="F20:F22" si="3">D20+E20</f>
        <v>-619606.98564061953</v>
      </c>
      <c r="G20" s="65">
        <f>-INDEX([2]DS!$B$56:$AK$58,2,3*T!$A$4)</f>
        <v>-6458365.7921649497</v>
      </c>
      <c r="H20" s="458">
        <f>-INDEX([2]DS!$B$60:$AK$60,1,3*T!$A$4)</f>
        <v>-133821.05095999999</v>
      </c>
      <c r="I20" s="18">
        <f t="shared" ref="I20:I22" si="4">G20+H20</f>
        <v>-6592186.8431249494</v>
      </c>
      <c r="J20" s="27"/>
      <c r="K20" s="37"/>
      <c r="L20" s="37"/>
      <c r="M20" s="37"/>
      <c r="N20" s="177"/>
      <c r="O20" s="177"/>
      <c r="P20" s="177"/>
      <c r="Q20" s="37"/>
    </row>
    <row r="21" spans="1:17" ht="15" customHeight="1" x14ac:dyDescent="0.2">
      <c r="A21" s="814"/>
      <c r="B21" s="815"/>
      <c r="C21" s="63" t="s">
        <v>169</v>
      </c>
      <c r="D21" s="445">
        <f>-INDEX([2]DS!$B$56:$AK$58,3,3*T!$A$4-1)</f>
        <v>-935</v>
      </c>
      <c r="E21" s="455">
        <v>0</v>
      </c>
      <c r="F21" s="449">
        <f t="shared" si="3"/>
        <v>-935</v>
      </c>
      <c r="G21" s="65">
        <f>-INDEX([2]DS!$B$56:$AK$58,3,3*T!$A$4)</f>
        <v>-9783</v>
      </c>
      <c r="H21" s="458">
        <v>0</v>
      </c>
      <c r="I21" s="18">
        <f t="shared" si="4"/>
        <v>-9783</v>
      </c>
      <c r="J21" s="27"/>
      <c r="K21" s="37"/>
      <c r="L21" s="37"/>
      <c r="M21" s="37"/>
      <c r="N21" s="177"/>
      <c r="O21" s="177"/>
      <c r="P21" s="177"/>
      <c r="Q21" s="37"/>
    </row>
    <row r="22" spans="1:17" ht="15" customHeight="1" x14ac:dyDescent="0.2">
      <c r="A22" s="814"/>
      <c r="B22" s="815"/>
      <c r="C22" s="63" t="s">
        <v>170</v>
      </c>
      <c r="D22" s="445">
        <v>0</v>
      </c>
      <c r="E22" s="455">
        <f>E15*-1</f>
        <v>-672.47199999999793</v>
      </c>
      <c r="F22" s="449">
        <f t="shared" si="3"/>
        <v>-672.47199999999793</v>
      </c>
      <c r="G22" s="65">
        <v>0</v>
      </c>
      <c r="H22" s="458">
        <f>H15*-1</f>
        <v>-7188.697199999966</v>
      </c>
      <c r="I22" s="18">
        <f t="shared" si="4"/>
        <v>-7188.697199999966</v>
      </c>
      <c r="J22" s="27"/>
      <c r="K22" s="37"/>
      <c r="L22" s="37"/>
      <c r="M22" s="37"/>
      <c r="N22" s="177"/>
      <c r="O22" s="177"/>
      <c r="P22" s="177"/>
      <c r="Q22" s="37"/>
    </row>
    <row r="23" spans="1:17" ht="15" customHeight="1" x14ac:dyDescent="0.2">
      <c r="A23" s="816"/>
      <c r="B23" s="817"/>
      <c r="C23" s="460" t="s">
        <v>156</v>
      </c>
      <c r="D23" s="474">
        <f>SUM(D19:D22)</f>
        <v>-609557.34280053026</v>
      </c>
      <c r="E23" s="475">
        <f t="shared" ref="E23:G23" si="5">SUM(E19:E22)</f>
        <v>-13251.335840089334</v>
      </c>
      <c r="F23" s="476">
        <f t="shared" si="5"/>
        <v>-622808.6786406195</v>
      </c>
      <c r="G23" s="474">
        <f t="shared" si="5"/>
        <v>-6485098.91316495</v>
      </c>
      <c r="H23" s="475">
        <f>SUM(H19:H22)</f>
        <v>-141009.74815999996</v>
      </c>
      <c r="I23" s="477">
        <f>SUM(I19:I22)</f>
        <v>-6626108.6613249499</v>
      </c>
      <c r="J23" s="27"/>
      <c r="K23" s="37"/>
      <c r="L23" s="37"/>
      <c r="M23" s="37"/>
      <c r="N23" s="37"/>
      <c r="O23" s="37"/>
      <c r="P23" s="37"/>
      <c r="Q23" s="37"/>
    </row>
    <row r="24" spans="1:17" ht="15" customHeight="1" x14ac:dyDescent="0.2">
      <c r="A24" s="818" t="s">
        <v>10</v>
      </c>
      <c r="B24" s="819"/>
      <c r="C24" s="145" t="s">
        <v>171</v>
      </c>
      <c r="D24" s="146"/>
      <c r="E24" s="147"/>
      <c r="F24" s="148">
        <f>(F9+F13+F17+F23)*-1</f>
        <v>-22137.769122896018</v>
      </c>
      <c r="G24" s="149"/>
      <c r="H24" s="150"/>
      <c r="I24" s="151">
        <f>(I9+I13+I17+I23)*-1</f>
        <v>-234875.44011004828</v>
      </c>
      <c r="J24" s="27"/>
      <c r="K24" s="37"/>
      <c r="L24" s="37"/>
      <c r="M24" s="37"/>
      <c r="N24" s="177"/>
      <c r="O24" s="177"/>
      <c r="P24" s="177"/>
      <c r="Q24" s="37"/>
    </row>
    <row r="25" spans="1:17" ht="12" customHeight="1" x14ac:dyDescent="0.2">
      <c r="A25" s="31"/>
      <c r="B25" s="31"/>
      <c r="C25" s="152"/>
      <c r="D25" s="153"/>
      <c r="E25" s="30"/>
      <c r="F25" s="154"/>
      <c r="I25" s="10"/>
      <c r="J25" s="27"/>
      <c r="K25" s="27"/>
      <c r="L25" s="37"/>
      <c r="M25" s="177"/>
    </row>
    <row r="26" spans="1:17" ht="12" customHeight="1" x14ac:dyDescent="0.2">
      <c r="A26" s="31"/>
      <c r="B26" s="31"/>
      <c r="C26" s="478"/>
      <c r="E26" s="30"/>
      <c r="F26" s="30"/>
      <c r="G26" s="27"/>
      <c r="I26" s="182"/>
    </row>
    <row r="27" spans="1:17" ht="15" customHeight="1" x14ac:dyDescent="0.2">
      <c r="A27" s="31"/>
      <c r="B27" s="31"/>
      <c r="C27" s="478"/>
      <c r="E27" s="30" t="s">
        <v>172</v>
      </c>
      <c r="F27" s="155">
        <f>D9/1000</f>
        <v>3359.6992668793901</v>
      </c>
      <c r="G27" s="138"/>
      <c r="I27" s="27"/>
    </row>
    <row r="28" spans="1:17" ht="15" customHeight="1" x14ac:dyDescent="0.2">
      <c r="A28" s="31"/>
      <c r="B28" s="31"/>
      <c r="C28" s="478"/>
      <c r="E28" s="30" t="s">
        <v>173</v>
      </c>
      <c r="F28" s="155">
        <f>E9/1000</f>
        <v>-2717.2271621158748</v>
      </c>
      <c r="G28" s="138"/>
    </row>
    <row r="29" spans="1:17" ht="15" customHeight="1" x14ac:dyDescent="0.2">
      <c r="A29" s="31"/>
      <c r="B29" s="31"/>
      <c r="C29" s="478"/>
      <c r="E29" s="30" t="s">
        <v>174</v>
      </c>
      <c r="F29" s="155">
        <f>D13/1000</f>
        <v>40.534314999999999</v>
      </c>
      <c r="G29" s="138"/>
    </row>
    <row r="30" spans="1:17" ht="15" customHeight="1" x14ac:dyDescent="0.2">
      <c r="A30" s="820"/>
      <c r="B30" s="137"/>
      <c r="C30" s="478"/>
      <c r="E30" s="30" t="s">
        <v>175</v>
      </c>
      <c r="F30" s="155">
        <f>E13/1000</f>
        <v>-52.046067999999998</v>
      </c>
      <c r="G30" s="138"/>
      <c r="L30" s="27"/>
    </row>
    <row r="31" spans="1:17" ht="15" customHeight="1" x14ac:dyDescent="0.2">
      <c r="A31" s="820"/>
      <c r="B31" s="137"/>
      <c r="C31" s="478"/>
      <c r="E31" s="30" t="s">
        <v>145</v>
      </c>
      <c r="F31" s="155">
        <f>F17/1000</f>
        <v>13.986095999999998</v>
      </c>
      <c r="G31" s="138"/>
    </row>
    <row r="32" spans="1:17" ht="15" customHeight="1" x14ac:dyDescent="0.2">
      <c r="A32" s="19"/>
      <c r="B32" s="19"/>
      <c r="C32" s="478"/>
      <c r="E32" s="32" t="s">
        <v>10</v>
      </c>
      <c r="F32" s="155">
        <f>F24/1000</f>
        <v>-22.137769122896017</v>
      </c>
      <c r="G32" s="84"/>
    </row>
    <row r="33" spans="1:8" ht="15" customHeight="1" x14ac:dyDescent="0.2">
      <c r="A33" s="19"/>
      <c r="B33" s="19"/>
      <c r="C33" s="478"/>
      <c r="E33" s="33" t="s">
        <v>85</v>
      </c>
      <c r="F33" s="155">
        <f>F23/1000</f>
        <v>-622.80867864061952</v>
      </c>
      <c r="G33" s="84"/>
    </row>
    <row r="34" spans="1:8" ht="15" customHeight="1" x14ac:dyDescent="0.2">
      <c r="A34" s="19"/>
      <c r="B34" s="19"/>
      <c r="C34" s="479"/>
      <c r="D34" s="30"/>
      <c r="E34" s="12"/>
      <c r="F34" s="12"/>
    </row>
    <row r="35" spans="1:8" ht="15" customHeight="1" x14ac:dyDescent="0.2">
      <c r="A35" s="19"/>
      <c r="B35" s="19"/>
      <c r="C35" s="479"/>
      <c r="D35" s="30"/>
      <c r="E35" s="12"/>
      <c r="F35" s="12"/>
    </row>
    <row r="36" spans="1:8" ht="24" customHeight="1" x14ac:dyDescent="0.2">
      <c r="A36" s="19"/>
      <c r="B36" s="19"/>
      <c r="C36" s="479"/>
      <c r="D36" s="30"/>
      <c r="E36" s="12"/>
      <c r="F36" s="12"/>
    </row>
    <row r="37" spans="1:8" ht="15" customHeight="1" x14ac:dyDescent="0.2">
      <c r="A37" s="19"/>
      <c r="B37" s="19"/>
      <c r="C37" s="479"/>
      <c r="D37" s="30"/>
      <c r="E37" s="12"/>
      <c r="F37" s="12"/>
    </row>
    <row r="38" spans="1:8" ht="20.25" customHeight="1" x14ac:dyDescent="0.2">
      <c r="A38" s="801"/>
      <c r="B38" s="801"/>
      <c r="C38" s="801"/>
      <c r="D38" s="801"/>
      <c r="E38" s="801"/>
      <c r="F38" s="801"/>
      <c r="G38" s="801"/>
      <c r="H38" s="801"/>
    </row>
    <row r="39" spans="1:8" ht="15" customHeight="1" x14ac:dyDescent="0.2">
      <c r="A39" s="35"/>
      <c r="B39" s="35"/>
      <c r="C39" s="10"/>
      <c r="D39" s="34"/>
      <c r="E39" s="34"/>
      <c r="F39" s="34"/>
      <c r="G39" s="34"/>
      <c r="H39" s="34"/>
    </row>
    <row r="40" spans="1:8" ht="15" customHeight="1" x14ac:dyDescent="0.2">
      <c r="A40" s="35"/>
      <c r="B40" s="35"/>
      <c r="C40" s="10"/>
      <c r="D40" s="34"/>
      <c r="E40" s="34"/>
      <c r="F40" s="34"/>
    </row>
    <row r="41" spans="1:8" ht="15" customHeight="1" x14ac:dyDescent="0.2">
      <c r="A41" s="35"/>
      <c r="B41" s="35"/>
      <c r="C41" s="10"/>
      <c r="D41" s="34"/>
      <c r="E41" s="34"/>
      <c r="F41" s="34"/>
    </row>
    <row r="42" spans="1:8" ht="15" customHeight="1" x14ac:dyDescent="0.2">
      <c r="A42" s="35"/>
      <c r="B42" s="35"/>
      <c r="C42" s="10"/>
      <c r="D42" s="34"/>
      <c r="E42" s="34"/>
      <c r="F42" s="34"/>
    </row>
    <row r="43" spans="1:8" ht="15" customHeight="1" x14ac:dyDescent="0.2">
      <c r="A43" s="35"/>
      <c r="B43" s="35"/>
      <c r="C43" s="10"/>
      <c r="D43" s="34"/>
      <c r="E43" s="34"/>
      <c r="F43" s="34"/>
    </row>
    <row r="44" spans="1:8" ht="15" customHeight="1" x14ac:dyDescent="0.2">
      <c r="D44" s="36"/>
      <c r="E44" s="36"/>
      <c r="F44" s="36"/>
    </row>
    <row r="45" spans="1:8" ht="15" customHeight="1" x14ac:dyDescent="0.2">
      <c r="D45" s="36"/>
      <c r="E45" s="36"/>
      <c r="F45" s="36"/>
    </row>
    <row r="46" spans="1:8" ht="15" customHeight="1" x14ac:dyDescent="0.2">
      <c r="D46" s="36"/>
      <c r="E46" s="36"/>
      <c r="F46" s="36"/>
    </row>
    <row r="47" spans="1:8" ht="15" customHeight="1" x14ac:dyDescent="0.2"/>
    <row r="48" spans="1:8" ht="15" customHeight="1" x14ac:dyDescent="0.2"/>
    <row r="49" spans="3:17" ht="15" customHeight="1" x14ac:dyDescent="0.2"/>
    <row r="50" spans="3:17" s="28" customFormat="1" ht="15" customHeight="1" x14ac:dyDescent="0.2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3:17" s="28" customFormat="1" ht="15" customHeight="1" x14ac:dyDescent="0.2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3:17" s="28" customFormat="1" ht="15" customHeight="1" x14ac:dyDescent="0.2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3:17" s="28" customFormat="1" ht="15" customHeight="1" x14ac:dyDescent="0.2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3:17" s="28" customFormat="1" ht="15" customHeight="1" x14ac:dyDescent="0.2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3:17" s="28" customFormat="1" ht="15" customHeight="1" x14ac:dyDescent="0.2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3:17" s="28" customFormat="1" ht="15" customHeight="1" x14ac:dyDescent="0.2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3:17" s="28" customFormat="1" ht="15" customHeight="1" x14ac:dyDescent="0.2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3:17" s="28" customFormat="1" ht="15" customHeight="1" x14ac:dyDescent="0.2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3:17" s="28" customFormat="1" ht="15" customHeight="1" x14ac:dyDescent="0.2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3:17" s="28" customFormat="1" ht="15" customHeight="1" x14ac:dyDescent="0.2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Q123"/>
  <sheetViews>
    <sheetView view="pageBreakPreview" topLeftCell="A10" zoomScaleNormal="100" zoomScaleSheetLayoutView="100" workbookViewId="0">
      <selection activeCell="C1" sqref="C1"/>
    </sheetView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1" t="s">
        <v>70</v>
      </c>
      <c r="K1" s="821"/>
    </row>
    <row r="2" spans="1:17" ht="6.75" customHeight="1" x14ac:dyDescent="0.2"/>
    <row r="3" spans="1:17" ht="30" customHeight="1" x14ac:dyDescent="0.2">
      <c r="A3" s="829" t="s">
        <v>225</v>
      </c>
      <c r="B3" s="829"/>
      <c r="C3" s="829"/>
      <c r="D3" s="829"/>
      <c r="E3" s="829"/>
      <c r="F3" s="829"/>
      <c r="G3" s="829"/>
      <c r="H3" s="829"/>
      <c r="I3" s="829"/>
      <c r="J3" s="829"/>
      <c r="K3" s="829"/>
    </row>
    <row r="4" spans="1:17" ht="16.5" customHeight="1" x14ac:dyDescent="0.2">
      <c r="B4" s="242"/>
      <c r="C4" s="242"/>
      <c r="D4" s="828" t="str">
        <f>T!G19</f>
        <v>Duben</v>
      </c>
      <c r="E4" s="828"/>
      <c r="F4" s="223">
        <f>T!I21</f>
        <v>2015</v>
      </c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1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D4</f>
        <v>Duben</v>
      </c>
      <c r="F7" s="265">
        <f>F4</f>
        <v>2015</v>
      </c>
      <c r="G7" s="265"/>
      <c r="H7" s="832"/>
      <c r="I7" s="280" t="str">
        <f>D4</f>
        <v>Duben</v>
      </c>
      <c r="J7" s="260">
        <f>F4-1</f>
        <v>2014</v>
      </c>
      <c r="K7" s="274"/>
    </row>
    <row r="8" spans="1:17" ht="14.1" customHeight="1" x14ac:dyDescent="0.2">
      <c r="A8" s="278"/>
      <c r="B8" s="826" t="s">
        <v>92</v>
      </c>
      <c r="C8" s="826"/>
      <c r="D8" s="838" t="s">
        <v>0</v>
      </c>
      <c r="E8" s="840" t="s">
        <v>71</v>
      </c>
      <c r="F8" s="793"/>
      <c r="G8" s="331" t="s">
        <v>224</v>
      </c>
      <c r="H8" s="832"/>
      <c r="I8" s="841" t="s">
        <v>71</v>
      </c>
      <c r="J8" s="793"/>
      <c r="K8" s="349" t="s">
        <v>224</v>
      </c>
    </row>
    <row r="9" spans="1:17" ht="14.1" customHeight="1" x14ac:dyDescent="0.2">
      <c r="A9" s="250"/>
      <c r="B9" s="827"/>
      <c r="C9" s="827"/>
      <c r="D9" s="839"/>
      <c r="E9" s="266" t="s">
        <v>15</v>
      </c>
      <c r="F9" s="266" t="s">
        <v>1</v>
      </c>
      <c r="G9" s="332" t="s">
        <v>127</v>
      </c>
      <c r="H9" s="833"/>
      <c r="I9" s="281" t="s">
        <v>15</v>
      </c>
      <c r="J9" s="266" t="s">
        <v>1</v>
      </c>
      <c r="K9" s="350" t="s">
        <v>127</v>
      </c>
    </row>
    <row r="10" spans="1:17" ht="14.45" customHeight="1" x14ac:dyDescent="0.2">
      <c r="A10" s="834" t="s">
        <v>4</v>
      </c>
      <c r="B10" s="834"/>
      <c r="C10" s="237"/>
      <c r="D10" s="238"/>
      <c r="E10" s="237"/>
      <c r="F10" s="237"/>
      <c r="G10" s="333"/>
      <c r="H10" s="315"/>
      <c r="I10" s="282"/>
      <c r="J10" s="237"/>
      <c r="K10" s="351"/>
    </row>
    <row r="11" spans="1:17" ht="14.45" customHeight="1" x14ac:dyDescent="0.2">
      <c r="A11" s="95"/>
      <c r="B11" s="95"/>
      <c r="C11" s="257" t="s">
        <v>6</v>
      </c>
      <c r="D11" s="245">
        <f>INDEX([2]DS!B36:AK36,1,3*T!$A$4-2)</f>
        <v>1589</v>
      </c>
      <c r="E11" s="96">
        <f>INDEX([2]DS!C36:AL36,1,3*T!$A$4-2)</f>
        <v>288198.05184514017</v>
      </c>
      <c r="F11" s="96">
        <f>INDEX([2]DS!D36:AM36,1,3*T!$A$4-2)</f>
        <v>3066229.3641399993</v>
      </c>
      <c r="G11" s="334">
        <f>E11/$E$17</f>
        <v>0.46273929977048311</v>
      </c>
      <c r="H11" s="316">
        <f>(E11-I11)/I11</f>
        <v>4.7115492187099123E-2</v>
      </c>
      <c r="I11" s="283">
        <f>INDEX([4]DS!C36:AL36,1,3*T!$A$4-2)</f>
        <v>275230.43446065718</v>
      </c>
      <c r="J11" s="96">
        <f>INDEX([4]DS!D36:AM36,1,3*T!$A$4-2)</f>
        <v>2926752.0541300001</v>
      </c>
      <c r="K11" s="352">
        <f>I11/$I$17</f>
        <v>0.51542407499074061</v>
      </c>
    </row>
    <row r="12" spans="1:17" ht="14.45" customHeight="1" x14ac:dyDescent="0.2">
      <c r="A12" s="95"/>
      <c r="B12" s="95"/>
      <c r="C12" s="257" t="s">
        <v>7</v>
      </c>
      <c r="D12" s="245">
        <f>INDEX([2]DS!B37:AK37,1,3*T!$A$4-2)</f>
        <v>6744</v>
      </c>
      <c r="E12" s="96">
        <f>INDEX([2]DS!C37:AL37,1,3*T!$A$4-2)</f>
        <v>61678.755377537302</v>
      </c>
      <c r="F12" s="96">
        <f>INDEX([2]DS!D37:AM37,1,3*T!$A$4-2)</f>
        <v>656131.19702499977</v>
      </c>
      <c r="G12" s="334">
        <f t="shared" ref="G12:G16" si="0">E12/$E$17</f>
        <v>9.9033230417021695E-2</v>
      </c>
      <c r="H12" s="316">
        <f>(E12-I12)/I12</f>
        <v>0.23117493542430856</v>
      </c>
      <c r="I12" s="283">
        <f>INDEX([4]DS!C37:AL37,1,3*T!$A$4-2)</f>
        <v>50097.474861507406</v>
      </c>
      <c r="J12" s="96">
        <f>INDEX([4]DS!D37:AM37,1,3*T!$A$4-2)</f>
        <v>532664.00668899994</v>
      </c>
      <c r="K12" s="352">
        <f t="shared" ref="K12:K16" si="1">I12/$I$17</f>
        <v>9.3817548522437774E-2</v>
      </c>
      <c r="L12" s="284"/>
      <c r="M12" s="284"/>
      <c r="O12" s="284"/>
      <c r="P12" s="284"/>
      <c r="Q12" s="284"/>
    </row>
    <row r="13" spans="1:17" ht="14.45" customHeight="1" x14ac:dyDescent="0.2">
      <c r="A13" s="292"/>
      <c r="B13" s="268"/>
      <c r="C13" s="257" t="s">
        <v>8</v>
      </c>
      <c r="D13" s="245">
        <f>INDEX([2]DS!B38:AK38,1,3*T!$A$4-2)</f>
        <v>197680</v>
      </c>
      <c r="E13" s="96">
        <f>INDEX([2]DS!C38:AL38,1,3*T!$A$4-2)</f>
        <v>84908.576362727239</v>
      </c>
      <c r="F13" s="96">
        <f>INDEX([2]DS!D38:AM38,1,3*T!$A$4-2)</f>
        <v>903308.27032261004</v>
      </c>
      <c r="G13" s="334">
        <f>E13/$E$17</f>
        <v>0.13633171674494629</v>
      </c>
      <c r="H13" s="316">
        <f t="shared" ref="H13:H17" si="2">(E13-I13)/I13</f>
        <v>0.34014311620955989</v>
      </c>
      <c r="I13" s="283">
        <f>INDEX([4]DS!C38:AL38,1,3*T!$A$4-2)</f>
        <v>63357.842409310244</v>
      </c>
      <c r="J13" s="96">
        <f>INDEX([4]DS!D38:AM38,1,3*T!$A$4-2)</f>
        <v>673683.90007122606</v>
      </c>
      <c r="K13" s="352">
        <f t="shared" si="1"/>
        <v>0.11865024077450229</v>
      </c>
      <c r="L13" s="284"/>
      <c r="M13" s="284"/>
      <c r="O13" s="284"/>
      <c r="P13" s="284"/>
      <c r="Q13" s="284"/>
    </row>
    <row r="14" spans="1:17" ht="14.45" customHeight="1" x14ac:dyDescent="0.2">
      <c r="A14" s="292"/>
      <c r="B14" s="268"/>
      <c r="C14" s="257" t="s">
        <v>9</v>
      </c>
      <c r="D14" s="245">
        <f>INDEX([2]DS!B39:AK39,1,3*T!$A$4-2)</f>
        <v>2640050</v>
      </c>
      <c r="E14" s="96">
        <f>INDEX([2]DS!C39:AL39,1,3*T!$A$4-2)</f>
        <v>174771.95921512551</v>
      </c>
      <c r="F14" s="96">
        <f>INDEX([2]DS!D39:AM39,1,3*T!$A$4-2)</f>
        <v>1859430.0816773416</v>
      </c>
      <c r="G14" s="334">
        <f t="shared" si="0"/>
        <v>0.28061901705768372</v>
      </c>
      <c r="H14" s="316">
        <f t="shared" si="2"/>
        <v>0.34590356137613465</v>
      </c>
      <c r="I14" s="283">
        <f>INDEX([4]DS!C39:AL39,1,3*T!$A$4-2)</f>
        <v>129854.74162534194</v>
      </c>
      <c r="J14" s="96">
        <f>INDEX([4]DS!D39:AM39,1,3*T!$A$4-2)</f>
        <v>1380824.2399287042</v>
      </c>
      <c r="K14" s="352">
        <f t="shared" si="1"/>
        <v>0.24317899369145105</v>
      </c>
      <c r="L14" s="284"/>
      <c r="M14" s="284"/>
      <c r="O14" s="284"/>
      <c r="P14" s="284"/>
      <c r="Q14" s="284"/>
    </row>
    <row r="15" spans="1:17" ht="14.45" customHeight="1" x14ac:dyDescent="0.2">
      <c r="A15" s="292"/>
      <c r="B15" s="268"/>
      <c r="C15" s="258" t="s">
        <v>220</v>
      </c>
      <c r="D15" s="246">
        <f>SUM(D11:D14)</f>
        <v>2846063</v>
      </c>
      <c r="E15" s="244">
        <f t="shared" ref="E15:F15" si="3">SUM(E11:E14)</f>
        <v>609557.34280053026</v>
      </c>
      <c r="F15" s="261">
        <f t="shared" si="3"/>
        <v>6485098.9131649509</v>
      </c>
      <c r="G15" s="335">
        <f t="shared" si="0"/>
        <v>0.97872326399013487</v>
      </c>
      <c r="H15" s="317">
        <f t="shared" si="2"/>
        <v>0.17552505659588519</v>
      </c>
      <c r="I15" s="285">
        <f t="shared" ref="I15:J15" si="4">SUM(I11:I14)</f>
        <v>518540.49335681676</v>
      </c>
      <c r="J15" s="261">
        <f t="shared" si="4"/>
        <v>5513924.2008189298</v>
      </c>
      <c r="K15" s="353">
        <f>I15/$I$17</f>
        <v>0.97107085797913162</v>
      </c>
      <c r="L15" s="284"/>
      <c r="M15" s="284"/>
      <c r="O15" s="284"/>
      <c r="P15" s="284"/>
      <c r="Q15" s="284"/>
    </row>
    <row r="16" spans="1:17" ht="14.45" customHeight="1" x14ac:dyDescent="0.2">
      <c r="A16" s="292"/>
      <c r="B16" s="268"/>
      <c r="C16" s="257" t="s">
        <v>178</v>
      </c>
      <c r="D16" s="245"/>
      <c r="E16" s="96">
        <f>INDEX([2]DS!B40:AK40,1,3*T!$A$4-1)</f>
        <v>13251.335840089334</v>
      </c>
      <c r="F16" s="96">
        <f>INDEX([2]DS!C40:AL40,1,3*T!$A$4-1)</f>
        <v>141009.74815999996</v>
      </c>
      <c r="G16" s="334">
        <f t="shared" si="0"/>
        <v>2.1276736009865037E-2</v>
      </c>
      <c r="H16" s="316">
        <f t="shared" si="2"/>
        <v>-0.14218753692026406</v>
      </c>
      <c r="I16" s="283">
        <f>INDEX([4]DS!C40:AL40,1,3*T!$A$4-2)</f>
        <v>15447.823866435929</v>
      </c>
      <c r="J16" s="96">
        <f>INDEX([4]DS!D40:AM40,1,3*T!$A$4-2)</f>
        <v>165259.36970000004</v>
      </c>
      <c r="K16" s="352">
        <f t="shared" si="1"/>
        <v>2.8929142020868256E-2</v>
      </c>
      <c r="L16" s="284"/>
      <c r="M16" s="284"/>
      <c r="O16" s="284"/>
      <c r="P16" s="284"/>
      <c r="Q16" s="284"/>
    </row>
    <row r="17" spans="1:16" ht="14.45" customHeight="1" x14ac:dyDescent="0.2">
      <c r="A17" s="292"/>
      <c r="B17" s="268"/>
      <c r="C17" s="259" t="s">
        <v>2</v>
      </c>
      <c r="D17" s="253">
        <f>D15</f>
        <v>2846063</v>
      </c>
      <c r="E17" s="251">
        <f>SUM(E15:E16)</f>
        <v>622808.67864061962</v>
      </c>
      <c r="F17" s="252">
        <f>SUM(F15:F16)</f>
        <v>6626108.6613249509</v>
      </c>
      <c r="G17" s="336">
        <f>SUM(G15:G16)</f>
        <v>0.99999999999999989</v>
      </c>
      <c r="H17" s="318">
        <f t="shared" si="2"/>
        <v>0.16633390385623809</v>
      </c>
      <c r="I17" s="286">
        <f>SUM(I15:I16)</f>
        <v>533988.31722325273</v>
      </c>
      <c r="J17" s="252">
        <f>SUM(J15:J16)</f>
        <v>5679183.5705189295</v>
      </c>
      <c r="K17" s="354">
        <f>SUM(K15:K16)</f>
        <v>0.99999999999999989</v>
      </c>
      <c r="L17" s="284"/>
      <c r="M17" s="284"/>
    </row>
    <row r="18" spans="1:16" ht="14.45" customHeight="1" x14ac:dyDescent="0.2">
      <c r="A18" s="292"/>
      <c r="B18" s="269"/>
      <c r="C18" s="293"/>
      <c r="D18" s="294"/>
      <c r="E18" s="293"/>
      <c r="F18" s="293"/>
      <c r="G18" s="337"/>
      <c r="H18" s="319"/>
      <c r="I18" s="295"/>
      <c r="J18" s="296"/>
      <c r="K18" s="355"/>
      <c r="L18" s="284"/>
      <c r="M18" s="284"/>
    </row>
    <row r="19" spans="1:16" ht="14.45" customHeight="1" x14ac:dyDescent="0.2">
      <c r="A19" s="830" t="s">
        <v>11</v>
      </c>
      <c r="B19" s="830"/>
      <c r="C19" s="830"/>
      <c r="D19" s="297"/>
      <c r="E19" s="174"/>
      <c r="F19" s="174"/>
      <c r="G19" s="338"/>
      <c r="H19" s="320"/>
      <c r="I19" s="298"/>
      <c r="J19" s="299"/>
      <c r="K19" s="356"/>
      <c r="L19" s="284"/>
      <c r="M19" s="284"/>
    </row>
    <row r="20" spans="1:16" ht="14.45" customHeight="1" x14ac:dyDescent="0.2">
      <c r="A20" s="95"/>
      <c r="B20" s="95"/>
      <c r="C20" s="257" t="s">
        <v>6</v>
      </c>
      <c r="D20" s="245">
        <f>INDEX([2]DS!B3:AK3,1,3*T!$A$4-2)</f>
        <v>182</v>
      </c>
      <c r="E20" s="89">
        <f>INDEX([2]DS!C3:AL3,1,3*T!$A$4-2)</f>
        <v>18931.912845140083</v>
      </c>
      <c r="F20" s="96">
        <f>INDEX([2]DS!D3:AM3,1,3*T!$A$4-2)</f>
        <v>201238.992</v>
      </c>
      <c r="G20" s="339">
        <f>E20/$E$26</f>
        <v>0.26537990129815381</v>
      </c>
      <c r="H20" s="321">
        <f>(E20-I20)/I20</f>
        <v>0.14190919144718633</v>
      </c>
      <c r="I20" s="300">
        <f>INDEX([4]DS!C3:AL3,1,3*T!$A$4-2)</f>
        <v>16579.175460657189</v>
      </c>
      <c r="J20" s="301">
        <f>INDEX([4]DS!D3:AM3,1,3*T!$A$4-2)</f>
        <v>176133.32</v>
      </c>
      <c r="K20" s="352">
        <f>I20/$I$26</f>
        <v>0.29281789300017064</v>
      </c>
      <c r="L20" s="284"/>
      <c r="M20" s="284"/>
      <c r="N20" s="284"/>
    </row>
    <row r="21" spans="1:16" ht="14.45" customHeight="1" x14ac:dyDescent="0.2">
      <c r="A21" s="95"/>
      <c r="B21" s="95"/>
      <c r="C21" s="257" t="s">
        <v>7</v>
      </c>
      <c r="D21" s="245">
        <f>INDEX([2]DS!B4:AK4,1,3*T!$A$4-2)</f>
        <v>1617</v>
      </c>
      <c r="E21" s="89">
        <f>INDEX([2]DS!C4:AL4,1,3*T!$A$4-2)</f>
        <v>13603.197377537306</v>
      </c>
      <c r="F21" s="96">
        <f>INDEX([2]DS!D4:AM4,1,3*T!$A$4-2)</f>
        <v>144596.61199999999</v>
      </c>
      <c r="G21" s="339">
        <f>E21/$E$26</f>
        <v>0.19068412193313389</v>
      </c>
      <c r="H21" s="321">
        <f t="shared" ref="H21:H23" si="5">(E21-I21)/I21</f>
        <v>0.29627014066667312</v>
      </c>
      <c r="I21" s="300">
        <f>INDEX([4]DS!C4:AL4,1,3*T!$A$4-2)</f>
        <v>10494.106861507407</v>
      </c>
      <c r="J21" s="301">
        <f>INDEX([4]DS!D4:AM4,1,3*T!$A$4-2)</f>
        <v>111486.891</v>
      </c>
      <c r="K21" s="352">
        <f t="shared" ref="K21:K25" si="6">I21/$I$26</f>
        <v>0.18534469747287577</v>
      </c>
      <c r="L21" s="287"/>
      <c r="M21" s="287"/>
      <c r="N21" s="284"/>
    </row>
    <row r="22" spans="1:16" ht="14.45" customHeight="1" x14ac:dyDescent="0.2">
      <c r="A22" s="292"/>
      <c r="B22" s="823"/>
      <c r="C22" s="257" t="s">
        <v>8</v>
      </c>
      <c r="D22" s="245">
        <f>INDEX([2]DS!B5:AK5,1,3*T!$A$4-2)</f>
        <v>38786</v>
      </c>
      <c r="E22" s="89">
        <f>INDEX([2]DS!C5:AL5,1,3*T!$A$4-2)</f>
        <v>14488.897854727258</v>
      </c>
      <c r="F22" s="96">
        <f>INDEX([2]DS!D5:AM5,1,3*T!$A$4-2)</f>
        <v>154011.2580346101</v>
      </c>
      <c r="G22" s="339">
        <f>E22/$E$26</f>
        <v>0.20309951319016342</v>
      </c>
      <c r="H22" s="321">
        <f t="shared" si="5"/>
        <v>0.35385761811525024</v>
      </c>
      <c r="I22" s="300">
        <f>INDEX([4]DS!C5:AL5,1,3*T!$A$4-2)</f>
        <v>10701.936201310245</v>
      </c>
      <c r="J22" s="301">
        <f>INDEX([4]DS!D5:AM5,1,3*T!$A$4-2)</f>
        <v>113694.82038922605</v>
      </c>
      <c r="K22" s="352">
        <f t="shared" si="6"/>
        <v>0.18901533534802806</v>
      </c>
      <c r="L22" s="284"/>
      <c r="M22" s="284"/>
      <c r="N22" s="284"/>
      <c r="O22" s="284"/>
      <c r="P22" s="284"/>
    </row>
    <row r="23" spans="1:16" ht="14.45" customHeight="1" x14ac:dyDescent="0.2">
      <c r="A23" s="292"/>
      <c r="B23" s="823"/>
      <c r="C23" s="257" t="s">
        <v>9</v>
      </c>
      <c r="D23" s="245">
        <f>INDEX([2]DS!B6:AK6,1,3*T!$A$4-2)</f>
        <v>389436</v>
      </c>
      <c r="E23" s="89">
        <f>INDEX([2]DS!C6:AL6,1,3*T!$A$4-2)</f>
        <v>22029.18872312551</v>
      </c>
      <c r="F23" s="96">
        <f>INDEX([2]DS!D6:AM6,1,3*T!$A$4-2)</f>
        <v>234161.56996534171</v>
      </c>
      <c r="G23" s="339">
        <f t="shared" ref="G23:G25" si="7">E23/$E$26</f>
        <v>0.30879626252463843</v>
      </c>
      <c r="H23" s="321">
        <f t="shared" si="5"/>
        <v>0.30078612416428441</v>
      </c>
      <c r="I23" s="300">
        <f>INDEX([4]DS!C6:AL6,1,3*T!$A$4-2)</f>
        <v>16935.288833341911</v>
      </c>
      <c r="J23" s="301">
        <f>INDEX([4]DS!D6:AM6,1,3*T!$A$4-2)</f>
        <v>179916.47361070412</v>
      </c>
      <c r="K23" s="352">
        <f t="shared" si="6"/>
        <v>0.29910749212445614</v>
      </c>
      <c r="L23" s="284"/>
      <c r="M23" s="284"/>
      <c r="N23" s="284"/>
      <c r="O23" s="284"/>
      <c r="P23" s="284"/>
    </row>
    <row r="24" spans="1:16" ht="14.45" customHeight="1" x14ac:dyDescent="0.2">
      <c r="A24" s="292"/>
      <c r="B24" s="823"/>
      <c r="C24" s="258" t="s">
        <v>220</v>
      </c>
      <c r="D24" s="246">
        <f>SUM(D20:D23)</f>
        <v>430021</v>
      </c>
      <c r="E24" s="244">
        <f>SUM(E20:E23)</f>
        <v>69053.196800530161</v>
      </c>
      <c r="F24" s="261">
        <f>SUM(F20:F23)</f>
        <v>734008.43199995183</v>
      </c>
      <c r="G24" s="340">
        <f t="shared" si="7"/>
        <v>0.96795979894608963</v>
      </c>
      <c r="H24" s="322">
        <f>(E24-I24)/I24</f>
        <v>0.26215603065370513</v>
      </c>
      <c r="I24" s="302">
        <f>SUM(I20:I23)</f>
        <v>54710.50735681675</v>
      </c>
      <c r="J24" s="303">
        <f>SUM(J20:J23)</f>
        <v>581231.50499993027</v>
      </c>
      <c r="K24" s="353">
        <f t="shared" si="6"/>
        <v>0.96628541794553058</v>
      </c>
      <c r="L24" s="284"/>
      <c r="M24" s="284"/>
      <c r="N24" s="284"/>
      <c r="O24" s="284"/>
      <c r="P24" s="284"/>
    </row>
    <row r="25" spans="1:16" ht="14.45" customHeight="1" x14ac:dyDescent="0.2">
      <c r="A25" s="292"/>
      <c r="B25" s="823"/>
      <c r="C25" s="240" t="s">
        <v>119</v>
      </c>
      <c r="D25" s="249"/>
      <c r="E25" s="173">
        <f>INDEX([2]DS!C7:AL7,1,3*T!$A$4-2)</f>
        <v>2285.7130134052777</v>
      </c>
      <c r="F25" s="173">
        <f>INDEX([2]DS!D7:AM7,1,3*T!$A$4-2)</f>
        <v>24296.225999999999</v>
      </c>
      <c r="G25" s="339">
        <f t="shared" si="7"/>
        <v>3.2040201053910464E-2</v>
      </c>
      <c r="H25" s="323">
        <f>(E25-I25)/I25</f>
        <v>0.19739820874057368</v>
      </c>
      <c r="I25" s="298">
        <f>INDEX([4]DS!C7:AL7,1,3*T!$A$4-2)</f>
        <v>1908.8996431766807</v>
      </c>
      <c r="J25" s="299">
        <f>INDEX([4]DS!D7:AM7,1,3*T!$A$4-2)</f>
        <v>20279.695</v>
      </c>
      <c r="K25" s="352">
        <f t="shared" si="6"/>
        <v>3.3714582054469457E-2</v>
      </c>
      <c r="L25" s="284"/>
      <c r="M25" s="284"/>
      <c r="N25" s="284"/>
      <c r="O25" s="284"/>
      <c r="P25" s="284"/>
    </row>
    <row r="26" spans="1:16" ht="14.45" customHeight="1" x14ac:dyDescent="0.2">
      <c r="A26" s="292"/>
      <c r="B26" s="823"/>
      <c r="C26" s="259" t="s">
        <v>2</v>
      </c>
      <c r="D26" s="253">
        <f>D24</f>
        <v>430021</v>
      </c>
      <c r="E26" s="252">
        <f>SUM(E24:E25)</f>
        <v>71338.909813935432</v>
      </c>
      <c r="F26" s="252">
        <f>SUM(F24:F25)</f>
        <v>758304.65799995186</v>
      </c>
      <c r="G26" s="341">
        <f>SUM(G24:G25)</f>
        <v>1</v>
      </c>
      <c r="H26" s="324">
        <f>(E26-I26)/I26</f>
        <v>0.25997274775314605</v>
      </c>
      <c r="I26" s="304">
        <f>SUM(I24:I25)</f>
        <v>56619.406999993429</v>
      </c>
      <c r="J26" s="305">
        <f>SUM(J24:J25)</f>
        <v>601511.19999993022</v>
      </c>
      <c r="K26" s="354">
        <f>SUM(K24:K25)</f>
        <v>1</v>
      </c>
      <c r="L26" s="284"/>
      <c r="M26" s="284"/>
      <c r="N26" s="284"/>
      <c r="O26" s="284"/>
      <c r="P26" s="284"/>
    </row>
    <row r="27" spans="1:16" ht="14.45" customHeight="1" x14ac:dyDescent="0.2">
      <c r="A27" s="306"/>
      <c r="B27" s="835"/>
      <c r="C27" s="293"/>
      <c r="D27" s="294"/>
      <c r="E27" s="293"/>
      <c r="F27" s="293"/>
      <c r="G27" s="337"/>
      <c r="H27" s="319"/>
      <c r="I27" s="295"/>
      <c r="J27" s="296"/>
      <c r="K27" s="355"/>
      <c r="L27" s="287"/>
      <c r="N27" s="284"/>
      <c r="O27" s="284"/>
      <c r="P27" s="284"/>
    </row>
    <row r="28" spans="1:16" ht="14.45" customHeight="1" x14ac:dyDescent="0.2">
      <c r="A28" s="836" t="s">
        <v>12</v>
      </c>
      <c r="B28" s="836"/>
      <c r="C28" s="307"/>
      <c r="D28" s="308"/>
      <c r="E28" s="307"/>
      <c r="F28" s="307"/>
      <c r="G28" s="342"/>
      <c r="H28" s="325"/>
      <c r="I28" s="298"/>
      <c r="J28" s="299"/>
      <c r="K28" s="357"/>
      <c r="L28" s="287"/>
      <c r="N28" s="284"/>
      <c r="O28" s="284"/>
      <c r="P28" s="284"/>
    </row>
    <row r="29" spans="1:16" ht="14.45" customHeight="1" x14ac:dyDescent="0.2">
      <c r="A29" s="837"/>
      <c r="B29" s="837"/>
      <c r="C29" s="257" t="s">
        <v>6</v>
      </c>
      <c r="D29" s="245">
        <f>INDEX([2]DS!B10:AK10,1,3*T!$A$4-2)</f>
        <v>1257</v>
      </c>
      <c r="E29" s="89">
        <f>INDEX([2]DS!C10:AL10,1,3*T!$A$4-2)</f>
        <v>255482.60000000003</v>
      </c>
      <c r="F29" s="96">
        <f>INDEX([2]DS!D10:AM10,1,3*T!$A$4-2)</f>
        <v>2718498.8811399993</v>
      </c>
      <c r="G29" s="334">
        <f>E29/$E$35</f>
        <v>0.48920973973358461</v>
      </c>
      <c r="H29" s="316">
        <f>(E29-I29)/I29</f>
        <v>4.2634621255034082E-2</v>
      </c>
      <c r="I29" s="300">
        <f>INDEX([4]DS!C10:AL10,1,3*T!$A$4-2)</f>
        <v>245035.6</v>
      </c>
      <c r="J29" s="301">
        <f>INDEX([4]DS!D10:AM10,1,3*T!$A$4-2)</f>
        <v>2606039.5611300003</v>
      </c>
      <c r="K29" s="352">
        <f>I29/$I$35</f>
        <v>0.54875679691634394</v>
      </c>
    </row>
    <row r="30" spans="1:16" ht="14.45" customHeight="1" x14ac:dyDescent="0.2">
      <c r="A30" s="837"/>
      <c r="B30" s="837"/>
      <c r="C30" s="257" t="s">
        <v>7</v>
      </c>
      <c r="D30" s="245">
        <f>INDEX([2]DS!B11:AK11,1,3*T!$A$4-2)</f>
        <v>4772</v>
      </c>
      <c r="E30" s="89">
        <f>INDEX([2]DS!C11:AL11,1,3*T!$A$4-2)</f>
        <v>46374.2</v>
      </c>
      <c r="F30" s="96">
        <f>INDEX([2]DS!D11:AM11,1,3*T!$A$4-2)</f>
        <v>493452.34702499973</v>
      </c>
      <c r="G30" s="334">
        <f t="shared" ref="G30:G34" si="8">E30/$E$35</f>
        <v>8.8799434138971484E-2</v>
      </c>
      <c r="H30" s="316">
        <f t="shared" ref="H30:H32" si="9">(E30-I30)/I30</f>
        <v>0.24655126068490935</v>
      </c>
      <c r="I30" s="300">
        <f>INDEX([4]DS!C11:AL11,1,3*T!$A$4-2)</f>
        <v>37202</v>
      </c>
      <c r="J30" s="301">
        <f>INDEX([4]DS!D11:AM11,1,3*T!$A$4-2)</f>
        <v>395655.94468899997</v>
      </c>
      <c r="K30" s="352">
        <f t="shared" ref="K30:K34" si="10">I30/$I$35</f>
        <v>8.3313813824937383E-2</v>
      </c>
    </row>
    <row r="31" spans="1:16" ht="14.45" customHeight="1" x14ac:dyDescent="0.2">
      <c r="A31" s="292"/>
      <c r="B31" s="292"/>
      <c r="C31" s="257" t="s">
        <v>8</v>
      </c>
      <c r="D31" s="245">
        <f>INDEX([2]DS!B12:AK12,1,3*T!$A$4-2)</f>
        <v>150899</v>
      </c>
      <c r="E31" s="89">
        <f>INDEX([2]DS!C12:AL12,1,3*T!$A$4-2)</f>
        <v>66363.734999999986</v>
      </c>
      <c r="F31" s="96">
        <f>INDEX([2]DS!D12:AM12,1,3*T!$A$4-2)</f>
        <v>706152.02</v>
      </c>
      <c r="G31" s="334">
        <f t="shared" si="8"/>
        <v>0.127076307846791</v>
      </c>
      <c r="H31" s="316">
        <f t="shared" si="9"/>
        <v>0.34230054654811404</v>
      </c>
      <c r="I31" s="300">
        <f>INDEX([4]DS!C12:AL12,1,3*T!$A$4-2)</f>
        <v>49440.294999999998</v>
      </c>
      <c r="J31" s="301">
        <f>INDEX([4]DS!D12:AM12,1,3*T!$A$4-2)</f>
        <v>525816.36499999999</v>
      </c>
      <c r="K31" s="352">
        <f t="shared" si="10"/>
        <v>0.11072145403687926</v>
      </c>
    </row>
    <row r="32" spans="1:16" ht="14.45" customHeight="1" x14ac:dyDescent="0.2">
      <c r="A32" s="292"/>
      <c r="B32" s="292"/>
      <c r="C32" s="257" t="s">
        <v>9</v>
      </c>
      <c r="D32" s="245">
        <f>INDEX([2]DS!B13:AK13,1,3*T!$A$4-2)</f>
        <v>2144822</v>
      </c>
      <c r="E32" s="89">
        <f>INDEX([2]DS!C13:AL13,1,3*T!$A$4-2)</f>
        <v>144234.19999999998</v>
      </c>
      <c r="F32" s="96">
        <f>INDEX([2]DS!D13:AM13,1,3*T!$A$4-2)</f>
        <v>1534744.9999999998</v>
      </c>
      <c r="G32" s="334">
        <f t="shared" si="8"/>
        <v>0.27618622733087017</v>
      </c>
      <c r="H32" s="316">
        <f t="shared" si="9"/>
        <v>0.35828200175724861</v>
      </c>
      <c r="I32" s="300">
        <f>INDEX([4]DS!C13:AL13,1,3*T!$A$4-2)</f>
        <v>106188.70000000003</v>
      </c>
      <c r="J32" s="301">
        <f>INDEX([4]DS!D13:AM13,1,3*T!$A$4-2)</f>
        <v>1129354.1000000001</v>
      </c>
      <c r="K32" s="352">
        <f t="shared" si="10"/>
        <v>0.23780940761550803</v>
      </c>
    </row>
    <row r="33" spans="1:11" ht="14.45" customHeight="1" x14ac:dyDescent="0.2">
      <c r="A33" s="292"/>
      <c r="B33" s="292"/>
      <c r="C33" s="258" t="s">
        <v>220</v>
      </c>
      <c r="D33" s="246">
        <f>SUM(D29:D32)</f>
        <v>2301750</v>
      </c>
      <c r="E33" s="244">
        <f>SUM(E29:E32)</f>
        <v>512454.73499999999</v>
      </c>
      <c r="F33" s="261">
        <f>SUM(F29:F32)</f>
        <v>5452848.2481649984</v>
      </c>
      <c r="G33" s="335">
        <f t="shared" si="8"/>
        <v>0.98127170905021721</v>
      </c>
      <c r="H33" s="317">
        <f>(E33-I33)/I33</f>
        <v>0.17034444018274567</v>
      </c>
      <c r="I33" s="302">
        <f>SUM(I29:I32)</f>
        <v>437866.59499999997</v>
      </c>
      <c r="J33" s="303">
        <f>SUM(J29:J32)</f>
        <v>4656865.9708190002</v>
      </c>
      <c r="K33" s="353">
        <f t="shared" si="10"/>
        <v>0.98060147239366846</v>
      </c>
    </row>
    <row r="34" spans="1:11" ht="14.45" customHeight="1" x14ac:dyDescent="0.2">
      <c r="A34" s="292"/>
      <c r="B34" s="292"/>
      <c r="C34" s="240" t="s">
        <v>119</v>
      </c>
      <c r="D34" s="249"/>
      <c r="E34" s="173">
        <f>INDEX([2]DS!C14:AL14,1,3*T!$A$4-2)</f>
        <v>9780.5748266840583</v>
      </c>
      <c r="F34" s="173">
        <f>INDEX([2]DS!D14:AM14,1,3*T!$A$4-2)</f>
        <v>104071.61195999999</v>
      </c>
      <c r="G34" s="334">
        <f t="shared" si="8"/>
        <v>1.8728290949782712E-2</v>
      </c>
      <c r="H34" s="326">
        <f>(E34-I34)/I34</f>
        <v>0.1291362228125863</v>
      </c>
      <c r="I34" s="298">
        <f>INDEX([4]DS!C14:AL14,1,3*T!$A$4-2)</f>
        <v>8661.9972232592481</v>
      </c>
      <c r="J34" s="299">
        <f>INDEX([4]DS!D14:AM14,1,3*T!$A$4-2)</f>
        <v>92123.40058999999</v>
      </c>
      <c r="K34" s="352">
        <f t="shared" si="10"/>
        <v>1.9398527606331529E-2</v>
      </c>
    </row>
    <row r="35" spans="1:11" ht="14.45" customHeight="1" x14ac:dyDescent="0.2">
      <c r="A35" s="292"/>
      <c r="B35" s="292"/>
      <c r="C35" s="259" t="s">
        <v>2</v>
      </c>
      <c r="D35" s="253">
        <f>D33</f>
        <v>2301750</v>
      </c>
      <c r="E35" s="252">
        <f>SUM(E33:E34)</f>
        <v>522235.30982668407</v>
      </c>
      <c r="F35" s="252">
        <f>SUM(F33:F34)</f>
        <v>5556919.8601249987</v>
      </c>
      <c r="G35" s="336">
        <f>SUM(G33:G34)</f>
        <v>0.99999999999999989</v>
      </c>
      <c r="H35" s="318">
        <f>(E35-I35)/I35</f>
        <v>0.16954506144048298</v>
      </c>
      <c r="I35" s="304">
        <f>SUM(I33:I34)</f>
        <v>446528.59222325921</v>
      </c>
      <c r="J35" s="305">
        <f>SUM(J33:J34)</f>
        <v>4748989.3714089999</v>
      </c>
      <c r="K35" s="354">
        <f>SUM(K33:K34)</f>
        <v>1</v>
      </c>
    </row>
    <row r="36" spans="1:11" ht="14.45" customHeight="1" x14ac:dyDescent="0.2">
      <c r="A36" s="95"/>
      <c r="B36" s="95"/>
      <c r="C36" s="95"/>
      <c r="D36" s="247"/>
      <c r="E36" s="95"/>
      <c r="F36" s="95"/>
      <c r="G36" s="343"/>
      <c r="H36" s="327"/>
      <c r="I36" s="288"/>
      <c r="J36" s="309"/>
      <c r="K36" s="358"/>
    </row>
    <row r="37" spans="1:11" ht="14.45" customHeight="1" x14ac:dyDescent="0.2">
      <c r="A37" s="822" t="s">
        <v>86</v>
      </c>
      <c r="B37" s="822"/>
      <c r="C37" s="241"/>
      <c r="D37" s="256"/>
      <c r="E37" s="241"/>
      <c r="F37" s="241"/>
      <c r="G37" s="344"/>
      <c r="H37" s="328"/>
      <c r="I37" s="289"/>
      <c r="J37" s="301"/>
      <c r="K37" s="359"/>
    </row>
    <row r="38" spans="1:11" ht="14.45" customHeight="1" x14ac:dyDescent="0.2">
      <c r="A38" s="95"/>
      <c r="B38" s="95"/>
      <c r="C38" s="257" t="s">
        <v>6</v>
      </c>
      <c r="D38" s="245">
        <f>INDEX([2]DS!B17:AK17,1,3*T!$A$4-2)</f>
        <v>134</v>
      </c>
      <c r="E38" s="89">
        <f>INDEX([2]DS!C17:AL17,1,3*T!$A$4-2)</f>
        <v>11359.318000000001</v>
      </c>
      <c r="F38" s="96">
        <f>INDEX([2]DS!D17:AM17,1,3*T!$A$4-2)</f>
        <v>120850.37</v>
      </c>
      <c r="G38" s="334">
        <f>E38/$E$44</f>
        <v>0.4363469483035341</v>
      </c>
      <c r="H38" s="316">
        <f>(E38-I38)/I38</f>
        <v>0.37841983315750144</v>
      </c>
      <c r="I38" s="300">
        <f>INDEX([4]DS!C17:AL17,1,3*T!$A$4-2)</f>
        <v>8240.8260000000009</v>
      </c>
      <c r="J38" s="301">
        <f>INDEX([4]DS!D17:AM17,1,3*T!$A$4-2)</f>
        <v>87607.1</v>
      </c>
      <c r="K38" s="352">
        <f>I38/$I$44</f>
        <v>0.39394492762130923</v>
      </c>
    </row>
    <row r="39" spans="1:11" ht="14.45" customHeight="1" x14ac:dyDescent="0.2">
      <c r="A39" s="95"/>
      <c r="B39" s="95"/>
      <c r="C39" s="257" t="s">
        <v>7</v>
      </c>
      <c r="D39" s="245">
        <f>INDEX([2]DS!B18:AK18,1,3*T!$A$4-2)</f>
        <v>349</v>
      </c>
      <c r="E39" s="89">
        <f>INDEX([2]DS!C18:AL18,1,3*T!$A$4-2)</f>
        <v>1611.3579999999999</v>
      </c>
      <c r="F39" s="96">
        <f>INDEX([2]DS!D18:AM18,1,3*T!$A$4-2)</f>
        <v>17143.237999999998</v>
      </c>
      <c r="G39" s="334">
        <f t="shared" ref="G39:G43" si="11">E39/$E$44</f>
        <v>6.1897302806778187E-2</v>
      </c>
      <c r="H39" s="316">
        <f t="shared" ref="H39:H41" si="12">(E39-I39)/I39</f>
        <v>-0.30913217811254484</v>
      </c>
      <c r="I39" s="300">
        <f>INDEX([4]DS!C18:AL18,1,3*T!$A$4-2)</f>
        <v>2332.3679999999999</v>
      </c>
      <c r="J39" s="301">
        <f>INDEX([4]DS!D18:AM18,1,3*T!$A$4-2)</f>
        <v>24795.171000000002</v>
      </c>
      <c r="K39" s="352">
        <f t="shared" ref="K39:K43" si="13">I39/$I$44</f>
        <v>0.11149665615391681</v>
      </c>
    </row>
    <row r="40" spans="1:11" ht="14.45" customHeight="1" x14ac:dyDescent="0.2">
      <c r="A40" s="292"/>
      <c r="B40" s="823"/>
      <c r="C40" s="257" t="s">
        <v>8</v>
      </c>
      <c r="D40" s="245">
        <f>INDEX([2]DS!B19:AK19,1,3*T!$A$4-2)</f>
        <v>7987</v>
      </c>
      <c r="E40" s="89">
        <f>INDEX([2]DS!C19:AL19,1,3*T!$A$4-2)</f>
        <v>4040.9435079999998</v>
      </c>
      <c r="F40" s="96">
        <f>INDEX([2]DS!D19:AM19,1,3*T!$A$4-2)</f>
        <v>42991.992288000001</v>
      </c>
      <c r="G40" s="334">
        <f t="shared" si="11"/>
        <v>0.15522528447418915</v>
      </c>
      <c r="H40" s="316">
        <f t="shared" si="12"/>
        <v>0.26413356053026749</v>
      </c>
      <c r="I40" s="300">
        <f>INDEX([4]DS!C19:AL19,1,3*T!$A$4-2)</f>
        <v>3196.6112080000003</v>
      </c>
      <c r="J40" s="301">
        <f>INDEX([4]DS!D19:AM19,1,3*T!$A$4-2)</f>
        <v>33982.714681999998</v>
      </c>
      <c r="K40" s="352">
        <f t="shared" si="13"/>
        <v>0.15281098896749257</v>
      </c>
    </row>
    <row r="41" spans="1:11" ht="14.45" customHeight="1" x14ac:dyDescent="0.2">
      <c r="A41" s="292"/>
      <c r="B41" s="823"/>
      <c r="C41" s="257" t="s">
        <v>9</v>
      </c>
      <c r="D41" s="245">
        <f>INDEX([2]DS!B20:AK20,1,3*T!$A$4-2)</f>
        <v>105652</v>
      </c>
      <c r="E41" s="89">
        <f>INDEX([2]DS!C20:AL20,1,3*T!$A$4-2)</f>
        <v>8508.5704920000007</v>
      </c>
      <c r="F41" s="96">
        <f>INDEX([2]DS!D20:AM20,1,3*T!$A$4-2)</f>
        <v>90523.511712000007</v>
      </c>
      <c r="G41" s="334">
        <f t="shared" si="11"/>
        <v>0.32684081637732998</v>
      </c>
      <c r="H41" s="316">
        <f t="shared" si="12"/>
        <v>0.26413356053026771</v>
      </c>
      <c r="I41" s="300">
        <f>INDEX([4]DS!C20:AL20,1,3*T!$A$4-2)</f>
        <v>6730.7527920000002</v>
      </c>
      <c r="J41" s="301">
        <f>INDEX([4]DS!D20:AM20,1,3*T!$A$4-2)</f>
        <v>71553.666318000003</v>
      </c>
      <c r="K41" s="352">
        <f t="shared" si="13"/>
        <v>0.32175729975142842</v>
      </c>
    </row>
    <row r="42" spans="1:11" ht="14.45" customHeight="1" x14ac:dyDescent="0.2">
      <c r="A42" s="292"/>
      <c r="B42" s="823"/>
      <c r="C42" s="258" t="s">
        <v>220</v>
      </c>
      <c r="D42" s="246">
        <f>SUM(D38:D41)</f>
        <v>114122</v>
      </c>
      <c r="E42" s="244">
        <f>SUM(E38:E41)</f>
        <v>25520.190000000002</v>
      </c>
      <c r="F42" s="261">
        <f>SUM(F38:F41)</f>
        <v>271509.11200000002</v>
      </c>
      <c r="G42" s="335">
        <f t="shared" si="11"/>
        <v>0.98031035196183147</v>
      </c>
      <c r="H42" s="317">
        <f>(E42-I42)/I42</f>
        <v>0.24485343276997637</v>
      </c>
      <c r="I42" s="302">
        <f>SUM(I38:I41)</f>
        <v>20500.558000000001</v>
      </c>
      <c r="J42" s="303">
        <f>SUM(J38:J41)</f>
        <v>217938.652</v>
      </c>
      <c r="K42" s="353">
        <f t="shared" si="13"/>
        <v>0.98000987249414706</v>
      </c>
    </row>
    <row r="43" spans="1:11" ht="14.45" customHeight="1" x14ac:dyDescent="0.2">
      <c r="A43" s="292"/>
      <c r="B43" s="823"/>
      <c r="C43" s="240" t="s">
        <v>119</v>
      </c>
      <c r="D43" s="249"/>
      <c r="E43" s="173">
        <f>INDEX([2]DS!C21:AL21,1,3*T!$A$4-2)</f>
        <v>512.57600000000002</v>
      </c>
      <c r="F43" s="173">
        <f>INDEX([2]DS!D21:AM21,1,3*T!$A$4-2)</f>
        <v>5453.2129999999997</v>
      </c>
      <c r="G43" s="334">
        <f t="shared" si="11"/>
        <v>1.9689648038168514E-2</v>
      </c>
      <c r="H43" s="326">
        <f>(E43-I43)/I43</f>
        <v>0.22576572095425765</v>
      </c>
      <c r="I43" s="298">
        <f>INDEX([4]DS!C21:AL21,1,3*T!$A$4-2)</f>
        <v>418.16800000000001</v>
      </c>
      <c r="J43" s="299">
        <f>INDEX([4]DS!D21:AM21,1,3*T!$A$4-2)</f>
        <v>4445.4720000000007</v>
      </c>
      <c r="K43" s="352">
        <f t="shared" si="13"/>
        <v>1.9990127505852887E-2</v>
      </c>
    </row>
    <row r="44" spans="1:11" ht="14.45" customHeight="1" x14ac:dyDescent="0.2">
      <c r="A44" s="292"/>
      <c r="B44" s="823"/>
      <c r="C44" s="259" t="s">
        <v>2</v>
      </c>
      <c r="D44" s="253">
        <f>D42</f>
        <v>114122</v>
      </c>
      <c r="E44" s="252">
        <f>SUM(E42:E43)</f>
        <v>26032.766000000003</v>
      </c>
      <c r="F44" s="252">
        <f>SUM(F42:F43)</f>
        <v>276962.32500000001</v>
      </c>
      <c r="G44" s="336">
        <f>SUM(G42:G43)</f>
        <v>1</v>
      </c>
      <c r="H44" s="318">
        <f>(E44-I44)/I44</f>
        <v>0.24447186697698514</v>
      </c>
      <c r="I44" s="304">
        <f>SUM(I42:I43)</f>
        <v>20918.726000000002</v>
      </c>
      <c r="J44" s="305">
        <f>SUM(J42:J43)</f>
        <v>222384.12400000001</v>
      </c>
      <c r="K44" s="354">
        <f>SUM(K42:K43)</f>
        <v>1</v>
      </c>
    </row>
    <row r="45" spans="1:11" ht="14.45" customHeight="1" x14ac:dyDescent="0.2">
      <c r="A45" s="292"/>
      <c r="B45" s="823"/>
      <c r="C45" s="292"/>
      <c r="D45" s="310"/>
      <c r="E45" s="306"/>
      <c r="F45" s="306"/>
      <c r="G45" s="345"/>
      <c r="H45" s="329"/>
      <c r="I45" s="311"/>
      <c r="J45" s="309"/>
      <c r="K45" s="360"/>
    </row>
    <row r="46" spans="1:11" ht="14.45" customHeight="1" x14ac:dyDescent="0.2">
      <c r="A46" s="822" t="s">
        <v>228</v>
      </c>
      <c r="B46" s="822"/>
      <c r="C46" s="241"/>
      <c r="D46" s="239"/>
      <c r="E46" s="824"/>
      <c r="F46" s="822"/>
      <c r="G46" s="346"/>
      <c r="H46" s="328"/>
      <c r="I46" s="290"/>
      <c r="J46" s="312"/>
      <c r="K46" s="361"/>
    </row>
    <row r="47" spans="1:11" ht="14.45" customHeight="1" x14ac:dyDescent="0.2">
      <c r="A47" s="825" t="s">
        <v>222</v>
      </c>
      <c r="B47" s="825"/>
      <c r="C47" s="257" t="s">
        <v>6</v>
      </c>
      <c r="D47" s="249">
        <f>INDEX([2]DS!B26:AK26,1,3*T!$A$4-2)</f>
        <v>11</v>
      </c>
      <c r="E47" s="248">
        <f>INDEX([2]DS!C26:AL26,1,3*T!$A$4-2)</f>
        <v>1594.221</v>
      </c>
      <c r="F47" s="173">
        <f>INDEX([2]DS!D26:AM26,1,3*T!$A$4-2)</f>
        <v>16950.120999999999</v>
      </c>
      <c r="G47" s="347">
        <f>E47/$E$51</f>
        <v>0.49793062607814087</v>
      </c>
      <c r="H47" s="316">
        <f t="shared" ref="H47:H51" si="14">(E47-I47)/I47</f>
        <v>-0.65167595147124657</v>
      </c>
      <c r="I47" s="300">
        <f>INDEX([4]DS!C26:AL26,1,3*T!$A$4-2)</f>
        <v>4576.8329999999996</v>
      </c>
      <c r="J47" s="301">
        <f>INDEX([4]DS!D26:AM26,1,3*T!$A$4-2)</f>
        <v>48618.072999999997</v>
      </c>
      <c r="K47" s="362">
        <f>I47/$I$51</f>
        <v>0.46130026310293742</v>
      </c>
    </row>
    <row r="48" spans="1:11" ht="14.45" customHeight="1" x14ac:dyDescent="0.2">
      <c r="A48" s="825" t="s">
        <v>223</v>
      </c>
      <c r="B48" s="825"/>
      <c r="C48" s="257" t="s">
        <v>220</v>
      </c>
      <c r="D48" s="249">
        <f>INDEX([2]DS!B32:AK32,1,3*T!$A$4-2)</f>
        <v>159</v>
      </c>
      <c r="E48" s="248">
        <f>INDEX([2]DS!C32:AL32,1,3*T!$A$4-2)</f>
        <v>935</v>
      </c>
      <c r="F48" s="173">
        <f>INDEX([2]DS!D32:AM32,1,3*T!$A$4-2)</f>
        <v>9783</v>
      </c>
      <c r="G48" s="347">
        <f t="shared" ref="G48:G50" si="15">E48/$E$51</f>
        <v>0.29203299629289897</v>
      </c>
      <c r="H48" s="316">
        <f t="shared" si="14"/>
        <v>5.5304740406320545E-2</v>
      </c>
      <c r="I48" s="300">
        <f>INDEX([4]DS!C32:AL32,1,3*T!$A$4-2)</f>
        <v>886</v>
      </c>
      <c r="J48" s="301">
        <f>INDEX([4]DS!D32:AM32,1,3*T!$A$4-2)</f>
        <v>9270</v>
      </c>
      <c r="K48" s="362">
        <f>I48/$I$51</f>
        <v>8.9300184889683026E-2</v>
      </c>
    </row>
    <row r="49" spans="1:11" ht="14.45" customHeight="1" x14ac:dyDescent="0.2">
      <c r="A49" s="330"/>
      <c r="B49" s="330"/>
      <c r="C49" s="258" t="s">
        <v>220</v>
      </c>
      <c r="D49" s="246">
        <f>SUM(D47:D48)</f>
        <v>170</v>
      </c>
      <c r="E49" s="244">
        <f>SUM(E47:E48)</f>
        <v>2529.221</v>
      </c>
      <c r="F49" s="261">
        <f>SUM(F47:F48)</f>
        <v>26733.120999999999</v>
      </c>
      <c r="G49" s="335">
        <f t="shared" si="15"/>
        <v>0.78996362237103979</v>
      </c>
      <c r="H49" s="317">
        <f t="shared" si="14"/>
        <v>-0.53701293815864404</v>
      </c>
      <c r="I49" s="302">
        <f>SUM(I47:I48)</f>
        <v>5462.8329999999996</v>
      </c>
      <c r="J49" s="303">
        <f>SUM(J47:J48)</f>
        <v>57888.072999999997</v>
      </c>
      <c r="K49" s="353">
        <f t="shared" ref="K49:K50" si="16">I49/$I$51</f>
        <v>0.55060044799262042</v>
      </c>
    </row>
    <row r="50" spans="1:11" ht="14.45" customHeight="1" x14ac:dyDescent="0.2">
      <c r="A50" s="825" t="s">
        <v>227</v>
      </c>
      <c r="B50" s="825"/>
      <c r="C50" s="257" t="s">
        <v>179</v>
      </c>
      <c r="D50" s="249"/>
      <c r="E50" s="248">
        <f>INDEX([2]DS!C34:AL34,1,3*T!$A$4-2)</f>
        <v>672.47199999999793</v>
      </c>
      <c r="F50" s="173">
        <f>INDEX([2]DS!D34:AM34,1,3*T!$A$4-2)</f>
        <v>7188.697199999966</v>
      </c>
      <c r="G50" s="347">
        <f t="shared" si="15"/>
        <v>0.21003637762896016</v>
      </c>
      <c r="H50" s="316">
        <f t="shared" si="14"/>
        <v>-0.8491795587068065</v>
      </c>
      <c r="I50" s="298">
        <f>INDEX([4]DS!C34:AL34,1,3*T!$A$4-2)</f>
        <v>4458.759</v>
      </c>
      <c r="J50" s="299">
        <f>INDEX([4]DS!D34:AM34,1,3*T!$A$4-2)</f>
        <v>48410.802110000048</v>
      </c>
      <c r="K50" s="362">
        <f t="shared" si="16"/>
        <v>0.44939955200737941</v>
      </c>
    </row>
    <row r="51" spans="1:11" ht="14.45" customHeight="1" x14ac:dyDescent="0.2">
      <c r="A51" s="313"/>
      <c r="B51" s="313"/>
      <c r="C51" s="259" t="s">
        <v>2</v>
      </c>
      <c r="D51" s="253">
        <f>D49</f>
        <v>170</v>
      </c>
      <c r="E51" s="251">
        <f>SUM(E49:E50)</f>
        <v>3201.6929999999979</v>
      </c>
      <c r="F51" s="252">
        <f>SUM(F49:F50)</f>
        <v>33921.818199999965</v>
      </c>
      <c r="G51" s="336">
        <f>SUM(G49:G50)</f>
        <v>1</v>
      </c>
      <c r="H51" s="318">
        <f t="shared" si="14"/>
        <v>-0.67730047758464595</v>
      </c>
      <c r="I51" s="291">
        <f>SUM(I49:I50)</f>
        <v>9921.5920000000006</v>
      </c>
      <c r="J51" s="262">
        <f>SUM(J49:J50)</f>
        <v>106298.87511000005</v>
      </c>
      <c r="K51" s="354">
        <f>SUM(K49:K50)</f>
        <v>0.99999999999999978</v>
      </c>
    </row>
    <row r="52" spans="1:11" ht="14.45" customHeight="1" x14ac:dyDescent="0.2">
      <c r="A52" s="313"/>
      <c r="B52" s="313"/>
      <c r="C52" s="240"/>
      <c r="D52" s="249"/>
      <c r="E52" s="248"/>
      <c r="F52" s="173"/>
      <c r="G52" s="348"/>
      <c r="H52" s="267"/>
      <c r="I52" s="289"/>
      <c r="J52" s="301"/>
      <c r="K52" s="363"/>
    </row>
    <row r="53" spans="1:11" ht="14.45" customHeight="1" x14ac:dyDescent="0.2">
      <c r="A53" s="313"/>
      <c r="B53" s="313"/>
      <c r="C53" s="240"/>
      <c r="D53" s="173"/>
      <c r="E53" s="173"/>
      <c r="F53" s="173"/>
      <c r="G53" s="173"/>
      <c r="H53" s="95"/>
      <c r="I53" s="289"/>
      <c r="J53" s="301"/>
      <c r="K53" s="314"/>
    </row>
    <row r="54" spans="1:11" ht="15.75" customHeight="1" x14ac:dyDescent="0.2">
      <c r="A54" s="62"/>
      <c r="B54" s="243"/>
      <c r="C54" s="243"/>
      <c r="D54" s="243"/>
      <c r="E54" s="243"/>
      <c r="F54" s="243"/>
      <c r="G54" s="243"/>
      <c r="H54" s="243"/>
      <c r="I54" s="87"/>
      <c r="J54" s="243"/>
    </row>
    <row r="55" spans="1:11" ht="15" customHeight="1" x14ac:dyDescent="0.2">
      <c r="A55" s="799" t="s">
        <v>316</v>
      </c>
      <c r="B55" s="799"/>
      <c r="C55" s="799"/>
      <c r="D55" s="799"/>
      <c r="E55" s="799"/>
      <c r="F55" s="799"/>
      <c r="G55" s="799"/>
      <c r="H55" s="799"/>
      <c r="I55" s="799"/>
      <c r="J55" s="799"/>
      <c r="K55" s="799"/>
    </row>
    <row r="56" spans="1:11" ht="15" customHeight="1" x14ac:dyDescent="0.2">
      <c r="A56" s="799"/>
      <c r="B56" s="799"/>
      <c r="C56" s="799"/>
      <c r="D56" s="799"/>
      <c r="E56" s="799"/>
      <c r="F56" s="799"/>
      <c r="G56" s="799"/>
      <c r="H56" s="799"/>
      <c r="I56" s="799"/>
      <c r="J56" s="799"/>
      <c r="K56" s="799"/>
    </row>
    <row r="57" spans="1:11" ht="15" customHeight="1" x14ac:dyDescent="0.2">
      <c r="A57" s="799"/>
      <c r="B57" s="799"/>
      <c r="C57" s="799"/>
      <c r="D57" s="799"/>
      <c r="E57" s="799"/>
      <c r="F57" s="799"/>
      <c r="G57" s="799"/>
      <c r="H57" s="799"/>
      <c r="I57" s="799"/>
      <c r="J57" s="799"/>
      <c r="K57" s="799"/>
    </row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1">
    <mergeCell ref="A28:B28"/>
    <mergeCell ref="A29:B30"/>
    <mergeCell ref="D8:D9"/>
    <mergeCell ref="E8:F8"/>
    <mergeCell ref="I8:J8"/>
    <mergeCell ref="J1:K1"/>
    <mergeCell ref="A55:K57"/>
    <mergeCell ref="A37:B37"/>
    <mergeCell ref="B40:B45"/>
    <mergeCell ref="A46:B46"/>
    <mergeCell ref="E46:F46"/>
    <mergeCell ref="A47:B47"/>
    <mergeCell ref="A48:B48"/>
    <mergeCell ref="A50:B50"/>
    <mergeCell ref="B8:C9"/>
    <mergeCell ref="D4:E4"/>
    <mergeCell ref="A3:K3"/>
    <mergeCell ref="A19:C19"/>
    <mergeCell ref="H6:H9"/>
    <mergeCell ref="A10:B10"/>
    <mergeCell ref="B22:B2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Q121"/>
  <sheetViews>
    <sheetView view="pageBreakPreview" topLeftCell="A7" zoomScaleNormal="100" zoomScaleSheetLayoutView="100" workbookViewId="0">
      <selection activeCell="C1" sqref="C1"/>
    </sheetView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1" t="s">
        <v>264</v>
      </c>
      <c r="K1" s="821"/>
    </row>
    <row r="2" spans="1:17" ht="6.75" customHeight="1" x14ac:dyDescent="0.2"/>
    <row r="3" spans="1:17" ht="30" customHeight="1" x14ac:dyDescent="0.2">
      <c r="A3" s="829" t="s">
        <v>299</v>
      </c>
      <c r="B3" s="829"/>
      <c r="C3" s="829"/>
      <c r="D3" s="829"/>
      <c r="E3" s="829"/>
      <c r="F3" s="829"/>
      <c r="G3" s="829"/>
      <c r="H3" s="829"/>
      <c r="I3" s="829"/>
      <c r="J3" s="829"/>
      <c r="K3" s="829"/>
    </row>
    <row r="4" spans="1:17" ht="16.5" customHeight="1" x14ac:dyDescent="0.2">
      <c r="B4" s="242"/>
      <c r="C4" s="242"/>
      <c r="D4" s="828" t="str">
        <f>T!G19</f>
        <v>Duben</v>
      </c>
      <c r="E4" s="828"/>
      <c r="F4" s="223">
        <f>T!I21</f>
        <v>2015</v>
      </c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1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D4</f>
        <v>Duben</v>
      </c>
      <c r="F7" s="265">
        <f>F4</f>
        <v>2015</v>
      </c>
      <c r="G7" s="265"/>
      <c r="H7" s="832"/>
      <c r="I7" s="280" t="str">
        <f>D4</f>
        <v>Duben</v>
      </c>
      <c r="J7" s="260">
        <f>F4-1</f>
        <v>2014</v>
      </c>
      <c r="K7" s="274"/>
    </row>
    <row r="8" spans="1:17" ht="14.1" customHeight="1" x14ac:dyDescent="0.2">
      <c r="A8" s="278"/>
      <c r="B8" s="372"/>
      <c r="C8" s="844" t="s">
        <v>95</v>
      </c>
      <c r="D8" s="838"/>
      <c r="E8" s="840" t="s">
        <v>71</v>
      </c>
      <c r="F8" s="793"/>
      <c r="G8" s="331" t="s">
        <v>224</v>
      </c>
      <c r="H8" s="832"/>
      <c r="I8" s="841" t="s">
        <v>71</v>
      </c>
      <c r="J8" s="793"/>
      <c r="K8" s="349" t="s">
        <v>224</v>
      </c>
    </row>
    <row r="9" spans="1:17" ht="14.1" customHeight="1" x14ac:dyDescent="0.2">
      <c r="A9" s="250"/>
      <c r="B9" s="373"/>
      <c r="C9" s="851"/>
      <c r="D9" s="839"/>
      <c r="E9" s="266" t="s">
        <v>15</v>
      </c>
      <c r="F9" s="266" t="s">
        <v>1</v>
      </c>
      <c r="G9" s="332" t="s">
        <v>127</v>
      </c>
      <c r="H9" s="833"/>
      <c r="I9" s="281" t="s">
        <v>15</v>
      </c>
      <c r="J9" s="266" t="s">
        <v>1</v>
      </c>
      <c r="K9" s="350" t="s">
        <v>127</v>
      </c>
    </row>
    <row r="10" spans="1:17" ht="14.45" customHeight="1" x14ac:dyDescent="0.2">
      <c r="A10" s="834" t="s">
        <v>4</v>
      </c>
      <c r="B10" s="834"/>
      <c r="C10" s="365"/>
      <c r="D10" s="254"/>
      <c r="E10" s="365"/>
      <c r="F10" s="365"/>
      <c r="G10" s="333"/>
      <c r="H10" s="315"/>
      <c r="I10" s="282"/>
      <c r="J10" s="365"/>
      <c r="K10" s="351"/>
    </row>
    <row r="11" spans="1:17" ht="14.45" customHeight="1" x14ac:dyDescent="0.2">
      <c r="A11" s="95"/>
      <c r="B11" s="95"/>
      <c r="C11" s="845" t="s">
        <v>72</v>
      </c>
      <c r="D11" s="846"/>
      <c r="E11" s="96">
        <f>'5'!E26</f>
        <v>71338.909813935432</v>
      </c>
      <c r="F11" s="96">
        <f>'5'!F26</f>
        <v>758304.65799995186</v>
      </c>
      <c r="G11" s="334">
        <f>E11/$E$15</f>
        <v>0.11454385955193196</v>
      </c>
      <c r="H11" s="316">
        <f>(E11-I11)/I11</f>
        <v>0.25997274775314605</v>
      </c>
      <c r="I11" s="283">
        <f>'5'!I26</f>
        <v>56619.406999993429</v>
      </c>
      <c r="J11" s="96">
        <f>'5'!J26</f>
        <v>601511.19999993022</v>
      </c>
      <c r="K11" s="352">
        <f>I11/$I$15</f>
        <v>0.10603117179494714</v>
      </c>
    </row>
    <row r="12" spans="1:17" ht="14.45" customHeight="1" x14ac:dyDescent="0.2">
      <c r="A12" s="95"/>
      <c r="B12" s="95"/>
      <c r="C12" s="845" t="s">
        <v>73</v>
      </c>
      <c r="D12" s="846"/>
      <c r="E12" s="96">
        <f>'5'!E35</f>
        <v>522235.30982668407</v>
      </c>
      <c r="F12" s="96">
        <f>'5'!F35</f>
        <v>5556919.8601249987</v>
      </c>
      <c r="G12" s="334">
        <f>E12/$E$15</f>
        <v>0.83851643006412024</v>
      </c>
      <c r="H12" s="316">
        <f t="shared" ref="H12:H13" si="0">(E12-I12)/I12</f>
        <v>0.16954506144048298</v>
      </c>
      <c r="I12" s="283">
        <f>'5'!I35</f>
        <v>446528.59222325921</v>
      </c>
      <c r="J12" s="96">
        <f>'5'!J35</f>
        <v>4748989.3714089999</v>
      </c>
      <c r="K12" s="352">
        <f>I12/$I$15</f>
        <v>0.83621416016218242</v>
      </c>
      <c r="L12" s="284"/>
      <c r="M12" s="284"/>
      <c r="O12" s="284"/>
      <c r="P12" s="284"/>
      <c r="Q12" s="284"/>
    </row>
    <row r="13" spans="1:17" ht="14.45" customHeight="1" x14ac:dyDescent="0.2">
      <c r="A13" s="292"/>
      <c r="B13" s="268"/>
      <c r="C13" s="845" t="s">
        <v>74</v>
      </c>
      <c r="D13" s="846"/>
      <c r="E13" s="96">
        <f>'5'!E44</f>
        <v>26032.766000000003</v>
      </c>
      <c r="F13" s="96">
        <f>'5'!F44</f>
        <v>276962.32500000001</v>
      </c>
      <c r="G13" s="334">
        <f>E13/$E$15</f>
        <v>4.1798977587821549E-2</v>
      </c>
      <c r="H13" s="316">
        <f t="shared" si="0"/>
        <v>0.24447186697698514</v>
      </c>
      <c r="I13" s="283">
        <f>'5'!I44</f>
        <v>20918.726000000002</v>
      </c>
      <c r="J13" s="96">
        <f>'5'!J44</f>
        <v>222384.12400000001</v>
      </c>
      <c r="K13" s="352">
        <f>I13/$I$15</f>
        <v>3.9174501248974314E-2</v>
      </c>
      <c r="L13" s="284"/>
      <c r="M13" s="284"/>
      <c r="O13" s="284"/>
      <c r="P13" s="284"/>
      <c r="Q13" s="284"/>
    </row>
    <row r="14" spans="1:17" ht="14.45" customHeight="1" x14ac:dyDescent="0.2">
      <c r="A14" s="292"/>
      <c r="B14" s="268"/>
      <c r="C14" s="845" t="s">
        <v>180</v>
      </c>
      <c r="D14" s="846"/>
      <c r="E14" s="96">
        <f>'5'!E51</f>
        <v>3201.6929999999979</v>
      </c>
      <c r="F14" s="96">
        <f>'5'!F51</f>
        <v>33921.818199999965</v>
      </c>
      <c r="G14" s="334">
        <f>E14/$E$15</f>
        <v>5.140732796126429E-3</v>
      </c>
      <c r="H14" s="316">
        <f>(E14-I14)/I14</f>
        <v>-0.67730047758464595</v>
      </c>
      <c r="I14" s="283">
        <f>'5'!I51</f>
        <v>9921.5920000000006</v>
      </c>
      <c r="J14" s="96">
        <f>'5'!J51</f>
        <v>106298.87511000005</v>
      </c>
      <c r="K14" s="352">
        <f>I14/$I$15</f>
        <v>1.8580166793896222E-2</v>
      </c>
      <c r="L14" s="284"/>
      <c r="M14" s="284"/>
      <c r="O14" s="284"/>
      <c r="P14" s="284"/>
      <c r="Q14" s="284"/>
    </row>
    <row r="15" spans="1:17" ht="14.45" customHeight="1" x14ac:dyDescent="0.2">
      <c r="A15" s="292"/>
      <c r="B15" s="268"/>
      <c r="C15" s="842" t="s">
        <v>5</v>
      </c>
      <c r="D15" s="843"/>
      <c r="E15" s="251">
        <f>SUM(E11:E14)</f>
        <v>622808.67864061939</v>
      </c>
      <c r="F15" s="252">
        <f>SUM(F11:F14)</f>
        <v>6626108.6613249509</v>
      </c>
      <c r="G15" s="336">
        <f>SUM(G11:G14)</f>
        <v>1.0000000000000002</v>
      </c>
      <c r="H15" s="318">
        <f>(E15-I15)/I15</f>
        <v>0.16633390385623792</v>
      </c>
      <c r="I15" s="286">
        <f>SUM(I11:I14)</f>
        <v>533988.31722325261</v>
      </c>
      <c r="J15" s="252">
        <f>SUM(J11:J14)</f>
        <v>5679183.5705189304</v>
      </c>
      <c r="K15" s="354">
        <f>SUM(K11:K14)</f>
        <v>1.0000000000000002</v>
      </c>
      <c r="L15" s="284"/>
      <c r="M15" s="284"/>
      <c r="O15" s="284"/>
      <c r="P15" s="284"/>
      <c r="Q15" s="284"/>
    </row>
    <row r="16" spans="1:17" ht="14.45" customHeight="1" x14ac:dyDescent="0.2">
      <c r="A16" s="292"/>
      <c r="B16" s="268"/>
      <c r="C16" s="257"/>
      <c r="D16" s="376"/>
      <c r="E16" s="377"/>
      <c r="F16" s="377"/>
      <c r="G16" s="378"/>
      <c r="H16" s="379"/>
      <c r="I16" s="380"/>
      <c r="J16" s="377"/>
      <c r="K16" s="381"/>
      <c r="L16" s="284"/>
      <c r="M16" s="284"/>
      <c r="O16" s="284"/>
      <c r="P16" s="284"/>
      <c r="Q16" s="284"/>
    </row>
    <row r="17" spans="1:16" ht="14.45" customHeight="1" x14ac:dyDescent="0.2">
      <c r="A17" s="830"/>
      <c r="B17" s="830"/>
      <c r="C17" s="830"/>
      <c r="D17" s="297"/>
      <c r="E17" s="174"/>
      <c r="F17" s="174"/>
      <c r="G17" s="338"/>
      <c r="H17" s="320"/>
      <c r="I17" s="298"/>
      <c r="J17" s="299"/>
      <c r="K17" s="356"/>
      <c r="L17" s="284"/>
      <c r="M17" s="284"/>
    </row>
    <row r="18" spans="1:16" ht="6" customHeight="1" x14ac:dyDescent="0.2">
      <c r="A18" s="95"/>
      <c r="B18" s="95"/>
      <c r="C18" s="257"/>
      <c r="D18" s="96"/>
      <c r="E18" s="96"/>
      <c r="F18" s="96"/>
      <c r="G18" s="382"/>
      <c r="H18" s="383"/>
      <c r="I18" s="301"/>
      <c r="J18" s="301"/>
      <c r="K18" s="384"/>
      <c r="L18" s="284"/>
      <c r="M18" s="284"/>
      <c r="N18" s="284"/>
    </row>
    <row r="19" spans="1:16" ht="14.45" customHeight="1" x14ac:dyDescent="0.2">
      <c r="A19" s="837" t="s">
        <v>245</v>
      </c>
      <c r="B19" s="837"/>
      <c r="C19" s="837"/>
      <c r="D19" s="837"/>
      <c r="E19" s="837"/>
      <c r="F19" s="837"/>
      <c r="G19" s="837"/>
      <c r="H19" s="837"/>
      <c r="I19" s="837"/>
      <c r="J19" s="837"/>
      <c r="K19" s="837"/>
      <c r="L19" s="287"/>
      <c r="M19" s="287"/>
      <c r="N19" s="284"/>
    </row>
    <row r="20" spans="1:16" ht="14.45" customHeight="1" x14ac:dyDescent="0.2">
      <c r="A20" s="174"/>
      <c r="B20" s="848"/>
      <c r="C20" s="367"/>
      <c r="D20" s="173"/>
      <c r="E20" s="853" t="str">
        <f>E7</f>
        <v>Duben</v>
      </c>
      <c r="F20" s="853"/>
      <c r="G20" s="387"/>
      <c r="H20" s="385"/>
      <c r="I20" s="299"/>
      <c r="J20" s="299"/>
      <c r="K20" s="388"/>
      <c r="L20" s="284"/>
      <c r="M20" s="284"/>
      <c r="N20" s="284"/>
      <c r="O20" s="284"/>
      <c r="P20" s="284"/>
    </row>
    <row r="21" spans="1:16" ht="14.45" customHeight="1" x14ac:dyDescent="0.2">
      <c r="A21" s="174"/>
      <c r="B21" s="848"/>
      <c r="C21" s="367"/>
      <c r="D21" s="173"/>
      <c r="E21" s="483">
        <f>F7</f>
        <v>2015</v>
      </c>
      <c r="F21" s="484">
        <f>J7</f>
        <v>2014</v>
      </c>
      <c r="H21" s="385"/>
      <c r="I21" s="299"/>
      <c r="J21" s="299"/>
      <c r="K21" s="388"/>
      <c r="L21" s="284"/>
      <c r="M21" s="284"/>
      <c r="N21" s="284"/>
      <c r="O21" s="284"/>
      <c r="P21" s="284"/>
    </row>
    <row r="22" spans="1:16" ht="14.45" customHeight="1" x14ac:dyDescent="0.2">
      <c r="A22" s="174"/>
      <c r="B22" s="848"/>
      <c r="C22" s="367"/>
      <c r="D22" s="173" t="str">
        <f>C11</f>
        <v>PP Distribuce</v>
      </c>
      <c r="E22" s="173">
        <f>E11</f>
        <v>71338.909813935432</v>
      </c>
      <c r="F22" s="482">
        <f>I11</f>
        <v>56619.406999993429</v>
      </c>
      <c r="H22" s="385"/>
      <c r="I22" s="299"/>
      <c r="J22" s="299"/>
      <c r="K22" s="388"/>
      <c r="L22" s="284"/>
      <c r="M22" s="284"/>
      <c r="N22" s="284"/>
      <c r="O22" s="284"/>
      <c r="P22" s="284"/>
    </row>
    <row r="23" spans="1:16" ht="14.45" customHeight="1" x14ac:dyDescent="0.2">
      <c r="A23" s="174"/>
      <c r="B23" s="848"/>
      <c r="C23" s="367"/>
      <c r="D23" s="173" t="str">
        <f>C12</f>
        <v>RWE GasNet</v>
      </c>
      <c r="E23" s="173">
        <f>E12</f>
        <v>522235.30982668407</v>
      </c>
      <c r="F23" s="482">
        <f>I12</f>
        <v>446528.59222325921</v>
      </c>
      <c r="H23" s="385"/>
      <c r="I23" s="299"/>
      <c r="J23" s="299"/>
      <c r="K23" s="388"/>
      <c r="L23" s="284"/>
      <c r="M23" s="284"/>
      <c r="N23" s="284"/>
      <c r="O23" s="284"/>
      <c r="P23" s="284"/>
    </row>
    <row r="24" spans="1:16" ht="14.45" customHeight="1" x14ac:dyDescent="0.2">
      <c r="A24" s="174"/>
      <c r="B24" s="848"/>
      <c r="C24" s="367"/>
      <c r="D24" s="173" t="str">
        <f>C13</f>
        <v>E.ON Distribuce</v>
      </c>
      <c r="E24" s="173">
        <f>E13</f>
        <v>26032.766000000003</v>
      </c>
      <c r="F24" s="482">
        <f>I13</f>
        <v>20918.726000000002</v>
      </c>
      <c r="H24" s="385"/>
      <c r="I24" s="299"/>
      <c r="J24" s="299"/>
      <c r="K24" s="388"/>
      <c r="L24" s="284"/>
      <c r="M24" s="284"/>
      <c r="N24" s="284"/>
      <c r="O24" s="284"/>
      <c r="P24" s="284"/>
    </row>
    <row r="25" spans="1:16" ht="14.45" customHeight="1" x14ac:dyDescent="0.2">
      <c r="A25" s="174"/>
      <c r="B25" s="848"/>
      <c r="C25" s="174"/>
      <c r="D25" s="173" t="str">
        <f>C14</f>
        <v>Ostatní společnosti</v>
      </c>
      <c r="E25" s="173">
        <f>E14</f>
        <v>3201.6929999999979</v>
      </c>
      <c r="F25" s="482">
        <f>I14</f>
        <v>9921.5920000000006</v>
      </c>
      <c r="H25" s="386"/>
      <c r="I25" s="299"/>
      <c r="J25" s="299"/>
      <c r="K25" s="174"/>
      <c r="L25" s="287"/>
      <c r="N25" s="284"/>
      <c r="O25" s="284"/>
      <c r="P25" s="284"/>
    </row>
    <row r="26" spans="1:16" ht="14.45" customHeight="1" x14ac:dyDescent="0.2">
      <c r="A26" s="852"/>
      <c r="B26" s="852"/>
      <c r="C26" s="174"/>
      <c r="D26" s="174"/>
      <c r="E26" s="174"/>
      <c r="F26" s="174"/>
      <c r="G26" s="174"/>
      <c r="H26" s="386"/>
      <c r="I26" s="299"/>
      <c r="J26" s="299"/>
      <c r="K26" s="174"/>
      <c r="L26" s="287"/>
      <c r="N26" s="284"/>
      <c r="O26" s="284"/>
      <c r="P26" s="284"/>
    </row>
    <row r="27" spans="1:16" ht="14.45" customHeight="1" x14ac:dyDescent="0.2">
      <c r="A27" s="847"/>
      <c r="B27" s="847"/>
      <c r="C27" s="367"/>
      <c r="D27" s="173"/>
      <c r="E27" s="173"/>
      <c r="F27" s="173"/>
      <c r="G27" s="388"/>
      <c r="H27" s="389"/>
      <c r="I27" s="299"/>
      <c r="J27" s="299"/>
      <c r="K27" s="388"/>
    </row>
    <row r="28" spans="1:16" ht="14.45" customHeight="1" x14ac:dyDescent="0.2">
      <c r="A28" s="847"/>
      <c r="B28" s="847"/>
      <c r="C28" s="367"/>
      <c r="D28" s="173"/>
      <c r="E28" s="173"/>
      <c r="F28" s="173"/>
      <c r="G28" s="388"/>
      <c r="H28" s="389"/>
      <c r="I28" s="299"/>
      <c r="J28" s="299"/>
      <c r="K28" s="388"/>
    </row>
    <row r="29" spans="1:16" ht="14.45" customHeight="1" x14ac:dyDescent="0.2">
      <c r="A29" s="174"/>
      <c r="B29" s="174"/>
      <c r="C29" s="367"/>
      <c r="D29" s="173"/>
      <c r="E29" s="173"/>
      <c r="F29" s="173"/>
      <c r="G29" s="388"/>
      <c r="H29" s="389"/>
      <c r="I29" s="299"/>
      <c r="J29" s="299"/>
      <c r="K29" s="388"/>
    </row>
    <row r="30" spans="1:16" ht="14.45" customHeight="1" x14ac:dyDescent="0.2">
      <c r="A30" s="174"/>
      <c r="B30" s="174"/>
      <c r="C30" s="367"/>
      <c r="D30" s="173"/>
      <c r="E30" s="173"/>
      <c r="F30" s="173"/>
      <c r="G30" s="388"/>
      <c r="H30" s="389"/>
      <c r="I30" s="299"/>
      <c r="J30" s="299"/>
      <c r="K30" s="388"/>
    </row>
    <row r="31" spans="1:16" ht="14.45" customHeight="1" x14ac:dyDescent="0.2">
      <c r="A31" s="174"/>
      <c r="B31" s="174"/>
      <c r="C31" s="367"/>
      <c r="D31" s="173"/>
      <c r="E31" s="173"/>
      <c r="F31" s="173"/>
      <c r="G31" s="388"/>
      <c r="H31" s="389"/>
      <c r="I31" s="299"/>
      <c r="J31" s="299"/>
      <c r="K31" s="388"/>
    </row>
    <row r="32" spans="1:16" ht="14.45" customHeight="1" x14ac:dyDescent="0.2">
      <c r="A32" s="852" t="s">
        <v>96</v>
      </c>
      <c r="B32" s="852"/>
      <c r="C32" s="852"/>
      <c r="D32" s="852"/>
      <c r="E32" s="852"/>
      <c r="F32" s="852"/>
      <c r="G32" s="852"/>
      <c r="H32" s="852"/>
      <c r="I32" s="852"/>
      <c r="J32" s="852"/>
      <c r="K32" s="852"/>
    </row>
    <row r="33" spans="1:11" ht="14.45" customHeight="1" x14ac:dyDescent="0.2">
      <c r="A33" s="174"/>
      <c r="B33" s="174"/>
      <c r="C33" s="367"/>
      <c r="D33" s="173"/>
      <c r="E33" s="173" t="str">
        <f>E7</f>
        <v>Duben</v>
      </c>
      <c r="F33" s="427">
        <f>F7</f>
        <v>2015</v>
      </c>
      <c r="G33" s="388"/>
      <c r="H33" s="389"/>
      <c r="I33" s="299"/>
      <c r="J33" s="299"/>
      <c r="K33" s="388"/>
    </row>
    <row r="34" spans="1:11" ht="14.45" customHeight="1" x14ac:dyDescent="0.2">
      <c r="A34" s="390"/>
      <c r="B34" s="390"/>
      <c r="C34" s="390"/>
      <c r="D34" s="390"/>
      <c r="E34" s="390"/>
      <c r="F34" s="390"/>
      <c r="G34" s="390"/>
      <c r="H34" s="391"/>
      <c r="I34" s="392"/>
      <c r="J34" s="299"/>
      <c r="K34" s="390"/>
    </row>
    <row r="35" spans="1:11" ht="14.45" customHeight="1" x14ac:dyDescent="0.2">
      <c r="A35" s="847"/>
      <c r="B35" s="847"/>
      <c r="C35" s="390"/>
      <c r="D35" s="390"/>
      <c r="E35" s="390" t="str">
        <f>C11</f>
        <v>PP Distribuce</v>
      </c>
      <c r="F35" s="392">
        <f>E11</f>
        <v>71338.909813935432</v>
      </c>
      <c r="G35" s="390"/>
      <c r="H35" s="391"/>
      <c r="I35" s="392"/>
      <c r="J35" s="299"/>
      <c r="K35" s="390"/>
    </row>
    <row r="36" spans="1:11" ht="14.45" customHeight="1" x14ac:dyDescent="0.2">
      <c r="A36" s="390"/>
      <c r="B36" s="390"/>
      <c r="C36" s="367"/>
      <c r="D36" s="173"/>
      <c r="E36" s="390" t="str">
        <f t="shared" ref="E36:E38" si="1">C12</f>
        <v>RWE GasNet</v>
      </c>
      <c r="F36" s="392">
        <f t="shared" ref="F36:F38" si="2">E12</f>
        <v>522235.30982668407</v>
      </c>
      <c r="G36" s="388"/>
      <c r="H36" s="389"/>
      <c r="I36" s="299"/>
      <c r="J36" s="299"/>
      <c r="K36" s="388"/>
    </row>
    <row r="37" spans="1:11" ht="14.45" customHeight="1" x14ac:dyDescent="0.2">
      <c r="A37" s="390"/>
      <c r="B37" s="390"/>
      <c r="C37" s="367"/>
      <c r="D37" s="173"/>
      <c r="E37" s="390" t="str">
        <f t="shared" si="1"/>
        <v>E.ON Distribuce</v>
      </c>
      <c r="F37" s="392">
        <f t="shared" si="2"/>
        <v>26032.766000000003</v>
      </c>
      <c r="G37" s="388"/>
      <c r="H37" s="389"/>
      <c r="I37" s="299"/>
      <c r="J37" s="299"/>
      <c r="K37" s="388"/>
    </row>
    <row r="38" spans="1:11" ht="14.45" customHeight="1" x14ac:dyDescent="0.2">
      <c r="A38" s="174"/>
      <c r="B38" s="848"/>
      <c r="C38" s="367"/>
      <c r="D38" s="173"/>
      <c r="E38" s="390" t="str">
        <f t="shared" si="1"/>
        <v>Ostatní společnosti</v>
      </c>
      <c r="F38" s="392">
        <f t="shared" si="2"/>
        <v>3201.6929999999979</v>
      </c>
      <c r="G38" s="388"/>
      <c r="H38" s="389"/>
      <c r="I38" s="299"/>
      <c r="J38" s="299"/>
      <c r="K38" s="388"/>
    </row>
    <row r="39" spans="1:11" ht="14.45" customHeight="1" x14ac:dyDescent="0.2">
      <c r="A39" s="174"/>
      <c r="B39" s="848"/>
      <c r="C39" s="367"/>
      <c r="D39" s="173"/>
      <c r="E39" s="390"/>
      <c r="F39" s="390"/>
      <c r="G39" s="388"/>
      <c r="H39" s="389"/>
      <c r="I39" s="299"/>
      <c r="J39" s="299"/>
      <c r="K39" s="388"/>
    </row>
    <row r="40" spans="1:11" ht="14.45" customHeight="1" x14ac:dyDescent="0.2">
      <c r="A40" s="174"/>
      <c r="B40" s="848"/>
      <c r="C40" s="367"/>
      <c r="D40" s="173"/>
      <c r="E40" s="173"/>
      <c r="F40" s="173"/>
      <c r="G40" s="388"/>
      <c r="H40" s="389"/>
      <c r="I40" s="299"/>
      <c r="J40" s="299"/>
      <c r="K40" s="388"/>
    </row>
    <row r="41" spans="1:11" ht="14.45" customHeight="1" x14ac:dyDescent="0.2">
      <c r="A41" s="174"/>
      <c r="B41" s="848"/>
      <c r="C41" s="367"/>
      <c r="D41" s="173"/>
      <c r="E41" s="173"/>
      <c r="F41" s="173"/>
      <c r="G41" s="388"/>
      <c r="H41" s="389"/>
      <c r="I41" s="299"/>
      <c r="J41" s="299"/>
      <c r="K41" s="388"/>
    </row>
    <row r="42" spans="1:11" ht="14.45" customHeight="1" x14ac:dyDescent="0.2">
      <c r="A42" s="174"/>
      <c r="B42" s="848"/>
      <c r="C42" s="367"/>
      <c r="D42" s="173"/>
      <c r="E42" s="173"/>
      <c r="F42" s="173"/>
      <c r="G42" s="388"/>
      <c r="H42" s="389"/>
      <c r="I42" s="299"/>
      <c r="J42" s="299"/>
      <c r="K42" s="388"/>
    </row>
    <row r="43" spans="1:11" ht="14.45" customHeight="1" x14ac:dyDescent="0.2">
      <c r="A43" s="847"/>
      <c r="B43" s="847"/>
      <c r="C43" s="390"/>
      <c r="D43" s="366"/>
      <c r="E43" s="847"/>
      <c r="F43" s="847"/>
      <c r="G43" s="366"/>
      <c r="H43" s="391"/>
      <c r="I43" s="392"/>
      <c r="J43" s="299"/>
      <c r="K43" s="366"/>
    </row>
    <row r="44" spans="1:11" ht="14.45" customHeight="1" x14ac:dyDescent="0.25">
      <c r="A44" s="271"/>
      <c r="B44" s="126"/>
      <c r="C44" s="274"/>
      <c r="D44" s="274"/>
      <c r="E44" s="275"/>
      <c r="F44" s="274"/>
      <c r="G44" s="276"/>
      <c r="H44" s="849" t="s">
        <v>244</v>
      </c>
      <c r="I44" s="276"/>
      <c r="J44" s="276"/>
      <c r="K44" s="276"/>
    </row>
    <row r="45" spans="1:11" ht="14.45" customHeight="1" x14ac:dyDescent="0.25">
      <c r="A45" s="278"/>
      <c r="B45" s="279"/>
      <c r="C45" s="263"/>
      <c r="D45" s="263"/>
      <c r="E45" s="264" t="str">
        <f>E7</f>
        <v>Duben</v>
      </c>
      <c r="F45" s="265">
        <f>F7</f>
        <v>2015</v>
      </c>
      <c r="G45" s="265"/>
      <c r="H45" s="850"/>
      <c r="I45" s="398" t="str">
        <f>I7</f>
        <v>Duben</v>
      </c>
      <c r="J45" s="260">
        <f>J7</f>
        <v>2014</v>
      </c>
      <c r="K45" s="276"/>
    </row>
    <row r="46" spans="1:11" ht="14.45" customHeight="1" x14ac:dyDescent="0.2">
      <c r="A46" s="278"/>
      <c r="B46" s="372"/>
      <c r="C46" s="844" t="s">
        <v>95</v>
      </c>
      <c r="D46" s="838"/>
      <c r="E46" s="840" t="s">
        <v>243</v>
      </c>
      <c r="F46" s="793"/>
      <c r="G46" s="426"/>
      <c r="H46" s="850"/>
      <c r="I46" s="841" t="s">
        <v>243</v>
      </c>
      <c r="J46" s="793"/>
      <c r="K46" s="87"/>
    </row>
    <row r="47" spans="1:11" ht="12.95" customHeight="1" x14ac:dyDescent="0.2">
      <c r="A47" s="409"/>
      <c r="B47" s="372"/>
      <c r="C47" s="844"/>
      <c r="D47" s="838"/>
      <c r="E47" s="412" t="s">
        <v>69</v>
      </c>
      <c r="F47" s="374" t="s">
        <v>142</v>
      </c>
      <c r="G47" s="394" t="s">
        <v>143</v>
      </c>
      <c r="H47" s="850"/>
      <c r="I47" s="419" t="s">
        <v>69</v>
      </c>
      <c r="J47" s="374" t="s">
        <v>142</v>
      </c>
      <c r="K47" s="374" t="s">
        <v>143</v>
      </c>
    </row>
    <row r="48" spans="1:11" ht="12.95" customHeight="1" x14ac:dyDescent="0.2">
      <c r="A48" s="250"/>
      <c r="B48" s="373"/>
      <c r="C48" s="851"/>
      <c r="D48" s="839"/>
      <c r="E48" s="413" t="s">
        <v>14</v>
      </c>
      <c r="F48" s="266" t="s">
        <v>14</v>
      </c>
      <c r="G48" s="266" t="s">
        <v>14</v>
      </c>
      <c r="H48" s="411" t="s">
        <v>14</v>
      </c>
      <c r="I48" s="420" t="s">
        <v>14</v>
      </c>
      <c r="J48" s="266" t="s">
        <v>14</v>
      </c>
      <c r="K48" s="266" t="s">
        <v>14</v>
      </c>
    </row>
    <row r="49" spans="1:11" ht="14.45" customHeight="1" x14ac:dyDescent="0.2">
      <c r="A49" s="844" t="s">
        <v>4</v>
      </c>
      <c r="B49" s="844"/>
      <c r="C49" s="365"/>
      <c r="D49" s="254"/>
      <c r="E49" s="414"/>
      <c r="F49" s="365"/>
      <c r="G49" s="395"/>
      <c r="H49" s="410"/>
      <c r="I49" s="421"/>
      <c r="J49" s="365"/>
      <c r="K49" s="365"/>
    </row>
    <row r="50" spans="1:11" ht="14.45" customHeight="1" x14ac:dyDescent="0.2">
      <c r="A50" s="95"/>
      <c r="B50" s="95"/>
      <c r="C50" s="845" t="s">
        <v>72</v>
      </c>
      <c r="D50" s="846"/>
      <c r="E50" s="415">
        <f>INDEX([5]MZ!D21:BK21,1,5*T!$A$4-4)</f>
        <v>9.0233333333333334</v>
      </c>
      <c r="F50" s="401">
        <f>INDEX([5]MZ!E21:BL21,1,5*T!$A$4-4)</f>
        <v>16.100000000000001</v>
      </c>
      <c r="G50" s="402">
        <f>INDEX([5]MZ!F21:BM21,1,5*T!$A$4-4)</f>
        <v>1.7</v>
      </c>
      <c r="H50" s="403">
        <f>E50-I50</f>
        <v>-1.4833333333333307</v>
      </c>
      <c r="I50" s="422">
        <f>INDEX([6]MZ!D21:BK21,1,5*T!$A$4-4)</f>
        <v>10.506666666666664</v>
      </c>
      <c r="J50" s="401">
        <f>INDEX([6]MZ!E21:BL21,1,5*T!$A$4-4)</f>
        <v>15.9</v>
      </c>
      <c r="K50" s="404">
        <f>INDEX([6]MZ!F21:BM21,1,5*T!$A$4-4)</f>
        <v>4.8</v>
      </c>
    </row>
    <row r="51" spans="1:11" ht="14.45" customHeight="1" x14ac:dyDescent="0.2">
      <c r="A51" s="95"/>
      <c r="B51" s="95"/>
      <c r="C51" s="845" t="s">
        <v>73</v>
      </c>
      <c r="D51" s="846"/>
      <c r="E51" s="415">
        <f>INDEX([5]MZ!D22:BK22,1,5*T!$A$4-4)</f>
        <v>8.2616666666666667</v>
      </c>
      <c r="F51" s="401">
        <f>INDEX([5]MZ!E22:BL22,1,5*T!$A$4-4)</f>
        <v>15.533333333333333</v>
      </c>
      <c r="G51" s="402">
        <f>INDEX([5]MZ!F22:BM22,1,5*T!$A$4-4)</f>
        <v>1.1499999999999999</v>
      </c>
      <c r="H51" s="403">
        <f t="shared" ref="H51:H54" si="3">E51-I51</f>
        <v>-1.8383333333333312</v>
      </c>
      <c r="I51" s="422">
        <f>INDEX([6]MZ!D22:BK22,1,5*T!$A$4-4)</f>
        <v>10.099999999999998</v>
      </c>
      <c r="J51" s="401">
        <f>INDEX([6]MZ!E22:BL22,1,5*T!$A$4-4)</f>
        <v>14.216666666666667</v>
      </c>
      <c r="K51" s="404">
        <f>INDEX([6]MZ!F22:BM22,1,5*T!$A$4-4)</f>
        <v>3.9500000000000006</v>
      </c>
    </row>
    <row r="52" spans="1:11" ht="15.75" customHeight="1" x14ac:dyDescent="0.2">
      <c r="A52" s="292"/>
      <c r="B52" s="268"/>
      <c r="C52" s="845" t="s">
        <v>74</v>
      </c>
      <c r="D52" s="846"/>
      <c r="E52" s="415">
        <f>INDEX([5]MZ!D23:BK23,1,5*T!$A$4-4)</f>
        <v>7.5866666666666651</v>
      </c>
      <c r="F52" s="401">
        <f>INDEX([5]MZ!E23:BL23,1,5*T!$A$4-4)</f>
        <v>14.8</v>
      </c>
      <c r="G52" s="402">
        <f>INDEX([5]MZ!F23:BM23,1,5*T!$A$4-4)</f>
        <v>0.1</v>
      </c>
      <c r="H52" s="403">
        <f t="shared" si="3"/>
        <v>-1.7366666666666655</v>
      </c>
      <c r="I52" s="422">
        <f>INDEX([6]MZ!D23:BK23,1,5*T!$A$4-4)</f>
        <v>9.3233333333333306</v>
      </c>
      <c r="J52" s="401">
        <f>INDEX([6]MZ!E23:BL23,1,5*T!$A$4-4)</f>
        <v>14.1</v>
      </c>
      <c r="K52" s="404">
        <f>INDEX([6]MZ!F23:BM23,1,5*T!$A$4-4)</f>
        <v>3.3</v>
      </c>
    </row>
    <row r="53" spans="1:11" ht="15" customHeight="1" x14ac:dyDescent="0.2">
      <c r="A53" s="292"/>
      <c r="B53" s="268"/>
      <c r="C53" s="845" t="s">
        <v>180</v>
      </c>
      <c r="D53" s="846"/>
      <c r="E53" s="415">
        <f>INDEX([5]MZ!D24:BK24,1,5*T!$A$4-4)</f>
        <v>8.2200000000000006</v>
      </c>
      <c r="F53" s="401">
        <f>INDEX([5]MZ!E24:BL24,1,5*T!$A$4-4)</f>
        <v>15.5</v>
      </c>
      <c r="G53" s="402">
        <f>INDEX([5]MZ!F24:BM24,1,5*T!$A$4-4)</f>
        <v>1</v>
      </c>
      <c r="H53" s="403">
        <f t="shared" si="3"/>
        <v>-1.8033333333333328</v>
      </c>
      <c r="I53" s="422">
        <f>INDEX([6]MZ!D24:BK24,1,5*T!$A$4-4)</f>
        <v>10.023333333333333</v>
      </c>
      <c r="J53" s="401">
        <f>INDEX([6]MZ!E24:BL24,1,5*T!$A$4-4)</f>
        <v>14.3</v>
      </c>
      <c r="K53" s="404">
        <f>INDEX([6]MZ!F24:BM24,1,5*T!$A$4-4)</f>
        <v>3.8</v>
      </c>
    </row>
    <row r="54" spans="1:11" ht="15" customHeight="1" x14ac:dyDescent="0.2">
      <c r="A54" s="292"/>
      <c r="B54" s="268"/>
      <c r="C54" s="842" t="s">
        <v>5</v>
      </c>
      <c r="D54" s="843"/>
      <c r="E54" s="416">
        <f>INDEX([5]MZ!D25:BK25,1,5*T!$A$4-4)</f>
        <v>8.2200000000000006</v>
      </c>
      <c r="F54" s="405">
        <f>INDEX([5]MZ!E25:BL25,1,5*T!$A$4-4)</f>
        <v>15.5</v>
      </c>
      <c r="G54" s="406">
        <f>INDEX([5]MZ!F25:BM25,1,5*T!$A$4-4)</f>
        <v>1</v>
      </c>
      <c r="H54" s="407">
        <f t="shared" si="3"/>
        <v>-1.8033333333333328</v>
      </c>
      <c r="I54" s="423">
        <f>INDEX([6]MZ!D25:BK25,1,5*T!$A$4-4)</f>
        <v>10.023333333333333</v>
      </c>
      <c r="J54" s="405">
        <f>INDEX([6]MZ!E25:BL25,1,5*T!$A$4-4)</f>
        <v>14.3</v>
      </c>
      <c r="K54" s="408">
        <f>INDEX([6]MZ!F25:BM25,1,5*T!$A$4-4)</f>
        <v>3.8</v>
      </c>
    </row>
    <row r="55" spans="1:11" ht="15" customHeight="1" x14ac:dyDescent="0.2">
      <c r="A55" s="292"/>
      <c r="B55" s="268"/>
      <c r="C55" s="257"/>
      <c r="D55" s="376"/>
      <c r="E55" s="417"/>
      <c r="F55" s="377"/>
      <c r="G55" s="396"/>
      <c r="H55" s="399"/>
      <c r="I55" s="424"/>
      <c r="J55" s="377"/>
      <c r="K55" s="393"/>
    </row>
    <row r="56" spans="1:11" ht="15" customHeight="1" x14ac:dyDescent="0.2">
      <c r="A56" s="830"/>
      <c r="B56" s="830"/>
      <c r="C56" s="830"/>
      <c r="D56" s="297"/>
      <c r="E56" s="418"/>
      <c r="F56" s="174"/>
      <c r="G56" s="397"/>
      <c r="H56" s="400"/>
      <c r="I56" s="425"/>
      <c r="J56" s="299"/>
      <c r="K56" s="174"/>
    </row>
    <row r="57" spans="1:11" ht="15" customHeight="1" x14ac:dyDescent="0.2"/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35">
    <mergeCell ref="J1:K1"/>
    <mergeCell ref="A3:K3"/>
    <mergeCell ref="D4:E4"/>
    <mergeCell ref="H6:H9"/>
    <mergeCell ref="C8:D9"/>
    <mergeCell ref="E8:F8"/>
    <mergeCell ref="I8:J8"/>
    <mergeCell ref="A32:K32"/>
    <mergeCell ref="A10:B10"/>
    <mergeCell ref="C11:D11"/>
    <mergeCell ref="C12:D12"/>
    <mergeCell ref="C13:D13"/>
    <mergeCell ref="C14:D14"/>
    <mergeCell ref="C15:D15"/>
    <mergeCell ref="E20:F20"/>
    <mergeCell ref="A17:C17"/>
    <mergeCell ref="A19:K19"/>
    <mergeCell ref="B20:B25"/>
    <mergeCell ref="A26:B26"/>
    <mergeCell ref="A27:B28"/>
    <mergeCell ref="A35:B35"/>
    <mergeCell ref="B38:B42"/>
    <mergeCell ref="A43:B43"/>
    <mergeCell ref="E43:F43"/>
    <mergeCell ref="H44:H47"/>
    <mergeCell ref="C46:D48"/>
    <mergeCell ref="E46:F46"/>
    <mergeCell ref="C54:D54"/>
    <mergeCell ref="A56:C56"/>
    <mergeCell ref="I46:J46"/>
    <mergeCell ref="A49:B49"/>
    <mergeCell ref="C50:D50"/>
    <mergeCell ref="C51:D51"/>
    <mergeCell ref="C52:D52"/>
    <mergeCell ref="C53:D5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U121"/>
  <sheetViews>
    <sheetView view="pageBreakPreview" topLeftCell="A4" zoomScaleNormal="100" zoomScaleSheetLayoutView="100" workbookViewId="0">
      <selection activeCell="C1" sqref="C1"/>
    </sheetView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1" t="s">
        <v>265</v>
      </c>
      <c r="K1" s="821"/>
    </row>
    <row r="2" spans="1:17" ht="6.75" customHeight="1" x14ac:dyDescent="0.2"/>
    <row r="3" spans="1:17" ht="30" customHeight="1" x14ac:dyDescent="0.2">
      <c r="A3" s="829" t="s">
        <v>229</v>
      </c>
      <c r="B3" s="829"/>
      <c r="C3" s="829"/>
      <c r="D3" s="829"/>
      <c r="E3" s="829"/>
      <c r="F3" s="829"/>
      <c r="G3" s="829"/>
      <c r="H3" s="829"/>
      <c r="I3" s="829"/>
      <c r="J3" s="829"/>
      <c r="K3" s="829"/>
    </row>
    <row r="4" spans="1:17" ht="16.5" customHeight="1" x14ac:dyDescent="0.2">
      <c r="B4" s="242"/>
      <c r="C4" s="242"/>
      <c r="D4" s="828" t="str">
        <f>T!G19</f>
        <v>Duben</v>
      </c>
      <c r="E4" s="828"/>
      <c r="F4" s="223">
        <f>T!I21</f>
        <v>2015</v>
      </c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1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D4</f>
        <v>Duben</v>
      </c>
      <c r="F7" s="265">
        <f>F4</f>
        <v>2015</v>
      </c>
      <c r="G7" s="265"/>
      <c r="H7" s="832"/>
      <c r="I7" s="280" t="str">
        <f>D4</f>
        <v>Duben</v>
      </c>
      <c r="J7" s="260">
        <f>F4-1</f>
        <v>2014</v>
      </c>
      <c r="K7" s="274"/>
    </row>
    <row r="8" spans="1:17" ht="14.1" customHeight="1" x14ac:dyDescent="0.2">
      <c r="A8" s="278"/>
      <c r="B8" s="826" t="s">
        <v>92</v>
      </c>
      <c r="C8" s="826"/>
      <c r="D8" s="838" t="s">
        <v>0</v>
      </c>
      <c r="E8" s="840" t="s">
        <v>71</v>
      </c>
      <c r="F8" s="793"/>
      <c r="G8" s="331" t="s">
        <v>224</v>
      </c>
      <c r="H8" s="832"/>
      <c r="I8" s="841" t="s">
        <v>71</v>
      </c>
      <c r="J8" s="793"/>
      <c r="K8" s="349" t="s">
        <v>224</v>
      </c>
    </row>
    <row r="9" spans="1:17" ht="14.1" customHeight="1" x14ac:dyDescent="0.2">
      <c r="A9" s="250"/>
      <c r="B9" s="827"/>
      <c r="C9" s="827"/>
      <c r="D9" s="839"/>
      <c r="E9" s="266" t="s">
        <v>15</v>
      </c>
      <c r="F9" s="266" t="s">
        <v>1</v>
      </c>
      <c r="G9" s="332" t="s">
        <v>127</v>
      </c>
      <c r="H9" s="833"/>
      <c r="I9" s="281" t="s">
        <v>15</v>
      </c>
      <c r="J9" s="266" t="s">
        <v>1</v>
      </c>
      <c r="K9" s="350" t="s">
        <v>127</v>
      </c>
    </row>
    <row r="10" spans="1:17" ht="12.95" customHeight="1" x14ac:dyDescent="0.2">
      <c r="A10" s="834" t="s">
        <v>230</v>
      </c>
      <c r="B10" s="834"/>
      <c r="C10" s="255"/>
      <c r="D10" s="254"/>
      <c r="E10" s="255"/>
      <c r="F10" s="255"/>
      <c r="G10" s="333"/>
      <c r="H10" s="315"/>
      <c r="I10" s="282"/>
      <c r="J10" s="255"/>
      <c r="K10" s="351"/>
    </row>
    <row r="11" spans="1:17" ht="14.1" customHeight="1" x14ac:dyDescent="0.2">
      <c r="A11" s="95"/>
      <c r="B11" s="95"/>
      <c r="C11" s="257" t="s">
        <v>6</v>
      </c>
      <c r="D11" s="245">
        <f>INDEX([2]Kraje!B3:AK3,1,3*T!$A$4-2)</f>
        <v>116</v>
      </c>
      <c r="E11" s="96">
        <f>INDEX([2]Kraje!C3:AL3,1,3*T!$A$4-2)</f>
        <v>9977.0860000000011</v>
      </c>
      <c r="F11" s="96">
        <f>INDEX([2]Kraje!D3:AM3,1,3*T!$A$4-2)</f>
        <v>106144.87</v>
      </c>
      <c r="G11" s="334">
        <f>E11/$E$15</f>
        <v>0.46096602713822266</v>
      </c>
      <c r="H11" s="316">
        <f>(E11-I11)/I11</f>
        <v>0.39372144865318542</v>
      </c>
      <c r="I11" s="283">
        <f>INDEX([4]Kraje!C3:AL3,1,3*T!$A$4-2)</f>
        <v>7158.5940000000001</v>
      </c>
      <c r="J11" s="96">
        <f>INDEX([4]Kraje!D3:AM3,1,3*T!$A$4-2)</f>
        <v>76102.046000000002</v>
      </c>
      <c r="K11" s="352">
        <f>I11/$I$15</f>
        <v>0.42564485969749971</v>
      </c>
    </row>
    <row r="12" spans="1:17" ht="14.1" customHeight="1" x14ac:dyDescent="0.2">
      <c r="A12" s="95"/>
      <c r="B12" s="95"/>
      <c r="C12" s="257" t="s">
        <v>7</v>
      </c>
      <c r="D12" s="245">
        <f>INDEX([2]Kraje!B4:AK4,1,3*T!$A$4-2)</f>
        <v>309</v>
      </c>
      <c r="E12" s="96">
        <f>INDEX([2]Kraje!C4:AL4,1,3*T!$A$4-2)</f>
        <v>1232.33</v>
      </c>
      <c r="F12" s="96">
        <f>INDEX([2]Kraje!D4:AM4,1,3*T!$A$4-2)</f>
        <v>13110.94965</v>
      </c>
      <c r="G12" s="334">
        <f>E12/$E$15</f>
        <v>5.6936691156440448E-2</v>
      </c>
      <c r="H12" s="316">
        <f>(E12-I12)/I12</f>
        <v>-0.40782973897666552</v>
      </c>
      <c r="I12" s="283">
        <f>INDEX([4]Kraje!C4:AL4,1,3*T!$A$4-2)</f>
        <v>2081.04</v>
      </c>
      <c r="J12" s="96">
        <f>INDEX([4]Kraje!D4:AM4,1,3*T!$A$4-2)</f>
        <v>22123.452356000002</v>
      </c>
      <c r="K12" s="352">
        <f>I12/$I$15</f>
        <v>0.12373714430862887</v>
      </c>
      <c r="L12" s="284"/>
      <c r="M12" s="284"/>
      <c r="O12" s="284"/>
      <c r="P12" s="284"/>
      <c r="Q12" s="284"/>
    </row>
    <row r="13" spans="1:17" ht="14.1" customHeight="1" x14ac:dyDescent="0.2">
      <c r="A13" s="292"/>
      <c r="B13" s="268"/>
      <c r="C13" s="257" t="s">
        <v>8</v>
      </c>
      <c r="D13" s="245">
        <f>INDEX([2]Kraje!B5:AK5,1,3*T!$A$4-2)</f>
        <v>7263</v>
      </c>
      <c r="E13" s="96">
        <f>INDEX([2]Kraje!C5:AL5,1,3*T!$A$4-2)</f>
        <v>3367.3126559999996</v>
      </c>
      <c r="F13" s="96">
        <f>INDEX([2]Kraje!D5:AM5,1,3*T!$A$4-2)</f>
        <v>35825.501036000001</v>
      </c>
      <c r="G13" s="334">
        <f>E13/$E$15</f>
        <v>0.1555781655253424</v>
      </c>
      <c r="H13" s="316">
        <f t="shared" ref="H13:H15" si="0">(E13-I13)/I13</f>
        <v>0.37954842715772974</v>
      </c>
      <c r="I13" s="283">
        <f>INDEX([4]Kraje!C5:AL5,1,3*T!$A$4-2)</f>
        <v>2440.8803560000001</v>
      </c>
      <c r="J13" s="96">
        <f>INDEX([4]Kraje!D5:AM5,1,3*T!$A$4-2)</f>
        <v>25948.319274000001</v>
      </c>
      <c r="K13" s="352">
        <f>I13/$I$15</f>
        <v>0.14513299352750039</v>
      </c>
      <c r="L13" s="284"/>
      <c r="M13" s="284"/>
      <c r="O13" s="284"/>
      <c r="P13" s="284"/>
      <c r="Q13" s="284"/>
    </row>
    <row r="14" spans="1:17" ht="14.1" customHeight="1" x14ac:dyDescent="0.2">
      <c r="A14" s="292"/>
      <c r="B14" s="268"/>
      <c r="C14" s="257" t="s">
        <v>9</v>
      </c>
      <c r="D14" s="245">
        <f>INDEX([2]Kraje!B6:AK6,1,3*T!$A$4-2)</f>
        <v>99708</v>
      </c>
      <c r="E14" s="96">
        <f>INDEX([2]Kraje!C6:AL6,1,3*T!$A$4-2)</f>
        <v>7067.1353440000012</v>
      </c>
      <c r="F14" s="96">
        <f>INDEX([2]Kraje!D6:AM6,1,3*T!$A$4-2)</f>
        <v>75188.636964000005</v>
      </c>
      <c r="G14" s="334">
        <f>E14/$E$15</f>
        <v>0.32651911617999452</v>
      </c>
      <c r="H14" s="316">
        <f t="shared" si="0"/>
        <v>0.37553984739765522</v>
      </c>
      <c r="I14" s="283">
        <f>INDEX([4]Kraje!C6:AL6,1,3*T!$A$4-2)</f>
        <v>5137.7176440000003</v>
      </c>
      <c r="J14" s="96">
        <f>INDEX([4]Kraje!D6:AM6,1,3*T!$A$4-2)</f>
        <v>54618.297726000004</v>
      </c>
      <c r="K14" s="352">
        <f>I14/$I$15</f>
        <v>0.30548500246637106</v>
      </c>
      <c r="L14" s="284"/>
      <c r="M14" s="284"/>
      <c r="O14" s="284"/>
      <c r="P14" s="284"/>
      <c r="Q14" s="284"/>
    </row>
    <row r="15" spans="1:17" ht="14.1" customHeight="1" x14ac:dyDescent="0.2">
      <c r="A15" s="292"/>
      <c r="B15" s="268"/>
      <c r="C15" s="259" t="s">
        <v>2</v>
      </c>
      <c r="D15" s="253">
        <f>SUM(D11:D14)</f>
        <v>107396</v>
      </c>
      <c r="E15" s="251">
        <f>SUM(E11:E14)</f>
        <v>21643.864000000001</v>
      </c>
      <c r="F15" s="252">
        <f>SUM(F11:F14)</f>
        <v>230269.95765</v>
      </c>
      <c r="G15" s="336">
        <f>SUM(G11:G14)</f>
        <v>1</v>
      </c>
      <c r="H15" s="318">
        <f t="shared" si="0"/>
        <v>0.2869286141373244</v>
      </c>
      <c r="I15" s="286">
        <f>SUM(I11:I14)</f>
        <v>16818.232</v>
      </c>
      <c r="J15" s="252">
        <f>SUM(J11:J14)</f>
        <v>178792.11535600002</v>
      </c>
      <c r="K15" s="354">
        <f>SUM(K11:K14)</f>
        <v>1</v>
      </c>
      <c r="L15" s="284"/>
      <c r="M15" s="284"/>
    </row>
    <row r="16" spans="1:17" ht="12.95" customHeight="1" x14ac:dyDescent="0.2">
      <c r="A16" s="292"/>
      <c r="B16" s="268"/>
      <c r="C16" s="293"/>
      <c r="D16" s="294"/>
      <c r="E16" s="293"/>
      <c r="F16" s="293"/>
      <c r="G16" s="337"/>
      <c r="H16" s="319"/>
      <c r="I16" s="295"/>
      <c r="J16" s="296"/>
      <c r="K16" s="355"/>
      <c r="L16" s="284"/>
      <c r="M16" s="284"/>
    </row>
    <row r="17" spans="1:21" ht="12.95" customHeight="1" x14ac:dyDescent="0.2">
      <c r="A17" s="834" t="s">
        <v>231</v>
      </c>
      <c r="B17" s="834"/>
      <c r="C17" s="255"/>
      <c r="D17" s="254"/>
      <c r="E17" s="255"/>
      <c r="F17" s="255"/>
      <c r="G17" s="333"/>
      <c r="H17" s="364"/>
      <c r="I17" s="282"/>
      <c r="J17" s="255"/>
      <c r="K17" s="351"/>
      <c r="L17" s="284"/>
      <c r="M17" s="284"/>
    </row>
    <row r="18" spans="1:21" ht="14.1" customHeight="1" x14ac:dyDescent="0.2">
      <c r="A18" s="95"/>
      <c r="B18" s="95"/>
      <c r="C18" s="257" t="s">
        <v>6</v>
      </c>
      <c r="D18" s="245">
        <f>INDEX([2]Kraje!B9:AK9,1,3*T!$A$4-2)</f>
        <v>190</v>
      </c>
      <c r="E18" s="96">
        <f>INDEX([2]Kraje!C9:AL9,1,3*T!$A$4-2)</f>
        <v>31503.7</v>
      </c>
      <c r="F18" s="96">
        <f>INDEX([2]Kraje!D9:AM9,1,3*T!$A$4-2)</f>
        <v>335219.57809999987</v>
      </c>
      <c r="G18" s="334">
        <f>E18/$E$22</f>
        <v>0.38738598048787687</v>
      </c>
      <c r="H18" s="316">
        <f>(E18-I18)/I18</f>
        <v>0.1196538365852792</v>
      </c>
      <c r="I18" s="283">
        <f>INDEX([4]Kraje!C9:AL9,1,3*T!$A$4-2)</f>
        <v>28137</v>
      </c>
      <c r="J18" s="96">
        <f>INDEX([4]Kraje!D9:AM9,1,3*T!$A$4-2)</f>
        <v>299246.879074</v>
      </c>
      <c r="K18" s="352">
        <f>I18/$I$22</f>
        <v>0.43402073464376117</v>
      </c>
      <c r="L18" s="284"/>
      <c r="M18" s="284"/>
      <c r="N18" s="284"/>
    </row>
    <row r="19" spans="1:21" ht="14.1" customHeight="1" x14ac:dyDescent="0.2">
      <c r="A19" s="95"/>
      <c r="B19" s="95"/>
      <c r="C19" s="257" t="s">
        <v>7</v>
      </c>
      <c r="D19" s="245">
        <f>INDEX([2]Kraje!B10:AK10,1,3*T!$A$4-2)</f>
        <v>928</v>
      </c>
      <c r="E19" s="96">
        <f>INDEX([2]Kraje!C10:AL10,1,3*T!$A$4-2)</f>
        <v>8808.7000000000007</v>
      </c>
      <c r="F19" s="96">
        <f>INDEX([2]Kraje!D10:AM10,1,3*T!$A$4-2)</f>
        <v>93730.149671999825</v>
      </c>
      <c r="G19" s="334">
        <f t="shared" ref="G19:G20" si="1">E19/$E$22</f>
        <v>0.10831638462541102</v>
      </c>
      <c r="H19" s="316">
        <f>(E19-I19)/I19</f>
        <v>0.24423696254025656</v>
      </c>
      <c r="I19" s="283">
        <f>INDEX([4]Kraje!C10:AL10,1,3*T!$A$4-2)</f>
        <v>7079.6</v>
      </c>
      <c r="J19" s="96">
        <f>INDEX([4]Kraje!D10:AM10,1,3*T!$A$4-2)</f>
        <v>75293.68190099996</v>
      </c>
      <c r="K19" s="352">
        <f t="shared" ref="K19:K21" si="2">I19/$I$22</f>
        <v>0.10920471951465942</v>
      </c>
      <c r="L19" s="287"/>
      <c r="M19" s="287"/>
      <c r="N19" s="284"/>
    </row>
    <row r="20" spans="1:21" ht="14.1" customHeight="1" x14ac:dyDescent="0.2">
      <c r="A20" s="292"/>
      <c r="B20" s="268"/>
      <c r="C20" s="257" t="s">
        <v>8</v>
      </c>
      <c r="D20" s="245">
        <f>INDEX([2]Kraje!B11:AK11,1,3*T!$A$4-2)</f>
        <v>23864</v>
      </c>
      <c r="E20" s="96">
        <f>INDEX([2]Kraje!C11:AL11,1,3*T!$A$4-2)</f>
        <v>10986.1</v>
      </c>
      <c r="F20" s="96">
        <f>INDEX([2]Kraje!D11:AM11,1,3*T!$A$4-2)</f>
        <v>116898.8</v>
      </c>
      <c r="G20" s="334">
        <f t="shared" si="1"/>
        <v>0.1350908344174768</v>
      </c>
      <c r="H20" s="316">
        <f t="shared" ref="H20:H22" si="3">(E20-I20)/I20</f>
        <v>0.37043597579991272</v>
      </c>
      <c r="I20" s="283">
        <f>INDEX([4]Kraje!C11:AL11,1,3*T!$A$4-2)</f>
        <v>8016.5</v>
      </c>
      <c r="J20" s="96">
        <f>INDEX([4]Kraje!D11:AM11,1,3*T!$A$4-2)</f>
        <v>85257.9</v>
      </c>
      <c r="K20" s="352">
        <f>I20/$I$22</f>
        <v>0.12365665206922244</v>
      </c>
      <c r="L20" s="284"/>
      <c r="M20" s="284"/>
      <c r="N20" s="284"/>
      <c r="O20" s="284"/>
      <c r="P20" s="284"/>
    </row>
    <row r="21" spans="1:21" ht="14.1" customHeight="1" x14ac:dyDescent="0.2">
      <c r="A21" s="292"/>
      <c r="B21" s="268"/>
      <c r="C21" s="257" t="s">
        <v>9</v>
      </c>
      <c r="D21" s="245">
        <f>INDEX([2]Kraje!B12:AK12,1,3*T!$A$4-2)</f>
        <v>361867</v>
      </c>
      <c r="E21" s="96">
        <f>INDEX([2]Kraje!C12:AL12,1,3*T!$A$4-2)</f>
        <v>30025.3</v>
      </c>
      <c r="F21" s="96">
        <f>INDEX([2]Kraje!D12:AM12,1,3*T!$A$4-2)</f>
        <v>319488.2</v>
      </c>
      <c r="G21" s="334">
        <f>E21/$E$22</f>
        <v>0.36920680046923532</v>
      </c>
      <c r="H21" s="316">
        <f t="shared" si="3"/>
        <v>0.3903434032858546</v>
      </c>
      <c r="I21" s="283">
        <f>INDEX([4]Kraje!C12:AL12,1,3*T!$A$4-2)</f>
        <v>21595.599999999999</v>
      </c>
      <c r="J21" s="96">
        <f>INDEX([4]Kraje!D12:AM12,1,3*T!$A$4-2)</f>
        <v>229677.2</v>
      </c>
      <c r="K21" s="352">
        <f t="shared" si="2"/>
        <v>0.33311789377235701</v>
      </c>
      <c r="L21" s="284"/>
      <c r="M21" s="284"/>
      <c r="N21" s="284"/>
      <c r="O21" s="284"/>
      <c r="P21" s="284"/>
    </row>
    <row r="22" spans="1:21" ht="14.1" customHeight="1" x14ac:dyDescent="0.2">
      <c r="A22" s="292"/>
      <c r="B22" s="268"/>
      <c r="C22" s="259" t="s">
        <v>2</v>
      </c>
      <c r="D22" s="253">
        <f>SUM(D18:D21)</f>
        <v>386849</v>
      </c>
      <c r="E22" s="251">
        <f>SUM(E18:E21)</f>
        <v>81323.8</v>
      </c>
      <c r="F22" s="252">
        <f>SUM(F18:F21)</f>
        <v>865336.72777199978</v>
      </c>
      <c r="G22" s="336">
        <f>SUM(G18:G21)</f>
        <v>1</v>
      </c>
      <c r="H22" s="318">
        <f t="shared" si="3"/>
        <v>0.25444131997093888</v>
      </c>
      <c r="I22" s="286">
        <f>SUM(I18:I21)</f>
        <v>64828.7</v>
      </c>
      <c r="J22" s="252">
        <f>SUM(J18:J21)</f>
        <v>689475.66097499989</v>
      </c>
      <c r="K22" s="354">
        <f>SUM(K18:K21)</f>
        <v>1</v>
      </c>
      <c r="L22" s="284"/>
      <c r="M22" s="284"/>
      <c r="N22" s="284"/>
      <c r="O22" s="284"/>
      <c r="P22" s="284"/>
    </row>
    <row r="23" spans="1:21" ht="12.95" customHeight="1" x14ac:dyDescent="0.2">
      <c r="A23" s="292"/>
      <c r="B23" s="268"/>
      <c r="C23" s="293"/>
      <c r="D23" s="294"/>
      <c r="E23" s="293"/>
      <c r="F23" s="293"/>
      <c r="G23" s="337"/>
      <c r="H23" s="319"/>
      <c r="I23" s="295"/>
      <c r="J23" s="296"/>
      <c r="K23" s="355"/>
      <c r="L23" s="284"/>
      <c r="M23" s="284"/>
      <c r="N23" s="284"/>
      <c r="O23" s="284"/>
      <c r="P23" s="284"/>
    </row>
    <row r="24" spans="1:21" ht="12.95" customHeight="1" x14ac:dyDescent="0.2">
      <c r="A24" s="834" t="s">
        <v>232</v>
      </c>
      <c r="B24" s="834"/>
      <c r="C24" s="255"/>
      <c r="D24" s="254"/>
      <c r="E24" s="255"/>
      <c r="F24" s="255"/>
      <c r="G24" s="333"/>
      <c r="H24" s="364"/>
      <c r="I24" s="282"/>
      <c r="J24" s="255"/>
      <c r="K24" s="351"/>
      <c r="L24" s="284"/>
      <c r="M24" s="284"/>
      <c r="N24" s="284"/>
      <c r="O24" s="284"/>
      <c r="P24" s="284"/>
    </row>
    <row r="25" spans="1:21" ht="14.1" customHeight="1" x14ac:dyDescent="0.2">
      <c r="A25" s="95"/>
      <c r="B25" s="95"/>
      <c r="C25" s="257" t="s">
        <v>6</v>
      </c>
      <c r="D25" s="245">
        <f>INDEX([2]Kraje!B15:AK15,1,3*T!$A$4-2)</f>
        <v>50</v>
      </c>
      <c r="E25" s="96">
        <f>INDEX([2]Kraje!C15:AL15,1,3*T!$A$4-2)</f>
        <v>9343.7000000000007</v>
      </c>
      <c r="F25" s="96">
        <f>INDEX([2]Kraje!D15:AM15,1,3*T!$A$4-2)</f>
        <v>99423.096540000028</v>
      </c>
      <c r="G25" s="334">
        <f>E25/$E$29</f>
        <v>0.52859446157327528</v>
      </c>
      <c r="H25" s="316">
        <f>(E25-I25)/I25</f>
        <v>0.18961346506416801</v>
      </c>
      <c r="I25" s="283">
        <f>INDEX([4]Kraje!C15:AL15,1,3*T!$A$4-2)</f>
        <v>7854.4</v>
      </c>
      <c r="J25" s="96">
        <f>INDEX([4]Kraje!D15:AM15,1,3*T!$A$4-2)</f>
        <v>83534.471691000013</v>
      </c>
      <c r="K25" s="352">
        <f>I25/$I$29</f>
        <v>0.55944215332236436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</row>
    <row r="26" spans="1:21" ht="14.1" customHeight="1" x14ac:dyDescent="0.2">
      <c r="A26" s="95"/>
      <c r="B26" s="95"/>
      <c r="C26" s="257" t="s">
        <v>7</v>
      </c>
      <c r="D26" s="245">
        <f>INDEX([2]Kraje!B16:AK16,1,3*T!$A$4-2)</f>
        <v>192</v>
      </c>
      <c r="E26" s="96">
        <f>INDEX([2]Kraje!C16:AL16,1,3*T!$A$4-2)</f>
        <v>2000.2</v>
      </c>
      <c r="F26" s="96">
        <f>INDEX([2]Kraje!D16:AM16,1,3*T!$A$4-2)</f>
        <v>21283.51079800001</v>
      </c>
      <c r="G26" s="334">
        <f t="shared" ref="G26:G28" si="4">E26/$E$29</f>
        <v>0.11315588493197183</v>
      </c>
      <c r="H26" s="316">
        <f t="shared" ref="H26:H29" si="5">(E26-I26)/I26</f>
        <v>0.29253634894991926</v>
      </c>
      <c r="I26" s="283">
        <f>INDEX([4]Kraje!C16:AL16,1,3*T!$A$4-2)</f>
        <v>1547.5</v>
      </c>
      <c r="J26" s="96">
        <f>INDEX([4]Kraje!D16:AM16,1,3*T!$A$4-2)</f>
        <v>16458.733247999997</v>
      </c>
      <c r="K26" s="352">
        <f t="shared" ref="K26:K27" si="6">I26/$I$29</f>
        <v>0.11022315291637286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</row>
    <row r="27" spans="1:21" ht="14.1" customHeight="1" x14ac:dyDescent="0.2">
      <c r="A27" s="292"/>
      <c r="B27" s="268"/>
      <c r="C27" s="257" t="s">
        <v>8</v>
      </c>
      <c r="D27" s="245">
        <f>INDEX([2]Kraje!B17:AK17,1,3*T!$A$4-2)</f>
        <v>5986</v>
      </c>
      <c r="E27" s="96">
        <f>INDEX([2]Kraje!C17:AL17,1,3*T!$A$4-2)</f>
        <v>2637.6</v>
      </c>
      <c r="F27" s="96">
        <f>INDEX([2]Kraje!D17:AM17,1,3*T!$A$4-2)</f>
        <v>28065.7</v>
      </c>
      <c r="G27" s="334">
        <f t="shared" si="4"/>
        <v>0.14921505954233022</v>
      </c>
      <c r="H27" s="316">
        <f t="shared" si="5"/>
        <v>0.34950115118956249</v>
      </c>
      <c r="I27" s="283">
        <f>INDEX([4]Kraje!C17:AL17,1,3*T!$A$4-2)</f>
        <v>1954.5</v>
      </c>
      <c r="J27" s="96">
        <f>INDEX([4]Kraje!D17:AM17,1,3*T!$A$4-2)</f>
        <v>20786.3</v>
      </c>
      <c r="K27" s="352">
        <f t="shared" si="6"/>
        <v>0.13921237633282763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</row>
    <row r="28" spans="1:21" ht="14.1" customHeight="1" x14ac:dyDescent="0.2">
      <c r="A28" s="292"/>
      <c r="B28" s="268"/>
      <c r="C28" s="257" t="s">
        <v>9</v>
      </c>
      <c r="D28" s="245">
        <f>INDEX([2]Kraje!B18:AK18,1,3*T!$A$4-2)</f>
        <v>79982</v>
      </c>
      <c r="E28" s="96">
        <f>INDEX([2]Kraje!C18:AL18,1,3*T!$A$4-2)</f>
        <v>3695</v>
      </c>
      <c r="F28" s="96">
        <f>INDEX([2]Kraje!D18:AM18,1,3*T!$A$4-2)</f>
        <v>39317.5</v>
      </c>
      <c r="G28" s="334">
        <f t="shared" si="4"/>
        <v>0.20903459395242271</v>
      </c>
      <c r="H28" s="316">
        <f t="shared" si="5"/>
        <v>0.37703573957440456</v>
      </c>
      <c r="I28" s="283">
        <f>INDEX([4]Kraje!C18:AL18,1,3*T!$A$4-2)</f>
        <v>2683.3</v>
      </c>
      <c r="J28" s="96">
        <f>INDEX([4]Kraje!D18:AM18,1,3*T!$A$4-2)</f>
        <v>28538</v>
      </c>
      <c r="K28" s="352">
        <f>I28/$I$29</f>
        <v>0.19112231742843508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</row>
    <row r="29" spans="1:21" ht="14.1" customHeight="1" x14ac:dyDescent="0.2">
      <c r="A29" s="292"/>
      <c r="B29" s="268"/>
      <c r="C29" s="259" t="s">
        <v>2</v>
      </c>
      <c r="D29" s="253">
        <f>SUM(D25:D28)</f>
        <v>86210</v>
      </c>
      <c r="E29" s="251">
        <f>SUM(E25:E28)</f>
        <v>17676.5</v>
      </c>
      <c r="F29" s="252">
        <f>SUM(F25:F28)</f>
        <v>188089.80733800004</v>
      </c>
      <c r="G29" s="336">
        <f>SUM(G25:G28)</f>
        <v>1</v>
      </c>
      <c r="H29" s="318">
        <f t="shared" si="5"/>
        <v>0.25903687400727932</v>
      </c>
      <c r="I29" s="286">
        <f>SUM(I25:I28)</f>
        <v>14039.7</v>
      </c>
      <c r="J29" s="252">
        <f>SUM(J25:J28)</f>
        <v>149317.50493900001</v>
      </c>
      <c r="K29" s="354">
        <f>SUM(K25:K28)</f>
        <v>1</v>
      </c>
    </row>
    <row r="30" spans="1:21" ht="12.95" customHeight="1" x14ac:dyDescent="0.2">
      <c r="A30" s="292"/>
      <c r="B30" s="268"/>
      <c r="C30" s="293"/>
      <c r="D30" s="294"/>
      <c r="E30" s="293"/>
      <c r="F30" s="293"/>
      <c r="G30" s="337"/>
      <c r="H30" s="319"/>
      <c r="I30" s="295"/>
      <c r="J30" s="296"/>
      <c r="K30" s="355"/>
    </row>
    <row r="31" spans="1:21" ht="12.95" customHeight="1" x14ac:dyDescent="0.2">
      <c r="A31" s="834" t="s">
        <v>233</v>
      </c>
      <c r="B31" s="834"/>
      <c r="C31" s="255"/>
      <c r="D31" s="254"/>
      <c r="E31" s="255"/>
      <c r="F31" s="255"/>
      <c r="G31" s="333"/>
      <c r="H31" s="364"/>
      <c r="I31" s="282"/>
      <c r="J31" s="255"/>
      <c r="K31" s="351"/>
    </row>
    <row r="32" spans="1:21" ht="14.1" customHeight="1" x14ac:dyDescent="0.2">
      <c r="A32" s="95"/>
      <c r="B32" s="95"/>
      <c r="C32" s="257" t="s">
        <v>6</v>
      </c>
      <c r="D32" s="245">
        <f>INDEX([2]Kraje!B21:AK21,1,3*T!$A$4-2)</f>
        <v>81</v>
      </c>
      <c r="E32" s="96">
        <f>INDEX([2]Kraje!C21:AL21,1,3*T!$A$4-2)</f>
        <v>10530.1</v>
      </c>
      <c r="F32" s="96">
        <f>INDEX([2]Kraje!D21:AM21,1,3*T!$A$4-2)</f>
        <v>112047.03569999996</v>
      </c>
      <c r="G32" s="334">
        <f>E32/$E$36</f>
        <v>0.42102043509030063</v>
      </c>
      <c r="H32" s="316">
        <f>(E32-I32)/I32</f>
        <v>5.9878009501570136E-2</v>
      </c>
      <c r="I32" s="283">
        <f>INDEX([4]Kraje!C21:AL21,1,3*T!$A$4-2)</f>
        <v>9935.2000000000007</v>
      </c>
      <c r="J32" s="96">
        <f>INDEX([4]Kraje!D21:AM21,1,3*T!$A$4-2)</f>
        <v>105664.35864199998</v>
      </c>
      <c r="K32" s="352">
        <f>I32/$I$36</f>
        <v>0.47185098642654277</v>
      </c>
    </row>
    <row r="33" spans="1:11" ht="14.1" customHeight="1" x14ac:dyDescent="0.2">
      <c r="A33" s="95"/>
      <c r="B33" s="95"/>
      <c r="C33" s="257" t="s">
        <v>7</v>
      </c>
      <c r="D33" s="245">
        <f>INDEX([2]Kraje!B22:AK22,1,3*T!$A$4-2)</f>
        <v>256</v>
      </c>
      <c r="E33" s="96">
        <f>INDEX([2]Kraje!C22:AL22,1,3*T!$A$4-2)</f>
        <v>2395.3000000000002</v>
      </c>
      <c r="F33" s="96">
        <f>INDEX([2]Kraje!D22:AM22,1,3*T!$A$4-2)</f>
        <v>25487.578733999984</v>
      </c>
      <c r="G33" s="334">
        <f t="shared" ref="G33:G35" si="7">E33/$E$36</f>
        <v>9.5770244173540339E-2</v>
      </c>
      <c r="H33" s="316">
        <f t="shared" ref="H33:H36" si="8">(E33-I33)/I33</f>
        <v>0.28765724115686492</v>
      </c>
      <c r="I33" s="283">
        <f>INDEX([4]Kraje!C22:AL22,1,3*T!$A$4-2)</f>
        <v>1860.2</v>
      </c>
      <c r="J33" s="96">
        <f>INDEX([4]Kraje!D22:AM22,1,3*T!$A$4-2)</f>
        <v>19784.243839999988</v>
      </c>
      <c r="K33" s="352">
        <f t="shared" ref="K33:K35" si="9">I33/$I$36</f>
        <v>8.8346203896313591E-2</v>
      </c>
    </row>
    <row r="34" spans="1:11" ht="14.1" customHeight="1" x14ac:dyDescent="0.2">
      <c r="A34" s="292"/>
      <c r="B34" s="268"/>
      <c r="C34" s="257" t="s">
        <v>8</v>
      </c>
      <c r="D34" s="245">
        <f>INDEX([2]Kraje!B23:AK23,1,3*T!$A$4-2)</f>
        <v>9426</v>
      </c>
      <c r="E34" s="96">
        <f>INDEX([2]Kraje!C23:AL23,1,3*T!$A$4-2)</f>
        <v>4138.8</v>
      </c>
      <c r="F34" s="96">
        <f>INDEX([2]Kraje!D23:AM23,1,3*T!$A$4-2)</f>
        <v>44039.199999999997</v>
      </c>
      <c r="G34" s="334">
        <f t="shared" si="7"/>
        <v>0.16547985078505772</v>
      </c>
      <c r="H34" s="316">
        <f t="shared" si="8"/>
        <v>0.28478301359657293</v>
      </c>
      <c r="I34" s="283">
        <f>INDEX([4]Kraje!C23:AL23,1,3*T!$A$4-2)</f>
        <v>3221.4</v>
      </c>
      <c r="J34" s="96">
        <f>INDEX([4]Kraje!D23:AM23,1,3*T!$A$4-2)</f>
        <v>34260.300000000003</v>
      </c>
      <c r="K34" s="352">
        <f t="shared" si="9"/>
        <v>0.15299347448209044</v>
      </c>
    </row>
    <row r="35" spans="1:11" ht="14.1" customHeight="1" x14ac:dyDescent="0.2">
      <c r="A35" s="292"/>
      <c r="B35" s="268"/>
      <c r="C35" s="257" t="s">
        <v>9</v>
      </c>
      <c r="D35" s="245">
        <f>INDEX([2]Kraje!B24:AK24,1,3*T!$A$4-2)</f>
        <v>108853</v>
      </c>
      <c r="E35" s="96">
        <f>INDEX([2]Kraje!C24:AL24,1,3*T!$A$4-2)</f>
        <v>7946.7</v>
      </c>
      <c r="F35" s="96">
        <f>INDEX([2]Kraje!D24:AM24,1,3*T!$A$4-2)</f>
        <v>84558.399999999994</v>
      </c>
      <c r="G35" s="334">
        <f t="shared" si="7"/>
        <v>0.3177294699511013</v>
      </c>
      <c r="H35" s="316">
        <f t="shared" si="8"/>
        <v>0.31589667163437651</v>
      </c>
      <c r="I35" s="283">
        <f>INDEX([4]Kraje!C24:AL24,1,3*T!$A$4-2)</f>
        <v>6039</v>
      </c>
      <c r="J35" s="96">
        <f>INDEX([4]Kraje!D24:AM24,1,3*T!$A$4-2)</f>
        <v>64226.400000000001</v>
      </c>
      <c r="K35" s="352">
        <f t="shared" si="9"/>
        <v>0.28680933519505308</v>
      </c>
    </row>
    <row r="36" spans="1:11" ht="14.1" customHeight="1" x14ac:dyDescent="0.2">
      <c r="A36" s="292"/>
      <c r="B36" s="268"/>
      <c r="C36" s="259" t="s">
        <v>2</v>
      </c>
      <c r="D36" s="253">
        <f>SUM(D32:D35)</f>
        <v>118616</v>
      </c>
      <c r="E36" s="251">
        <f>SUM(E32:E35)</f>
        <v>25010.9</v>
      </c>
      <c r="F36" s="252">
        <f>SUM(F32:F35)</f>
        <v>266132.21443399996</v>
      </c>
      <c r="G36" s="336">
        <f>SUM(G32:G35)</f>
        <v>1</v>
      </c>
      <c r="H36" s="318">
        <f t="shared" si="8"/>
        <v>0.18783898023347476</v>
      </c>
      <c r="I36" s="286">
        <f>SUM(I32:I35)</f>
        <v>21055.800000000003</v>
      </c>
      <c r="J36" s="252">
        <f>SUM(J32:J35)</f>
        <v>223935.30248199994</v>
      </c>
      <c r="K36" s="354">
        <f>SUM(K32:K35)</f>
        <v>1</v>
      </c>
    </row>
    <row r="37" spans="1:11" ht="12.95" customHeight="1" x14ac:dyDescent="0.2">
      <c r="A37" s="292"/>
      <c r="B37" s="268"/>
      <c r="C37" s="293"/>
      <c r="D37" s="294"/>
      <c r="E37" s="293"/>
      <c r="F37" s="293"/>
      <c r="G37" s="337"/>
      <c r="H37" s="319"/>
      <c r="I37" s="295"/>
      <c r="J37" s="296"/>
      <c r="K37" s="355"/>
    </row>
    <row r="38" spans="1:11" ht="12.95" customHeight="1" x14ac:dyDescent="0.2">
      <c r="A38" s="834" t="s">
        <v>234</v>
      </c>
      <c r="B38" s="834"/>
      <c r="C38" s="255"/>
      <c r="D38" s="254"/>
      <c r="E38" s="255"/>
      <c r="F38" s="255"/>
      <c r="G38" s="333"/>
      <c r="H38" s="364"/>
      <c r="I38" s="282"/>
      <c r="J38" s="255"/>
      <c r="K38" s="351"/>
    </row>
    <row r="39" spans="1:11" ht="14.1" customHeight="1" x14ac:dyDescent="0.2">
      <c r="A39" s="95"/>
      <c r="B39" s="95"/>
      <c r="C39" s="257" t="s">
        <v>6</v>
      </c>
      <c r="D39" s="245">
        <f>INDEX([2]Kraje!B27:AK27,1,3*T!$A$4-2)</f>
        <v>93</v>
      </c>
      <c r="E39" s="96">
        <f>INDEX([2]Kraje!C27:AL27,1,3*T!$A$4-2)</f>
        <v>13087.9</v>
      </c>
      <c r="F39" s="96">
        <f>INDEX([2]Kraje!D27:AM27,1,3*T!$A$4-2)</f>
        <v>139263.89343999996</v>
      </c>
      <c r="G39" s="334">
        <f>E39/$E$43</f>
        <v>0.49326132346401136</v>
      </c>
      <c r="H39" s="316">
        <f>(E39-I39)/I39</f>
        <v>0.12978660957839855</v>
      </c>
      <c r="I39" s="283">
        <f>INDEX([4]Kraje!C27:AL27,1,3*T!$A$4-2)</f>
        <v>11584.4</v>
      </c>
      <c r="J39" s="96">
        <f>INDEX([4]Kraje!D27:AM27,1,3*T!$A$4-2)</f>
        <v>123204.43478900005</v>
      </c>
      <c r="K39" s="352">
        <f>I39/$I$43</f>
        <v>0.54094288169150884</v>
      </c>
    </row>
    <row r="40" spans="1:11" ht="14.1" customHeight="1" x14ac:dyDescent="0.2">
      <c r="A40" s="95"/>
      <c r="B40" s="95"/>
      <c r="C40" s="257" t="s">
        <v>7</v>
      </c>
      <c r="D40" s="245">
        <f>INDEX([2]Kraje!B28:AK28,1,3*T!$A$4-2)</f>
        <v>305</v>
      </c>
      <c r="E40" s="96">
        <f>INDEX([2]Kraje!C28:AL28,1,3*T!$A$4-2)</f>
        <v>3306.8</v>
      </c>
      <c r="F40" s="96">
        <f>INDEX([2]Kraje!D28:AM28,1,3*T!$A$4-2)</f>
        <v>35186.450359999995</v>
      </c>
      <c r="G40" s="334">
        <f>E40/$E$43</f>
        <v>0.12462782756827244</v>
      </c>
      <c r="H40" s="316">
        <f t="shared" ref="H40:H43" si="10">(E40-I40)/I40</f>
        <v>0.33889383755769698</v>
      </c>
      <c r="I40" s="283">
        <f>INDEX([4]Kraje!C28:AL28,1,3*T!$A$4-2)</f>
        <v>2469.8000000000002</v>
      </c>
      <c r="J40" s="96">
        <f>INDEX([4]Kraje!D28:AM28,1,3*T!$A$4-2)</f>
        <v>26266.729857000028</v>
      </c>
      <c r="K40" s="352">
        <f t="shared" ref="K40:K41" si="11">I40/$I$43</f>
        <v>0.11532929881579439</v>
      </c>
    </row>
    <row r="41" spans="1:11" ht="14.1" customHeight="1" x14ac:dyDescent="0.2">
      <c r="A41" s="292"/>
      <c r="B41" s="268"/>
      <c r="C41" s="257" t="s">
        <v>8</v>
      </c>
      <c r="D41" s="245">
        <f>INDEX([2]Kraje!B29:AK29,1,3*T!$A$4-2)</f>
        <v>8547</v>
      </c>
      <c r="E41" s="96">
        <f>INDEX([2]Kraje!C29:AL29,1,3*T!$A$4-2)</f>
        <v>4111</v>
      </c>
      <c r="F41" s="96">
        <f>INDEX([2]Kraje!D29:AM29,1,3*T!$A$4-2)</f>
        <v>43744</v>
      </c>
      <c r="G41" s="334">
        <f t="shared" ref="G41:G42" si="12">E41/$E$43</f>
        <v>0.15493679664121446</v>
      </c>
      <c r="H41" s="316">
        <f t="shared" si="10"/>
        <v>0.4257968300211562</v>
      </c>
      <c r="I41" s="283">
        <f>INDEX([4]Kraje!C29:AL29,1,3*T!$A$4-2)</f>
        <v>2883.3</v>
      </c>
      <c r="J41" s="96">
        <f>INDEX([4]Kraje!D29:AM29,1,3*T!$A$4-2)</f>
        <v>30665.200000000001</v>
      </c>
      <c r="K41" s="352">
        <f t="shared" si="11"/>
        <v>0.13463801412081139</v>
      </c>
    </row>
    <row r="42" spans="1:11" ht="14.1" customHeight="1" x14ac:dyDescent="0.2">
      <c r="A42" s="292"/>
      <c r="B42" s="268"/>
      <c r="C42" s="257" t="s">
        <v>9</v>
      </c>
      <c r="D42" s="245">
        <f>INDEX([2]Kraje!B30:AK30,1,3*T!$A$4-2)</f>
        <v>83765</v>
      </c>
      <c r="E42" s="96">
        <f>INDEX([2]Kraje!C30:AL30,1,3*T!$A$4-2)</f>
        <v>6027.7</v>
      </c>
      <c r="F42" s="96">
        <f>INDEX([2]Kraje!D30:AM30,1,3*T!$A$4-2)</f>
        <v>64138.400000000001</v>
      </c>
      <c r="G42" s="334">
        <f t="shared" si="12"/>
        <v>0.22717405232650167</v>
      </c>
      <c r="H42" s="316">
        <f t="shared" si="10"/>
        <v>0.34615985885610917</v>
      </c>
      <c r="I42" s="283">
        <f>INDEX([4]Kraje!C30:AL30,1,3*T!$A$4-2)</f>
        <v>4477.7</v>
      </c>
      <c r="J42" s="96">
        <f>INDEX([4]Kraje!D30:AM30,1,3*T!$A$4-2)</f>
        <v>47622.3</v>
      </c>
      <c r="K42" s="352">
        <f>I42/$I$43</f>
        <v>0.20908980537188537</v>
      </c>
    </row>
    <row r="43" spans="1:11" ht="14.1" customHeight="1" x14ac:dyDescent="0.2">
      <c r="A43" s="292"/>
      <c r="B43" s="268"/>
      <c r="C43" s="259" t="s">
        <v>2</v>
      </c>
      <c r="D43" s="253">
        <f>SUM(D39:D42)</f>
        <v>92710</v>
      </c>
      <c r="E43" s="251">
        <f>SUM(E39:E42)</f>
        <v>26533.4</v>
      </c>
      <c r="F43" s="252">
        <f>SUM(F39:F42)</f>
        <v>282332.74379999994</v>
      </c>
      <c r="G43" s="336">
        <f>SUM(G39:G42)</f>
        <v>0.99999999999999989</v>
      </c>
      <c r="H43" s="318">
        <f t="shared" si="10"/>
        <v>0.23899846837760097</v>
      </c>
      <c r="I43" s="286">
        <f>SUM(I39:I42)</f>
        <v>21415.200000000001</v>
      </c>
      <c r="J43" s="252">
        <f>SUM(J39:J42)</f>
        <v>227758.66464600008</v>
      </c>
      <c r="K43" s="354">
        <f>SUM(K39:K42)</f>
        <v>0.99999999999999989</v>
      </c>
    </row>
    <row r="44" spans="1:11" ht="12.95" customHeight="1" x14ac:dyDescent="0.2">
      <c r="A44" s="292"/>
      <c r="B44" s="268"/>
      <c r="C44" s="293"/>
      <c r="D44" s="294"/>
      <c r="E44" s="293"/>
      <c r="F44" s="293"/>
      <c r="G44" s="337"/>
      <c r="H44" s="319"/>
      <c r="I44" s="295"/>
      <c r="J44" s="296"/>
      <c r="K44" s="355"/>
    </row>
    <row r="45" spans="1:11" ht="12.95" customHeight="1" x14ac:dyDescent="0.2">
      <c r="A45" s="834" t="s">
        <v>235</v>
      </c>
      <c r="B45" s="834"/>
      <c r="C45" s="255"/>
      <c r="D45" s="254"/>
      <c r="E45" s="255"/>
      <c r="F45" s="255"/>
      <c r="G45" s="333"/>
      <c r="H45" s="364"/>
      <c r="I45" s="282"/>
      <c r="J45" s="255"/>
      <c r="K45" s="351"/>
    </row>
    <row r="46" spans="1:11" ht="14.1" customHeight="1" x14ac:dyDescent="0.2">
      <c r="A46" s="95"/>
      <c r="B46" s="95"/>
      <c r="C46" s="257" t="s">
        <v>6</v>
      </c>
      <c r="D46" s="245">
        <f>INDEX([2]Kraje!B33:AK33,1,3*T!$A$4-2)</f>
        <v>131</v>
      </c>
      <c r="E46" s="96">
        <f>INDEX([2]Kraje!C33:AL33,1,3*T!$A$4-2)</f>
        <v>41439.199999999997</v>
      </c>
      <c r="F46" s="96">
        <f>INDEX([2]Kraje!D33:AM33,1,3*T!$A$4-2)</f>
        <v>440799.06076999992</v>
      </c>
      <c r="G46" s="334">
        <f>E46/$E$50</f>
        <v>0.58022707843515164</v>
      </c>
      <c r="H46" s="316">
        <f>(E46-I46)/I46</f>
        <v>0.10285432939892739</v>
      </c>
      <c r="I46" s="283">
        <f>INDEX([4]Kraje!C33:AL33,1,3*T!$A$4-2)</f>
        <v>37574.5</v>
      </c>
      <c r="J46" s="96">
        <f>INDEX([4]Kraje!D33:AM33,1,3*T!$A$4-2)</f>
        <v>399484.58302500006</v>
      </c>
      <c r="K46" s="352">
        <f>I46/$I$50</f>
        <v>0.61673880103560974</v>
      </c>
    </row>
    <row r="47" spans="1:11" ht="14.1" customHeight="1" x14ac:dyDescent="0.2">
      <c r="A47" s="95"/>
      <c r="B47" s="95"/>
      <c r="C47" s="257" t="s">
        <v>7</v>
      </c>
      <c r="D47" s="245">
        <f>INDEX([2]Kraje!B34:AK34,1,3*T!$A$4-2)</f>
        <v>479</v>
      </c>
      <c r="E47" s="96">
        <f>INDEX([2]Kraje!C34:AL34,1,3*T!$A$4-2)</f>
        <v>4691.1000000000004</v>
      </c>
      <c r="F47" s="96">
        <f>INDEX([2]Kraje!D34:AM34,1,3*T!$A$4-2)</f>
        <v>49897.236119999958</v>
      </c>
      <c r="G47" s="334">
        <f t="shared" ref="G47:G49" si="13">E47/$E$50</f>
        <v>6.5684261463714075E-2</v>
      </c>
      <c r="H47" s="316">
        <f t="shared" ref="H47:H50" si="14">(E47-I47)/I47</f>
        <v>0.17831307143574815</v>
      </c>
      <c r="I47" s="283">
        <f>INDEX([4]Kraje!C34:AL34,1,3*T!$A$4-2)</f>
        <v>3981.2</v>
      </c>
      <c r="J47" s="96">
        <f>INDEX([4]Kraje!D34:AM34,1,3*T!$A$4-2)</f>
        <v>42333.461687000061</v>
      </c>
      <c r="K47" s="352">
        <f t="shared" ref="K47:K49" si="15">I47/$I$50</f>
        <v>6.5346458760142376E-2</v>
      </c>
    </row>
    <row r="48" spans="1:11" ht="14.1" customHeight="1" x14ac:dyDescent="0.2">
      <c r="A48" s="292"/>
      <c r="B48" s="268"/>
      <c r="C48" s="257" t="s">
        <v>8</v>
      </c>
      <c r="D48" s="245">
        <f>INDEX([2]Kraje!B35:AK35,1,3*T!$A$4-2)</f>
        <v>18032</v>
      </c>
      <c r="E48" s="96">
        <f>INDEX([2]Kraje!C35:AL35,1,3*T!$A$4-2)</f>
        <v>7616.0349999999999</v>
      </c>
      <c r="F48" s="96">
        <f>INDEX([2]Kraje!D35:AM35,1,3*T!$A$4-2)</f>
        <v>81032.42</v>
      </c>
      <c r="G48" s="334">
        <f t="shared" si="13"/>
        <v>0.10663887665084897</v>
      </c>
      <c r="H48" s="316">
        <f t="shared" si="14"/>
        <v>0.28982699360424208</v>
      </c>
      <c r="I48" s="283">
        <f>INDEX([4]Kraje!C35:AL35,1,3*T!$A$4-2)</f>
        <v>5904.6949999999997</v>
      </c>
      <c r="J48" s="96">
        <f>INDEX([4]Kraje!D35:AM35,1,3*T!$A$4-2)</f>
        <v>62790.065000000002</v>
      </c>
      <c r="K48" s="352">
        <f t="shared" si="15"/>
        <v>9.6918242818426314E-2</v>
      </c>
    </row>
    <row r="49" spans="1:11" ht="14.1" customHeight="1" x14ac:dyDescent="0.2">
      <c r="A49" s="292"/>
      <c r="B49" s="268"/>
      <c r="C49" s="257" t="s">
        <v>9</v>
      </c>
      <c r="D49" s="245">
        <f>INDEX([2]Kraje!B36:AK36,1,3*T!$A$4-2)</f>
        <v>367122</v>
      </c>
      <c r="E49" s="96">
        <f>INDEX([2]Kraje!C36:AL36,1,3*T!$A$4-2)</f>
        <v>17672.599999999999</v>
      </c>
      <c r="F49" s="96">
        <f>INDEX([2]Kraje!D36:AM36,1,3*T!$A$4-2)</f>
        <v>188047.9</v>
      </c>
      <c r="G49" s="334">
        <f t="shared" si="13"/>
        <v>0.24744978345028526</v>
      </c>
      <c r="H49" s="316">
        <f t="shared" si="14"/>
        <v>0.31257195059454385</v>
      </c>
      <c r="I49" s="283">
        <f>INDEX([4]Kraje!C36:AL36,1,3*T!$A$4-2)</f>
        <v>13464.1</v>
      </c>
      <c r="J49" s="96">
        <f>INDEX([4]Kraje!D36:AM36,1,3*T!$A$4-2)</f>
        <v>143195.70000000001</v>
      </c>
      <c r="K49" s="352">
        <f t="shared" si="15"/>
        <v>0.22099649738582161</v>
      </c>
    </row>
    <row r="50" spans="1:11" ht="14.1" customHeight="1" x14ac:dyDescent="0.2">
      <c r="A50" s="292"/>
      <c r="B50" s="268"/>
      <c r="C50" s="259" t="s">
        <v>2</v>
      </c>
      <c r="D50" s="253">
        <f>SUM(D46:D49)</f>
        <v>385764</v>
      </c>
      <c r="E50" s="251">
        <f>SUM(E46:E49)</f>
        <v>71418.934999999998</v>
      </c>
      <c r="F50" s="252">
        <f>SUM(F46:F49)</f>
        <v>759776.61688999995</v>
      </c>
      <c r="G50" s="336">
        <f>SUM(G46:G49)</f>
        <v>0.99999999999999989</v>
      </c>
      <c r="H50" s="318">
        <f t="shared" si="14"/>
        <v>0.17225321276770539</v>
      </c>
      <c r="I50" s="286">
        <f>SUM(I46:I49)</f>
        <v>60924.494999999995</v>
      </c>
      <c r="J50" s="252">
        <f>SUM(J46:J49)</f>
        <v>647803.80971200019</v>
      </c>
      <c r="K50" s="354">
        <f>SUM(K46:K49)</f>
        <v>1</v>
      </c>
    </row>
    <row r="51" spans="1:11" ht="12.95" customHeight="1" x14ac:dyDescent="0.2">
      <c r="A51" s="292"/>
      <c r="B51" s="268"/>
      <c r="C51" s="293"/>
      <c r="D51" s="294"/>
      <c r="E51" s="293"/>
      <c r="F51" s="293"/>
      <c r="G51" s="337"/>
      <c r="H51" s="319"/>
      <c r="I51" s="295"/>
      <c r="J51" s="296"/>
      <c r="K51" s="355"/>
    </row>
    <row r="52" spans="1:11" ht="12.95" customHeight="1" x14ac:dyDescent="0.2">
      <c r="A52" s="834" t="s">
        <v>236</v>
      </c>
      <c r="B52" s="834"/>
      <c r="C52" s="255"/>
      <c r="D52" s="254"/>
      <c r="E52" s="255"/>
      <c r="F52" s="255"/>
      <c r="G52" s="333"/>
      <c r="H52" s="364"/>
      <c r="I52" s="282"/>
      <c r="J52" s="255"/>
      <c r="K52" s="351"/>
    </row>
    <row r="53" spans="1:11" ht="14.1" customHeight="1" x14ac:dyDescent="0.2">
      <c r="A53" s="95"/>
      <c r="B53" s="95"/>
      <c r="C53" s="257" t="s">
        <v>6</v>
      </c>
      <c r="D53" s="245">
        <f>INDEX([2]Kraje!B39:AK39,1,3*T!$A$4-2)</f>
        <v>110</v>
      </c>
      <c r="E53" s="96">
        <f>INDEX([2]Kraje!C39:AL39,1,3*T!$A$4-2)</f>
        <v>13672.2</v>
      </c>
      <c r="F53" s="96">
        <f>INDEX([2]Kraje!D39:AM39,1,3*T!$A$4-2)</f>
        <v>145480.71457999991</v>
      </c>
      <c r="G53" s="334">
        <f>E53/$E$57</f>
        <v>0.40318961017513949</v>
      </c>
      <c r="H53" s="316">
        <f>(E53-I53)/I53</f>
        <v>9.0400121224688365E-2</v>
      </c>
      <c r="I53" s="283">
        <f>INDEX([4]Kraje!C39:AL39,1,3*T!$A$4-2)</f>
        <v>12538.7</v>
      </c>
      <c r="J53" s="96">
        <f>INDEX([4]Kraje!D39:AM39,1,3*T!$A$4-2)</f>
        <v>133353.54653699996</v>
      </c>
      <c r="K53" s="352">
        <f>I53/$I$57</f>
        <v>0.44328759761999881</v>
      </c>
    </row>
    <row r="54" spans="1:11" ht="14.1" customHeight="1" x14ac:dyDescent="0.2">
      <c r="A54" s="95"/>
      <c r="B54" s="95"/>
      <c r="C54" s="257" t="s">
        <v>7</v>
      </c>
      <c r="D54" s="245">
        <f>INDEX([2]Kraje!B40:AK40,1,3*T!$A$4-2)</f>
        <v>374</v>
      </c>
      <c r="E54" s="96">
        <f>INDEX([2]Kraje!C40:AL40,1,3*T!$A$4-2)</f>
        <v>3415.2</v>
      </c>
      <c r="F54" s="96">
        <f>INDEX([2]Kraje!D40:AM40,1,3*T!$A$4-2)</f>
        <v>36340.300940000016</v>
      </c>
      <c r="G54" s="334">
        <f>E54/$E$57</f>
        <v>0.10071335678750576</v>
      </c>
      <c r="H54" s="316">
        <f t="shared" ref="H54:H57" si="16">(E54-I54)/I54</f>
        <v>0.16986948926112411</v>
      </c>
      <c r="I54" s="283">
        <f>INDEX([4]Kraje!C40:AL40,1,3*T!$A$4-2)</f>
        <v>2919.3</v>
      </c>
      <c r="J54" s="96">
        <f>INDEX([4]Kraje!D40:AM40,1,3*T!$A$4-2)</f>
        <v>31047.617420999992</v>
      </c>
      <c r="K54" s="352">
        <f t="shared" ref="K54:K55" si="17">I54/$I$57</f>
        <v>0.10320762788264035</v>
      </c>
    </row>
    <row r="55" spans="1:11" ht="14.1" customHeight="1" x14ac:dyDescent="0.2">
      <c r="A55" s="292"/>
      <c r="B55" s="268"/>
      <c r="C55" s="257" t="s">
        <v>8</v>
      </c>
      <c r="D55" s="245">
        <f>INDEX([2]Kraje!B41:AK41,1,3*T!$A$4-2)</f>
        <v>12790</v>
      </c>
      <c r="E55" s="96">
        <f>INDEX([2]Kraje!C41:AL41,1,3*T!$A$4-2)</f>
        <v>5401.2</v>
      </c>
      <c r="F55" s="96">
        <f>INDEX([2]Kraje!D41:AM41,1,3*T!$A$4-2)</f>
        <v>57471.9</v>
      </c>
      <c r="G55" s="334">
        <f>E55/$E$57</f>
        <v>0.15927997853146994</v>
      </c>
      <c r="H55" s="316">
        <f t="shared" si="16"/>
        <v>0.27660781394029643</v>
      </c>
      <c r="I55" s="283">
        <f>INDEX([4]Kraje!C41:AL41,1,3*T!$A$4-2)</f>
        <v>4230.8999999999996</v>
      </c>
      <c r="J55" s="96">
        <f>INDEX([4]Kraje!D41:AM41,1,3*T!$A$4-2)</f>
        <v>44997.4</v>
      </c>
      <c r="K55" s="352">
        <f t="shared" si="17"/>
        <v>0.14957734827138799</v>
      </c>
    </row>
    <row r="56" spans="1:11" ht="14.1" customHeight="1" x14ac:dyDescent="0.2">
      <c r="A56" s="292"/>
      <c r="B56" s="268"/>
      <c r="C56" s="257" t="s">
        <v>9</v>
      </c>
      <c r="D56" s="245">
        <f>INDEX([2]Kraje!B42:AK42,1,3*T!$A$4-2)</f>
        <v>174567</v>
      </c>
      <c r="E56" s="96">
        <f>INDEX([2]Kraje!C42:AL42,1,3*T!$A$4-2)</f>
        <v>11421.5</v>
      </c>
      <c r="F56" s="96">
        <f>INDEX([2]Kraje!D42:AM42,1,3*T!$A$4-2)</f>
        <v>121532</v>
      </c>
      <c r="G56" s="334">
        <f t="shared" ref="G56" si="18">E56/$E$57</f>
        <v>0.33681705450588462</v>
      </c>
      <c r="H56" s="316">
        <f t="shared" si="16"/>
        <v>0.32857574911595022</v>
      </c>
      <c r="I56" s="283">
        <f>INDEX([4]Kraje!C42:AL42,1,3*T!$A$4-2)</f>
        <v>8596.7999999999993</v>
      </c>
      <c r="J56" s="96">
        <f>INDEX([4]Kraje!D42:AM42,1,3*T!$A$4-2)</f>
        <v>91429.8</v>
      </c>
      <c r="K56" s="352">
        <f>I56/$I$57</f>
        <v>0.3039274262259728</v>
      </c>
    </row>
    <row r="57" spans="1:11" ht="14.1" customHeight="1" x14ac:dyDescent="0.2">
      <c r="A57" s="292"/>
      <c r="B57" s="268"/>
      <c r="C57" s="259" t="s">
        <v>2</v>
      </c>
      <c r="D57" s="253">
        <f>SUM(D53:D56)</f>
        <v>187841</v>
      </c>
      <c r="E57" s="251">
        <f>SUM(E53:E56)</f>
        <v>33910.100000000006</v>
      </c>
      <c r="F57" s="252">
        <f>SUM(F53:F56)</f>
        <v>360824.91551999992</v>
      </c>
      <c r="G57" s="336">
        <f>SUM(G53:G56)</f>
        <v>0.99999999999999978</v>
      </c>
      <c r="H57" s="318">
        <f t="shared" si="16"/>
        <v>0.19884252466794192</v>
      </c>
      <c r="I57" s="286">
        <f>SUM(I53:I56)</f>
        <v>28285.7</v>
      </c>
      <c r="J57" s="252">
        <f>SUM(J53:J56)</f>
        <v>300828.36395799997</v>
      </c>
      <c r="K57" s="354">
        <f>SUM(K53:K56)</f>
        <v>1</v>
      </c>
    </row>
    <row r="58" spans="1:11" ht="12.95" customHeight="1" x14ac:dyDescent="0.2">
      <c r="A58" s="292"/>
      <c r="B58" s="268"/>
      <c r="C58" s="174"/>
      <c r="D58" s="297"/>
      <c r="E58" s="174"/>
      <c r="F58" s="174"/>
      <c r="G58" s="338"/>
      <c r="H58" s="320"/>
      <c r="I58" s="298"/>
      <c r="J58" s="299"/>
      <c r="K58" s="356"/>
    </row>
    <row r="59" spans="1:11" ht="15" customHeight="1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 x14ac:dyDescent="0.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 x14ac:dyDescent="0.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 x14ac:dyDescent="0.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 x14ac:dyDescent="0.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 x14ac:dyDescent="0.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 x14ac:dyDescent="0.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 x14ac:dyDescent="0.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 x14ac:dyDescent="0.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 x14ac:dyDescent="0.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 x14ac:dyDescent="0.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 x14ac:dyDescent="0.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 x14ac:dyDescent="0.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 x14ac:dyDescent="0.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 x14ac:dyDescent="0.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 x14ac:dyDescent="0.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 x14ac:dyDescent="0.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 x14ac:dyDescent="0.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 x14ac:dyDescent="0.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 x14ac:dyDescent="0.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 x14ac:dyDescent="0.2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1:11" ht="15" customHeight="1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A10:B10"/>
    <mergeCell ref="J1:K1"/>
    <mergeCell ref="A3:K3"/>
    <mergeCell ref="D4:E4"/>
    <mergeCell ref="H6:H9"/>
    <mergeCell ref="B8:C9"/>
    <mergeCell ref="D8:D9"/>
    <mergeCell ref="E8:F8"/>
    <mergeCell ref="I8:J8"/>
    <mergeCell ref="A17:B17"/>
    <mergeCell ref="A24:B24"/>
    <mergeCell ref="A31:B31"/>
    <mergeCell ref="A38:B38"/>
    <mergeCell ref="A52:B52"/>
    <mergeCell ref="A45:B4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Q121"/>
  <sheetViews>
    <sheetView view="pageBreakPreview" topLeftCell="A16" zoomScaleNormal="100" zoomScaleSheetLayoutView="100" workbookViewId="0">
      <selection activeCell="C1" sqref="C1"/>
    </sheetView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1"/>
      <c r="K1" s="821"/>
    </row>
    <row r="2" spans="1:17" ht="6.75" customHeight="1" x14ac:dyDescent="0.2"/>
    <row r="3" spans="1:17" ht="30" customHeight="1" x14ac:dyDescent="0.2">
      <c r="A3" s="829"/>
      <c r="B3" s="829"/>
      <c r="C3" s="829"/>
      <c r="D3" s="829"/>
      <c r="E3" s="829"/>
      <c r="F3" s="829"/>
      <c r="G3" s="829"/>
      <c r="H3" s="829"/>
      <c r="I3" s="829"/>
      <c r="J3" s="829"/>
      <c r="K3" s="829"/>
    </row>
    <row r="4" spans="1:17" ht="16.5" customHeight="1" x14ac:dyDescent="0.2">
      <c r="B4" s="242"/>
      <c r="C4" s="242"/>
      <c r="D4" s="828"/>
      <c r="E4" s="828"/>
      <c r="F4" s="223"/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1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'7'!E7</f>
        <v>Duben</v>
      </c>
      <c r="F7" s="265">
        <f>'7'!F7</f>
        <v>2015</v>
      </c>
      <c r="G7" s="265"/>
      <c r="H7" s="832"/>
      <c r="I7" s="280" t="str">
        <f>E7</f>
        <v>Duben</v>
      </c>
      <c r="J7" s="260">
        <f>F7-1</f>
        <v>2014</v>
      </c>
      <c r="K7" s="274"/>
    </row>
    <row r="8" spans="1:17" ht="14.1" customHeight="1" x14ac:dyDescent="0.2">
      <c r="A8" s="278"/>
      <c r="B8" s="826" t="s">
        <v>92</v>
      </c>
      <c r="C8" s="826"/>
      <c r="D8" s="838" t="s">
        <v>0</v>
      </c>
      <c r="E8" s="840" t="s">
        <v>71</v>
      </c>
      <c r="F8" s="793"/>
      <c r="G8" s="331" t="s">
        <v>224</v>
      </c>
      <c r="H8" s="832"/>
      <c r="I8" s="841" t="s">
        <v>71</v>
      </c>
      <c r="J8" s="793"/>
      <c r="K8" s="349" t="s">
        <v>224</v>
      </c>
    </row>
    <row r="9" spans="1:17" ht="14.1" customHeight="1" x14ac:dyDescent="0.2">
      <c r="A9" s="250"/>
      <c r="B9" s="827"/>
      <c r="C9" s="827"/>
      <c r="D9" s="839"/>
      <c r="E9" s="266" t="s">
        <v>15</v>
      </c>
      <c r="F9" s="266" t="s">
        <v>1</v>
      </c>
      <c r="G9" s="332" t="s">
        <v>127</v>
      </c>
      <c r="H9" s="833"/>
      <c r="I9" s="281" t="s">
        <v>15</v>
      </c>
      <c r="J9" s="266" t="s">
        <v>1</v>
      </c>
      <c r="K9" s="350" t="s">
        <v>127</v>
      </c>
    </row>
    <row r="10" spans="1:17" ht="12.95" customHeight="1" x14ac:dyDescent="0.2">
      <c r="A10" s="834" t="s">
        <v>237</v>
      </c>
      <c r="B10" s="834"/>
      <c r="C10" s="255"/>
      <c r="D10" s="254"/>
      <c r="E10" s="255"/>
      <c r="F10" s="255"/>
      <c r="G10" s="333"/>
      <c r="H10" s="315"/>
      <c r="I10" s="282"/>
      <c r="J10" s="255"/>
      <c r="K10" s="351"/>
    </row>
    <row r="11" spans="1:17" ht="14.1" customHeight="1" x14ac:dyDescent="0.2">
      <c r="A11" s="95"/>
      <c r="B11" s="95"/>
      <c r="C11" s="257" t="s">
        <v>6</v>
      </c>
      <c r="D11" s="245">
        <f>INDEX([2]Kraje!B45:AK45,1,3*T!$A$4-2)</f>
        <v>75</v>
      </c>
      <c r="E11" s="96">
        <f>INDEX([2]Kraje!C45:AL45,1,3*T!$A$4-2)</f>
        <v>13356</v>
      </c>
      <c r="F11" s="96">
        <f>INDEX([2]Kraje!D45:AM45,1,3*T!$A$4-2)</f>
        <v>142116.78551999995</v>
      </c>
      <c r="G11" s="334">
        <f>E11/$E$15</f>
        <v>0.44742069806472795</v>
      </c>
      <c r="H11" s="316">
        <f>(E11-I11)/I11</f>
        <v>0.27557160048134771</v>
      </c>
      <c r="I11" s="283">
        <f>INDEX([4]Kraje!C45:AL45,1,3*T!$A$4-2)</f>
        <v>10470.6</v>
      </c>
      <c r="J11" s="96">
        <f>INDEX([4]Kraje!D45:AM45,1,3*T!$A$4-2)</f>
        <v>111358.84084899999</v>
      </c>
      <c r="K11" s="352">
        <f>I11/$I$15</f>
        <v>0.45189357156729465</v>
      </c>
    </row>
    <row r="12" spans="1:17" ht="14.1" customHeight="1" x14ac:dyDescent="0.2">
      <c r="A12" s="95"/>
      <c r="B12" s="95"/>
      <c r="C12" s="257" t="s">
        <v>7</v>
      </c>
      <c r="D12" s="245">
        <f>INDEX([2]Kraje!B46:AK46,1,3*T!$A$4-2)</f>
        <v>287</v>
      </c>
      <c r="E12" s="96">
        <f>INDEX([2]Kraje!C46:AL46,1,3*T!$A$4-2)</f>
        <v>2844.4</v>
      </c>
      <c r="F12" s="96">
        <f>INDEX([2]Kraje!D46:AM46,1,3*T!$A$4-2)</f>
        <v>30266.6394</v>
      </c>
      <c r="G12" s="334">
        <f>E12/$E$15</f>
        <v>9.5286270857690342E-2</v>
      </c>
      <c r="H12" s="316">
        <f>(E12-I12)/I12</f>
        <v>0.12103417018090092</v>
      </c>
      <c r="I12" s="283">
        <f>INDEX([4]Kraje!C46:AL46,1,3*T!$A$4-2)</f>
        <v>2537.3000000000002</v>
      </c>
      <c r="J12" s="96">
        <f>INDEX([4]Kraje!D46:AM46,1,3*T!$A$4-2)</f>
        <v>26984.918616000003</v>
      </c>
      <c r="K12" s="352">
        <f>I12/$I$15</f>
        <v>0.1095056213720032</v>
      </c>
      <c r="L12" s="284"/>
      <c r="M12" s="284"/>
      <c r="O12" s="284"/>
      <c r="P12" s="284"/>
      <c r="Q12" s="284"/>
    </row>
    <row r="13" spans="1:17" ht="14.1" customHeight="1" x14ac:dyDescent="0.2">
      <c r="A13" s="292"/>
      <c r="B13" s="268"/>
      <c r="C13" s="257" t="s">
        <v>8</v>
      </c>
      <c r="D13" s="245">
        <f>INDEX([2]Kraje!B47:AK47,1,3*T!$A$4-2)</f>
        <v>10833</v>
      </c>
      <c r="E13" s="96">
        <f>INDEX([2]Kraje!C47:AL47,1,3*T!$A$4-2)</f>
        <v>4512.2</v>
      </c>
      <c r="F13" s="96">
        <f>INDEX([2]Kraje!D47:AM47,1,3*T!$A$4-2)</f>
        <v>48013.1</v>
      </c>
      <c r="G13" s="334">
        <f>E13/$E$15</f>
        <v>0.15115690879063085</v>
      </c>
      <c r="H13" s="316">
        <f t="shared" ref="H13:H15" si="0">(E13-I13)/I13</f>
        <v>0.32167545401288805</v>
      </c>
      <c r="I13" s="283">
        <f>INDEX([4]Kraje!C47:AL47,1,3*T!$A$4-2)</f>
        <v>3414</v>
      </c>
      <c r="J13" s="96">
        <f>INDEX([4]Kraje!D47:AM47,1,3*T!$A$4-2)</f>
        <v>36308.800000000003</v>
      </c>
      <c r="K13" s="352">
        <f>I13/$I$15</f>
        <v>0.14734252605683951</v>
      </c>
      <c r="L13" s="284"/>
      <c r="M13" s="284"/>
      <c r="O13" s="284"/>
      <c r="P13" s="284"/>
      <c r="Q13" s="284"/>
    </row>
    <row r="14" spans="1:17" ht="14.1" customHeight="1" x14ac:dyDescent="0.2">
      <c r="A14" s="292"/>
      <c r="B14" s="268"/>
      <c r="C14" s="257" t="s">
        <v>9</v>
      </c>
      <c r="D14" s="245">
        <f>INDEX([2]Kraje!B48:AK48,1,3*T!$A$4-2)</f>
        <v>125261</v>
      </c>
      <c r="E14" s="96">
        <f>INDEX([2]Kraje!C48:AL48,1,3*T!$A$4-2)</f>
        <v>9138.5</v>
      </c>
      <c r="F14" s="96">
        <f>INDEX([2]Kraje!D48:AM48,1,3*T!$A$4-2)</f>
        <v>97239.4</v>
      </c>
      <c r="G14" s="334">
        <f>E14/$E$15</f>
        <v>0.30613612228695092</v>
      </c>
      <c r="H14" s="316">
        <f t="shared" si="0"/>
        <v>0.35413270900631233</v>
      </c>
      <c r="I14" s="283">
        <f>INDEX([4]Kraje!C48:AL48,1,3*T!$A$4-2)</f>
        <v>6748.6</v>
      </c>
      <c r="J14" s="96">
        <f>INDEX([4]Kraje!D48:AM48,1,3*T!$A$4-2)</f>
        <v>71773.3</v>
      </c>
      <c r="K14" s="352">
        <f>I14/$I$15</f>
        <v>0.2912582810038627</v>
      </c>
      <c r="L14" s="284"/>
      <c r="M14" s="284"/>
      <c r="O14" s="284"/>
      <c r="P14" s="284"/>
      <c r="Q14" s="284"/>
    </row>
    <row r="15" spans="1:17" ht="14.1" customHeight="1" x14ac:dyDescent="0.2">
      <c r="A15" s="292"/>
      <c r="B15" s="268"/>
      <c r="C15" s="259" t="s">
        <v>2</v>
      </c>
      <c r="D15" s="253">
        <f>SUM(D11:D14)</f>
        <v>136456</v>
      </c>
      <c r="E15" s="251">
        <f>SUM(E11:E14)</f>
        <v>29851.1</v>
      </c>
      <c r="F15" s="252">
        <f>SUM(F11:F14)</f>
        <v>317635.92491999996</v>
      </c>
      <c r="G15" s="336">
        <f>SUM(G11:G14)</f>
        <v>1</v>
      </c>
      <c r="H15" s="318">
        <f t="shared" si="0"/>
        <v>0.28832351481409546</v>
      </c>
      <c r="I15" s="286">
        <f>SUM(I11:I14)</f>
        <v>23170.5</v>
      </c>
      <c r="J15" s="252">
        <f>SUM(J11:J14)</f>
        <v>246425.85946499999</v>
      </c>
      <c r="K15" s="354">
        <f>SUM(K11:K14)</f>
        <v>1</v>
      </c>
      <c r="L15" s="284"/>
      <c r="M15" s="284"/>
    </row>
    <row r="16" spans="1:17" ht="12.95" customHeight="1" x14ac:dyDescent="0.2">
      <c r="A16" s="292"/>
      <c r="B16" s="268"/>
      <c r="C16" s="293"/>
      <c r="D16" s="294"/>
      <c r="E16" s="293"/>
      <c r="F16" s="293"/>
      <c r="G16" s="337"/>
      <c r="H16" s="319"/>
      <c r="I16" s="295"/>
      <c r="J16" s="296"/>
      <c r="K16" s="355"/>
      <c r="L16" s="284"/>
      <c r="M16" s="284"/>
    </row>
    <row r="17" spans="1:16" ht="12.95" customHeight="1" x14ac:dyDescent="0.2">
      <c r="A17" s="834" t="s">
        <v>238</v>
      </c>
      <c r="B17" s="834"/>
      <c r="C17" s="255"/>
      <c r="D17" s="254"/>
      <c r="E17" s="255"/>
      <c r="F17" s="255"/>
      <c r="G17" s="333"/>
      <c r="H17" s="364"/>
      <c r="I17" s="282"/>
      <c r="J17" s="255"/>
      <c r="K17" s="351"/>
      <c r="L17" s="284"/>
      <c r="M17" s="284"/>
    </row>
    <row r="18" spans="1:16" ht="14.1" customHeight="1" x14ac:dyDescent="0.2">
      <c r="A18" s="95"/>
      <c r="B18" s="95"/>
      <c r="C18" s="257" t="s">
        <v>6</v>
      </c>
      <c r="D18" s="245">
        <f>INDEX([2]Kraje!B51:AK51,1,3*T!$A$4-2)</f>
        <v>82</v>
      </c>
      <c r="E18" s="96">
        <f>INDEX([2]Kraje!C51:AL51,1,3*T!$A$4-2)</f>
        <v>12480.5</v>
      </c>
      <c r="F18" s="96">
        <f>INDEX([2]Kraje!D51:AM51,1,3*T!$A$4-2)</f>
        <v>132800.57638000001</v>
      </c>
      <c r="G18" s="334">
        <f>E18/$E$22</f>
        <v>0.42454001503518984</v>
      </c>
      <c r="H18" s="316">
        <f>(E18-I18)/I18</f>
        <v>-6.1433062102365849E-2</v>
      </c>
      <c r="I18" s="283">
        <f>INDEX([4]Kraje!C51:AL51,1,3*T!$A$4-2)</f>
        <v>13297.4</v>
      </c>
      <c r="J18" s="96">
        <f>INDEX([4]Kraje!D51:AM51,1,3*T!$A$4-2)</f>
        <v>141422.99178500005</v>
      </c>
      <c r="K18" s="352">
        <f>I18/$I$22</f>
        <v>0.51767243225145887</v>
      </c>
      <c r="L18" s="284"/>
      <c r="M18" s="284"/>
      <c r="N18" s="284"/>
    </row>
    <row r="19" spans="1:16" ht="14.1" customHeight="1" x14ac:dyDescent="0.2">
      <c r="A19" s="95"/>
      <c r="B19" s="95"/>
      <c r="C19" s="257" t="s">
        <v>7</v>
      </c>
      <c r="D19" s="245">
        <f>INDEX([2]Kraje!B52:AK52,1,3*T!$A$4-2)</f>
        <v>340</v>
      </c>
      <c r="E19" s="96">
        <f>INDEX([2]Kraje!C52:AL52,1,3*T!$A$4-2)</f>
        <v>3421</v>
      </c>
      <c r="F19" s="96">
        <f>INDEX([2]Kraje!D52:AM52,1,3*T!$A$4-2)</f>
        <v>36401.368319999965</v>
      </c>
      <c r="G19" s="334">
        <f t="shared" ref="G19:G20" si="1">E19/$E$22</f>
        <v>0.11636964796565717</v>
      </c>
      <c r="H19" s="316">
        <f>(E19-I19)/I19</f>
        <v>0.27706435717485434</v>
      </c>
      <c r="I19" s="283">
        <f>INDEX([4]Kraje!C52:AL52,1,3*T!$A$4-2)</f>
        <v>2678.8</v>
      </c>
      <c r="J19" s="96">
        <f>INDEX([4]Kraje!D52:AM52,1,3*T!$A$4-2)</f>
        <v>28490.258751000005</v>
      </c>
      <c r="K19" s="352">
        <f t="shared" ref="K19:K21" si="2">I19/$I$22</f>
        <v>0.10428662080671471</v>
      </c>
      <c r="L19" s="287"/>
      <c r="M19" s="287"/>
      <c r="N19" s="284"/>
    </row>
    <row r="20" spans="1:16" ht="14.1" customHeight="1" x14ac:dyDescent="0.2">
      <c r="A20" s="292"/>
      <c r="B20" s="268"/>
      <c r="C20" s="257" t="s">
        <v>8</v>
      </c>
      <c r="D20" s="245">
        <f>INDEX([2]Kraje!B53:AK53,1,3*T!$A$4-2)</f>
        <v>11384</v>
      </c>
      <c r="E20" s="96">
        <f>INDEX([2]Kraje!C53:AL53,1,3*T!$A$4-2)</f>
        <v>4981.3999999999996</v>
      </c>
      <c r="F20" s="96">
        <f>INDEX([2]Kraje!D53:AM53,1,3*T!$A$4-2)</f>
        <v>53005</v>
      </c>
      <c r="G20" s="334">
        <f t="shared" si="1"/>
        <v>0.16944863033502619</v>
      </c>
      <c r="H20" s="316">
        <f t="shared" ref="H20:H22" si="3">(E20-I20)/I20</f>
        <v>0.36757721345229916</v>
      </c>
      <c r="I20" s="283">
        <f>INDEX([4]Kraje!C53:AL53,1,3*T!$A$4-2)</f>
        <v>3642.5</v>
      </c>
      <c r="J20" s="96">
        <f>INDEX([4]Kraje!D53:AM53,1,3*T!$A$4-2)</f>
        <v>38739.300000000003</v>
      </c>
      <c r="K20" s="352">
        <f t="shared" si="2"/>
        <v>0.14180379882352481</v>
      </c>
      <c r="L20" s="284"/>
      <c r="M20" s="284"/>
      <c r="N20" s="284"/>
      <c r="O20" s="284"/>
      <c r="P20" s="284"/>
    </row>
    <row r="21" spans="1:16" ht="14.1" customHeight="1" x14ac:dyDescent="0.2">
      <c r="A21" s="292"/>
      <c r="B21" s="268"/>
      <c r="C21" s="257" t="s">
        <v>9</v>
      </c>
      <c r="D21" s="245">
        <f>INDEX([2]Kraje!B54:AK54,1,3*T!$A$4-2)</f>
        <v>147549</v>
      </c>
      <c r="E21" s="96">
        <f>INDEX([2]Kraje!C54:AL54,1,3*T!$A$4-2)</f>
        <v>8514.7999999999993</v>
      </c>
      <c r="F21" s="96">
        <f>INDEX([2]Kraje!D54:AM54,1,3*T!$A$4-2)</f>
        <v>90602.7</v>
      </c>
      <c r="G21" s="334">
        <f>E21/$E$22</f>
        <v>0.28964170666412675</v>
      </c>
      <c r="H21" s="316">
        <f t="shared" si="3"/>
        <v>0.40318381068521136</v>
      </c>
      <c r="I21" s="283">
        <f>INDEX([4]Kraje!C54:AL54,1,3*T!$A$4-2)</f>
        <v>6068.2</v>
      </c>
      <c r="J21" s="96">
        <f>INDEX([4]Kraje!D54:AM54,1,3*T!$A$4-2)</f>
        <v>64537.5</v>
      </c>
      <c r="K21" s="352">
        <f t="shared" si="2"/>
        <v>0.23623714811830152</v>
      </c>
      <c r="L21" s="284"/>
      <c r="M21" s="284"/>
      <c r="N21" s="284"/>
      <c r="O21" s="284"/>
      <c r="P21" s="284"/>
    </row>
    <row r="22" spans="1:16" ht="14.1" customHeight="1" x14ac:dyDescent="0.2">
      <c r="A22" s="292"/>
      <c r="B22" s="268"/>
      <c r="C22" s="259" t="s">
        <v>2</v>
      </c>
      <c r="D22" s="253">
        <f>SUM(D18:D21)</f>
        <v>159355</v>
      </c>
      <c r="E22" s="251">
        <f>SUM(E18:E21)</f>
        <v>29397.7</v>
      </c>
      <c r="F22" s="252">
        <f>SUM(F18:F21)</f>
        <v>312809.6447</v>
      </c>
      <c r="G22" s="336">
        <f>SUM(G18:G21)</f>
        <v>1</v>
      </c>
      <c r="H22" s="318">
        <f t="shared" si="3"/>
        <v>0.14446274170880874</v>
      </c>
      <c r="I22" s="286">
        <f>SUM(I18:I21)</f>
        <v>25686.9</v>
      </c>
      <c r="J22" s="252">
        <f>SUM(J18:J21)</f>
        <v>273190.05053600005</v>
      </c>
      <c r="K22" s="354">
        <f>SUM(K18:K21)</f>
        <v>0.99999999999999989</v>
      </c>
      <c r="L22" s="284"/>
      <c r="M22" s="284"/>
      <c r="N22" s="284"/>
      <c r="O22" s="284"/>
      <c r="P22" s="284"/>
    </row>
    <row r="23" spans="1:16" ht="12.95" customHeight="1" x14ac:dyDescent="0.2">
      <c r="A23" s="292"/>
      <c r="B23" s="268"/>
      <c r="C23" s="293"/>
      <c r="D23" s="294"/>
      <c r="E23" s="293"/>
      <c r="F23" s="293"/>
      <c r="G23" s="337"/>
      <c r="H23" s="319"/>
      <c r="I23" s="295"/>
      <c r="J23" s="296"/>
      <c r="K23" s="355"/>
      <c r="L23" s="284"/>
      <c r="M23" s="284"/>
      <c r="N23" s="284"/>
      <c r="O23" s="284"/>
      <c r="P23" s="284"/>
    </row>
    <row r="24" spans="1:16" ht="12.95" customHeight="1" x14ac:dyDescent="0.2">
      <c r="A24" s="834" t="s">
        <v>3</v>
      </c>
      <c r="B24" s="834"/>
      <c r="C24" s="255"/>
      <c r="D24" s="254"/>
      <c r="E24" s="255"/>
      <c r="F24" s="255"/>
      <c r="G24" s="333"/>
      <c r="H24" s="364"/>
      <c r="I24" s="282"/>
      <c r="J24" s="255"/>
      <c r="K24" s="351"/>
      <c r="L24" s="284"/>
      <c r="M24" s="284"/>
      <c r="N24" s="284"/>
      <c r="O24" s="284"/>
      <c r="P24" s="284"/>
    </row>
    <row r="25" spans="1:16" ht="14.1" customHeight="1" x14ac:dyDescent="0.2">
      <c r="A25" s="95"/>
      <c r="B25" s="95"/>
      <c r="C25" s="257" t="s">
        <v>6</v>
      </c>
      <c r="D25" s="245">
        <f>INDEX([2]Kraje!B57:AK57,1,3*T!$A$4-2)</f>
        <v>182</v>
      </c>
      <c r="E25" s="96">
        <f>INDEX([2]Kraje!C57:AL57,1,3*T!$A$4-2)</f>
        <v>18931.912845140083</v>
      </c>
      <c r="F25" s="96">
        <f>INDEX([2]Kraje!D57:AM57,1,3*T!$A$4-2)</f>
        <v>201238.992</v>
      </c>
      <c r="G25" s="334">
        <f>E25/$E$29</f>
        <v>0.27416417663946202</v>
      </c>
      <c r="H25" s="316">
        <f>(E25-I25)/I25</f>
        <v>0.14190919144718633</v>
      </c>
      <c r="I25" s="283">
        <f>INDEX([4]Kraje!C57:AL57,1,3*T!$A$4-2)</f>
        <v>16579.175460657189</v>
      </c>
      <c r="J25" s="96">
        <f>INDEX([4]Kraje!D57:AM57,1,3*T!$A$4-2)</f>
        <v>176133.32</v>
      </c>
      <c r="K25" s="352">
        <f>I25/$I$29</f>
        <v>0.3030345771156786</v>
      </c>
      <c r="L25" s="287"/>
      <c r="N25" s="284"/>
      <c r="O25" s="284"/>
      <c r="P25" s="284"/>
    </row>
    <row r="26" spans="1:16" ht="14.1" customHeight="1" x14ac:dyDescent="0.2">
      <c r="A26" s="95"/>
      <c r="B26" s="95"/>
      <c r="C26" s="257" t="s">
        <v>7</v>
      </c>
      <c r="D26" s="245">
        <f>INDEX([2]Kraje!B58:AK58,1,3*T!$A$4-2)</f>
        <v>1617</v>
      </c>
      <c r="E26" s="96">
        <f>INDEX([2]Kraje!C58:AL58,1,3*T!$A$4-2)</f>
        <v>13603.197377537306</v>
      </c>
      <c r="F26" s="96">
        <f>INDEX([2]Kraje!D58:AM58,1,3*T!$A$4-2)</f>
        <v>144596.61199999999</v>
      </c>
      <c r="G26" s="334">
        <f t="shared" ref="G26:G28" si="4">E26/$E$29</f>
        <v>0.19699591051276089</v>
      </c>
      <c r="H26" s="316">
        <f t="shared" ref="H26:H29" si="5">(E26-I26)/I26</f>
        <v>0.29627014066667312</v>
      </c>
      <c r="I26" s="283">
        <f>INDEX([4]Kraje!C58:AL58,1,3*T!$A$4-2)</f>
        <v>10494.106861507407</v>
      </c>
      <c r="J26" s="96">
        <f>INDEX([4]Kraje!D58:AM58,1,3*T!$A$4-2)</f>
        <v>111486.891</v>
      </c>
      <c r="K26" s="352">
        <f t="shared" ref="K26:K28" si="6">I26/$I$29</f>
        <v>0.19181154349503352</v>
      </c>
      <c r="L26" s="287"/>
      <c r="N26" s="284"/>
      <c r="O26" s="284"/>
      <c r="P26" s="284"/>
    </row>
    <row r="27" spans="1:16" ht="14.1" customHeight="1" x14ac:dyDescent="0.2">
      <c r="A27" s="292"/>
      <c r="B27" s="268"/>
      <c r="C27" s="257" t="s">
        <v>8</v>
      </c>
      <c r="D27" s="245">
        <f>INDEX([2]Kraje!B59:AK59,1,3*T!$A$4-2)</f>
        <v>38786</v>
      </c>
      <c r="E27" s="96">
        <f>INDEX([2]Kraje!C59:AL59,1,3*T!$A$4-2)</f>
        <v>14488.897854727258</v>
      </c>
      <c r="F27" s="96">
        <f>INDEX([2]Kraje!D59:AM59,1,3*T!$A$4-2)</f>
        <v>154011.2580346101</v>
      </c>
      <c r="G27" s="334">
        <f>E27/$E$29</f>
        <v>0.20982226060555126</v>
      </c>
      <c r="H27" s="316">
        <f t="shared" si="5"/>
        <v>0.35385761811525024</v>
      </c>
      <c r="I27" s="283">
        <f>INDEX([4]Kraje!C59:AL59,1,3*T!$A$4-2)</f>
        <v>10701.936201310245</v>
      </c>
      <c r="J27" s="96">
        <f>INDEX([4]Kraje!D59:AM59,1,3*T!$A$4-2)</f>
        <v>113694.82038922605</v>
      </c>
      <c r="K27" s="352">
        <f t="shared" si="6"/>
        <v>0.19561025328303447</v>
      </c>
    </row>
    <row r="28" spans="1:16" ht="14.1" customHeight="1" x14ac:dyDescent="0.2">
      <c r="A28" s="292"/>
      <c r="B28" s="268"/>
      <c r="C28" s="257" t="s">
        <v>9</v>
      </c>
      <c r="D28" s="245">
        <f>INDEX([2]Kraje!B60:AK60,1,3*T!$A$4-2)</f>
        <v>389436</v>
      </c>
      <c r="E28" s="96">
        <f>INDEX([2]Kraje!C60:AL60,1,3*T!$A$4-2)</f>
        <v>22029.18872312551</v>
      </c>
      <c r="F28" s="96">
        <f>INDEX([2]Kraje!D60:AM60,1,3*T!$A$4-2)</f>
        <v>234161.56996534171</v>
      </c>
      <c r="G28" s="334">
        <f t="shared" si="4"/>
        <v>0.31901765224222578</v>
      </c>
      <c r="H28" s="316">
        <f t="shared" si="5"/>
        <v>0.30078612416428441</v>
      </c>
      <c r="I28" s="283">
        <f>INDEX([4]Kraje!C60:AL60,1,3*T!$A$4-2)</f>
        <v>16935.288833341911</v>
      </c>
      <c r="J28" s="96">
        <f>INDEX([4]Kraje!D60:AM60,1,3*T!$A$4-2)</f>
        <v>179916.47361070412</v>
      </c>
      <c r="K28" s="352">
        <f t="shared" si="6"/>
        <v>0.30954362610625341</v>
      </c>
    </row>
    <row r="29" spans="1:16" ht="14.1" customHeight="1" x14ac:dyDescent="0.2">
      <c r="A29" s="292"/>
      <c r="B29" s="268"/>
      <c r="C29" s="259" t="s">
        <v>2</v>
      </c>
      <c r="D29" s="253">
        <f>SUM(D25:D28)</f>
        <v>430021</v>
      </c>
      <c r="E29" s="251">
        <f>SUM(E25:E28)</f>
        <v>69053.196800530161</v>
      </c>
      <c r="F29" s="252">
        <f>SUM(F25:F28)</f>
        <v>734008.43199995183</v>
      </c>
      <c r="G29" s="336">
        <f>SUM(G25:G28)</f>
        <v>0.99999999999999989</v>
      </c>
      <c r="H29" s="318">
        <f t="shared" si="5"/>
        <v>0.26215603065370513</v>
      </c>
      <c r="I29" s="286">
        <f>SUM(I25:I28)</f>
        <v>54710.50735681675</v>
      </c>
      <c r="J29" s="252">
        <f>SUM(J25:J28)</f>
        <v>581231.50499993027</v>
      </c>
      <c r="K29" s="354">
        <f>SUM(K25:K28)</f>
        <v>1</v>
      </c>
    </row>
    <row r="30" spans="1:16" ht="12.95" customHeight="1" x14ac:dyDescent="0.2">
      <c r="A30" s="292"/>
      <c r="B30" s="268"/>
      <c r="C30" s="293"/>
      <c r="D30" s="294"/>
      <c r="E30" s="293"/>
      <c r="F30" s="293"/>
      <c r="G30" s="337"/>
      <c r="H30" s="319"/>
      <c r="I30" s="295"/>
      <c r="J30" s="296"/>
      <c r="K30" s="355"/>
    </row>
    <row r="31" spans="1:16" ht="12.95" customHeight="1" x14ac:dyDescent="0.2">
      <c r="A31" s="834" t="s">
        <v>239</v>
      </c>
      <c r="B31" s="834"/>
      <c r="C31" s="255"/>
      <c r="D31" s="254"/>
      <c r="E31" s="255"/>
      <c r="F31" s="255"/>
      <c r="G31" s="333"/>
      <c r="H31" s="364"/>
      <c r="I31" s="282"/>
      <c r="J31" s="255"/>
      <c r="K31" s="351"/>
    </row>
    <row r="32" spans="1:16" ht="14.1" customHeight="1" x14ac:dyDescent="0.2">
      <c r="A32" s="95"/>
      <c r="B32" s="95"/>
      <c r="C32" s="257" t="s">
        <v>6</v>
      </c>
      <c r="D32" s="245">
        <f>INDEX([2]Kraje!B63:AK63,1,3*T!$A$4-2)</f>
        <v>180</v>
      </c>
      <c r="E32" s="96">
        <f>INDEX([2]Kraje!C63:AL63,1,3*T!$A$4-2)</f>
        <v>43389.014000000003</v>
      </c>
      <c r="F32" s="96">
        <f>INDEX([2]Kraje!D63:AM63,1,3*T!$A$4-2)</f>
        <v>461673.10963999998</v>
      </c>
      <c r="G32" s="334">
        <f>E32/$E$36</f>
        <v>0.55372925538734408</v>
      </c>
      <c r="H32" s="316">
        <f>(E32-I32)/I32</f>
        <v>9.7551584768713853E-2</v>
      </c>
      <c r="I32" s="283">
        <f>INDEX([4]Kraje!C63:AL63,1,3*T!$A$4-2)</f>
        <v>39532.550999999999</v>
      </c>
      <c r="J32" s="96">
        <f>INDEX([4]Kraje!D63:AM63,1,3*T!$A$4-2)</f>
        <v>420424.64735500014</v>
      </c>
      <c r="K32" s="352">
        <f>I32/$I$36</f>
        <v>0.60433971998022273</v>
      </c>
    </row>
    <row r="33" spans="1:11" ht="14.1" customHeight="1" x14ac:dyDescent="0.2">
      <c r="A33" s="95"/>
      <c r="B33" s="95"/>
      <c r="C33" s="257" t="s">
        <v>7</v>
      </c>
      <c r="D33" s="245">
        <f>INDEX([2]Kraje!B64:AK64,1,3*T!$A$4-2)</f>
        <v>639</v>
      </c>
      <c r="E33" s="96">
        <f>INDEX([2]Kraje!C64:AL64,1,3*T!$A$4-2)</f>
        <v>6670</v>
      </c>
      <c r="F33" s="96">
        <f>INDEX([2]Kraje!D64:AM64,1,3*T!$A$4-2)</f>
        <v>70973.031440000035</v>
      </c>
      <c r="G33" s="334">
        <f t="shared" ref="G33:G35" si="7">E33/$E$36</f>
        <v>8.5122333810894721E-2</v>
      </c>
      <c r="H33" s="316">
        <f t="shared" ref="H33:H36" si="8">(E33-I33)/I33</f>
        <v>0.34801940177849638</v>
      </c>
      <c r="I33" s="283">
        <f>INDEX([4]Kraje!C64:AL64,1,3*T!$A$4-2)</f>
        <v>4948</v>
      </c>
      <c r="J33" s="96">
        <f>INDEX([4]Kraje!D64:AM64,1,3*T!$A$4-2)</f>
        <v>52623.420029999994</v>
      </c>
      <c r="K33" s="352">
        <f t="shared" ref="K33:K35" si="9">I33/$I$36</f>
        <v>7.5640778518495863E-2</v>
      </c>
    </row>
    <row r="34" spans="1:11" ht="14.1" customHeight="1" x14ac:dyDescent="0.2">
      <c r="A34" s="292"/>
      <c r="B34" s="268"/>
      <c r="C34" s="257" t="s">
        <v>8</v>
      </c>
      <c r="D34" s="245">
        <f>INDEX([2]Kraje!B65:AK65,1,3*T!$A$4-2)</f>
        <v>17974</v>
      </c>
      <c r="E34" s="96">
        <f>INDEX([2]Kraje!C65:AL65,1,3*T!$A$4-2)</f>
        <v>8130.5</v>
      </c>
      <c r="F34" s="96">
        <f>INDEX([2]Kraje!D65:AM65,1,3*T!$A$4-2)</f>
        <v>86513.7</v>
      </c>
      <c r="G34" s="334">
        <f t="shared" si="7"/>
        <v>0.10376118966259064</v>
      </c>
      <c r="H34" s="316">
        <f t="shared" si="8"/>
        <v>0.34724684750368695</v>
      </c>
      <c r="I34" s="283">
        <f>INDEX([4]Kraje!C65:AL65,1,3*T!$A$4-2)</f>
        <v>6034.9</v>
      </c>
      <c r="J34" s="96">
        <f>INDEX([4]Kraje!D65:AM65,1,3*T!$A$4-2)</f>
        <v>64183</v>
      </c>
      <c r="K34" s="352">
        <f t="shared" si="9"/>
        <v>9.2256373136877651E-2</v>
      </c>
    </row>
    <row r="35" spans="1:11" ht="14.1" customHeight="1" x14ac:dyDescent="0.2">
      <c r="A35" s="292"/>
      <c r="B35" s="268"/>
      <c r="C35" s="257" t="s">
        <v>9</v>
      </c>
      <c r="D35" s="245">
        <f>INDEX([2]Kraje!B66:AK66,1,3*T!$A$4-2)</f>
        <v>234668</v>
      </c>
      <c r="E35" s="96">
        <f>INDEX([2]Kraje!C66:AL66,1,3*T!$A$4-2)</f>
        <v>20168.3</v>
      </c>
      <c r="F35" s="96">
        <f>INDEX([2]Kraje!D66:AM66,1,3*T!$A$4-2)</f>
        <v>214603.7</v>
      </c>
      <c r="G35" s="334">
        <f t="shared" si="7"/>
        <v>0.25738722113917062</v>
      </c>
      <c r="H35" s="316">
        <f t="shared" si="8"/>
        <v>0.3536680314115041</v>
      </c>
      <c r="I35" s="283">
        <f>INDEX([4]Kraje!C66:AL66,1,3*T!$A$4-2)</f>
        <v>14899</v>
      </c>
      <c r="J35" s="96">
        <f>INDEX([4]Kraje!D66:AM66,1,3*T!$A$4-2)</f>
        <v>158455.9</v>
      </c>
      <c r="K35" s="352">
        <f t="shared" si="9"/>
        <v>0.22776312836440377</v>
      </c>
    </row>
    <row r="36" spans="1:11" ht="14.1" customHeight="1" x14ac:dyDescent="0.2">
      <c r="A36" s="292"/>
      <c r="B36" s="268"/>
      <c r="C36" s="259" t="s">
        <v>2</v>
      </c>
      <c r="D36" s="253">
        <f>SUM(D32:D35)</f>
        <v>253461</v>
      </c>
      <c r="E36" s="251">
        <f>SUM(E32:E35)</f>
        <v>78357.813999999998</v>
      </c>
      <c r="F36" s="252">
        <f>SUM(F32:F35)</f>
        <v>833763.54107999988</v>
      </c>
      <c r="G36" s="336">
        <f>SUM(G32:G35)</f>
        <v>1</v>
      </c>
      <c r="H36" s="318">
        <f t="shared" si="8"/>
        <v>0.19786702788348706</v>
      </c>
      <c r="I36" s="286">
        <f>SUM(I32:I35)</f>
        <v>65414.451000000001</v>
      </c>
      <c r="J36" s="252">
        <f>SUM(J32:J35)</f>
        <v>695686.9673850002</v>
      </c>
      <c r="K36" s="354">
        <f>SUM(K32:K35)</f>
        <v>1</v>
      </c>
    </row>
    <row r="37" spans="1:11" ht="12.95" customHeight="1" x14ac:dyDescent="0.2">
      <c r="A37" s="292"/>
      <c r="B37" s="268"/>
      <c r="C37" s="293"/>
      <c r="D37" s="294"/>
      <c r="E37" s="293"/>
      <c r="F37" s="293"/>
      <c r="G37" s="337"/>
      <c r="H37" s="319"/>
      <c r="I37" s="295"/>
      <c r="J37" s="296"/>
      <c r="K37" s="355"/>
    </row>
    <row r="38" spans="1:11" ht="12.95" customHeight="1" x14ac:dyDescent="0.2">
      <c r="A38" s="834" t="s">
        <v>240</v>
      </c>
      <c r="B38" s="834"/>
      <c r="C38" s="255"/>
      <c r="D38" s="254"/>
      <c r="E38" s="255"/>
      <c r="F38" s="255"/>
      <c r="G38" s="333"/>
      <c r="H38" s="364"/>
      <c r="I38" s="282"/>
      <c r="J38" s="255"/>
      <c r="K38" s="351"/>
    </row>
    <row r="39" spans="1:11" ht="14.1" customHeight="1" x14ac:dyDescent="0.2">
      <c r="A39" s="95"/>
      <c r="B39" s="95"/>
      <c r="C39" s="257" t="s">
        <v>6</v>
      </c>
      <c r="D39" s="245">
        <f>INDEX([2]Kraje!B69:AK69,1,3*T!$A$4-2)</f>
        <v>132</v>
      </c>
      <c r="E39" s="96">
        <f>INDEX([2]Kraje!C69:AL69,1,3*T!$A$4-2)</f>
        <v>48210.307000000001</v>
      </c>
      <c r="F39" s="96">
        <f>INDEX([2]Kraje!D69:AM69,1,3*T!$A$4-2)</f>
        <v>512988.38781999989</v>
      </c>
      <c r="G39" s="334">
        <f>E39/$E$43</f>
        <v>0.7182713617287938</v>
      </c>
      <c r="H39" s="316">
        <f>(E39-I39)/I39</f>
        <v>-0.13294217482328302</v>
      </c>
      <c r="I39" s="283">
        <f>INDEX([4]Kraje!C69:AL69,1,3*T!$A$4-2)</f>
        <v>55602.182000000001</v>
      </c>
      <c r="J39" s="96">
        <f>INDEX([4]Kraje!D69:AM69,1,3*T!$A$4-2)</f>
        <v>591307.9021849999</v>
      </c>
      <c r="K39" s="352">
        <f>I39/$I$43</f>
        <v>0.79909912869707878</v>
      </c>
    </row>
    <row r="40" spans="1:11" ht="14.1" customHeight="1" x14ac:dyDescent="0.2">
      <c r="A40" s="95"/>
      <c r="B40" s="95"/>
      <c r="C40" s="257" t="s">
        <v>7</v>
      </c>
      <c r="D40" s="245">
        <f>INDEX([2]Kraje!B70:AK70,1,3*T!$A$4-2)</f>
        <v>338</v>
      </c>
      <c r="E40" s="96">
        <f>INDEX([2]Kraje!C70:AL70,1,3*T!$A$4-2)</f>
        <v>3436.9</v>
      </c>
      <c r="F40" s="96">
        <f>INDEX([2]Kraje!D70:AM70,1,3*T!$A$4-2)</f>
        <v>36570.923750999973</v>
      </c>
      <c r="G40" s="334">
        <f t="shared" ref="G40:G41" si="10">E40/$E$43</f>
        <v>5.120537488229833E-2</v>
      </c>
      <c r="H40" s="316">
        <f t="shared" ref="H40:H43" si="11">(E40-I40)/I40</f>
        <v>0.31359883809815015</v>
      </c>
      <c r="I40" s="283">
        <f>INDEX([4]Kraje!C70:AL70,1,3*T!$A$4-2)</f>
        <v>2616.4</v>
      </c>
      <c r="J40" s="96">
        <f>INDEX([4]Kraje!D70:AM70,1,3*T!$A$4-2)</f>
        <v>27826.418201000011</v>
      </c>
      <c r="K40" s="352">
        <f t="shared" ref="K40:K42" si="12">I40/$I$43</f>
        <v>3.7602174683055371E-2</v>
      </c>
    </row>
    <row r="41" spans="1:11" ht="14.1" customHeight="1" x14ac:dyDescent="0.2">
      <c r="A41" s="292"/>
      <c r="B41" s="268"/>
      <c r="C41" s="257" t="s">
        <v>8</v>
      </c>
      <c r="D41" s="245">
        <f>INDEX([2]Kraje!B71:AK71,1,3*T!$A$4-2)</f>
        <v>12366</v>
      </c>
      <c r="E41" s="96">
        <f>INDEX([2]Kraje!C71:AL71,1,3*T!$A$4-2)</f>
        <v>4771.3999999999996</v>
      </c>
      <c r="F41" s="96">
        <f>INDEX([2]Kraje!D71:AM71,1,3*T!$A$4-2)</f>
        <v>50771</v>
      </c>
      <c r="G41" s="334">
        <f t="shared" si="10"/>
        <v>7.108770278838436E-2</v>
      </c>
      <c r="H41" s="316">
        <f t="shared" si="11"/>
        <v>0.35805772186486012</v>
      </c>
      <c r="I41" s="283">
        <f>INDEX([4]Kraje!C71:AL71,1,3*T!$A$4-2)</f>
        <v>3513.4</v>
      </c>
      <c r="J41" s="96">
        <f>INDEX([4]Kraje!D71:AM71,1,3*T!$A$4-2)</f>
        <v>37365.800000000003</v>
      </c>
      <c r="K41" s="352">
        <f t="shared" si="12"/>
        <v>5.0493609742947081E-2</v>
      </c>
    </row>
    <row r="42" spans="1:11" ht="14.1" customHeight="1" x14ac:dyDescent="0.2">
      <c r="A42" s="292"/>
      <c r="B42" s="268"/>
      <c r="C42" s="257" t="s">
        <v>9</v>
      </c>
      <c r="D42" s="245">
        <f>INDEX([2]Kraje!B72:AK72,1,3*T!$A$4-2)</f>
        <v>214094</v>
      </c>
      <c r="E42" s="96">
        <f>INDEX([2]Kraje!C72:AL72,1,3*T!$A$4-2)</f>
        <v>10701.3</v>
      </c>
      <c r="F42" s="96">
        <f>INDEX([2]Kraje!D72:AM72,1,3*T!$A$4-2)</f>
        <v>113868.6</v>
      </c>
      <c r="G42" s="334">
        <f>E42/$E$43</f>
        <v>0.15943556060052344</v>
      </c>
      <c r="H42" s="316">
        <f t="shared" si="11"/>
        <v>0.36337924093208124</v>
      </c>
      <c r="I42" s="283">
        <f>INDEX([4]Kraje!C72:AL72,1,3*T!$A$4-2)</f>
        <v>7849.1</v>
      </c>
      <c r="J42" s="96">
        <f>INDEX([4]Kraje!D72:AM72,1,3*T!$A$4-2)</f>
        <v>83478.2</v>
      </c>
      <c r="K42" s="352">
        <f t="shared" si="12"/>
        <v>0.11280508687691863</v>
      </c>
    </row>
    <row r="43" spans="1:11" ht="14.1" customHeight="1" x14ac:dyDescent="0.2">
      <c r="A43" s="292"/>
      <c r="B43" s="268"/>
      <c r="C43" s="259" t="s">
        <v>2</v>
      </c>
      <c r="D43" s="253">
        <f>SUM(D39:D42)</f>
        <v>226930</v>
      </c>
      <c r="E43" s="251">
        <f>SUM(E39:E42)</f>
        <v>67119.907000000007</v>
      </c>
      <c r="F43" s="252">
        <f>SUM(F39:F42)</f>
        <v>714198.91157099989</v>
      </c>
      <c r="G43" s="336">
        <f>SUM(G39:G42)</f>
        <v>1</v>
      </c>
      <c r="H43" s="318">
        <f t="shared" si="11"/>
        <v>-3.5371324061905254E-2</v>
      </c>
      <c r="I43" s="286">
        <f>SUM(I39:I42)</f>
        <v>69581.082000000009</v>
      </c>
      <c r="J43" s="252">
        <f>SUM(J39:J42)</f>
        <v>739978.32038599986</v>
      </c>
      <c r="K43" s="354">
        <f>SUM(K39:K42)</f>
        <v>0.99999999999999978</v>
      </c>
    </row>
    <row r="44" spans="1:11" ht="12.95" customHeight="1" x14ac:dyDescent="0.2">
      <c r="A44" s="292"/>
      <c r="B44" s="268"/>
      <c r="C44" s="293"/>
      <c r="D44" s="294"/>
      <c r="E44" s="293"/>
      <c r="F44" s="293"/>
      <c r="G44" s="337"/>
      <c r="H44" s="319"/>
      <c r="I44" s="295"/>
      <c r="J44" s="296"/>
      <c r="K44" s="355"/>
    </row>
    <row r="45" spans="1:11" ht="12.95" customHeight="1" x14ac:dyDescent="0.2">
      <c r="A45" s="834" t="s">
        <v>241</v>
      </c>
      <c r="B45" s="834"/>
      <c r="C45" s="255"/>
      <c r="D45" s="254"/>
      <c r="E45" s="255"/>
      <c r="F45" s="255"/>
      <c r="G45" s="333"/>
      <c r="H45" s="364"/>
      <c r="I45" s="282"/>
      <c r="J45" s="255"/>
      <c r="K45" s="351"/>
    </row>
    <row r="46" spans="1:11" ht="14.1" customHeight="1" x14ac:dyDescent="0.2">
      <c r="A46" s="95"/>
      <c r="B46" s="95"/>
      <c r="C46" s="257" t="s">
        <v>6</v>
      </c>
      <c r="D46" s="245">
        <f>INDEX([2]Kraje!B75:AK75,1,3*T!$A$4-2)</f>
        <v>97</v>
      </c>
      <c r="E46" s="96">
        <f>INDEX([2]Kraje!C75:AL75,1,3*T!$A$4-2)</f>
        <v>9973.8320000000003</v>
      </c>
      <c r="F46" s="96">
        <f>INDEX([2]Kraje!D75:AM75,1,3*T!$A$4-2)</f>
        <v>106125.88035999995</v>
      </c>
      <c r="G46" s="334">
        <f>E46/$E$50</f>
        <v>0.37053025950260438</v>
      </c>
      <c r="H46" s="316">
        <f>(E46-I46)/I46</f>
        <v>-0.14992117845035197</v>
      </c>
      <c r="I46" s="283">
        <f>INDEX([4]Kraje!C75:AL75,1,3*T!$A$4-2)</f>
        <v>11732.832</v>
      </c>
      <c r="J46" s="96">
        <f>INDEX([4]Kraje!D75:AM75,1,3*T!$A$4-2)</f>
        <v>124777.62279199999</v>
      </c>
      <c r="K46" s="352">
        <f>I46/$I$50</f>
        <v>0.46956635748402958</v>
      </c>
    </row>
    <row r="47" spans="1:11" ht="14.1" customHeight="1" x14ac:dyDescent="0.2">
      <c r="A47" s="95"/>
      <c r="B47" s="95"/>
      <c r="C47" s="257" t="s">
        <v>7</v>
      </c>
      <c r="D47" s="245">
        <f>INDEX([2]Kraje!B76:AK76,1,3*T!$A$4-2)</f>
        <v>335</v>
      </c>
      <c r="E47" s="96">
        <f>INDEX([2]Kraje!C76:AL76,1,3*T!$A$4-2)</f>
        <v>3130.2280000000001</v>
      </c>
      <c r="F47" s="96">
        <f>INDEX([2]Kraje!D76:AM76,1,3*T!$A$4-2)</f>
        <v>33307.558479999992</v>
      </c>
      <c r="G47" s="334">
        <f t="shared" ref="G47:G49" si="13">E47/$E$50</f>
        <v>0.11628872364626938</v>
      </c>
      <c r="H47" s="316">
        <f t="shared" ref="H47:H50" si="14">(E47-I47)/I47</f>
        <v>0.21844837814146062</v>
      </c>
      <c r="I47" s="283">
        <f>INDEX([4]Kraje!C76:AL76,1,3*T!$A$4-2)</f>
        <v>2569.0279999999998</v>
      </c>
      <c r="J47" s="96">
        <f>INDEX([4]Kraje!D76:AM76,1,3*T!$A$4-2)</f>
        <v>27321.049720999996</v>
      </c>
      <c r="K47" s="352">
        <f t="shared" ref="K47:K49" si="15">I47/$I$50</f>
        <v>0.10281653399916417</v>
      </c>
    </row>
    <row r="48" spans="1:11" ht="14.1" customHeight="1" x14ac:dyDescent="0.2">
      <c r="A48" s="292"/>
      <c r="B48" s="268"/>
      <c r="C48" s="257" t="s">
        <v>8</v>
      </c>
      <c r="D48" s="245">
        <f>INDEX([2]Kraje!B77:AK77,1,3*T!$A$4-2)</f>
        <v>10019</v>
      </c>
      <c r="E48" s="96">
        <f>INDEX([2]Kraje!C77:AL77,1,3*T!$A$4-2)</f>
        <v>4755.6308520000002</v>
      </c>
      <c r="F48" s="96">
        <f>INDEX([2]Kraje!D77:AM77,1,3*T!$A$4-2)</f>
        <v>50601.391252000001</v>
      </c>
      <c r="G48" s="334">
        <f t="shared" si="13"/>
        <v>0.17667283083273827</v>
      </c>
      <c r="H48" s="316">
        <f t="shared" si="14"/>
        <v>0.29495449843802812</v>
      </c>
      <c r="I48" s="283">
        <f>INDEX([4]Kraje!C77:AL77,1,3*T!$A$4-2)</f>
        <v>3672.430852</v>
      </c>
      <c r="J48" s="96">
        <f>INDEX([4]Kraje!D77:AM77,1,3*T!$A$4-2)</f>
        <v>39053.795407999998</v>
      </c>
      <c r="K48" s="352">
        <f t="shared" si="15"/>
        <v>0.14697644850668715</v>
      </c>
    </row>
    <row r="49" spans="1:11" ht="14.1" customHeight="1" x14ac:dyDescent="0.2">
      <c r="A49" s="292"/>
      <c r="B49" s="268"/>
      <c r="C49" s="257" t="s">
        <v>9</v>
      </c>
      <c r="D49" s="245">
        <f>INDEX([2]Kraje!B78:AK78,1,3*T!$A$4-2)</f>
        <v>104985</v>
      </c>
      <c r="E49" s="96">
        <f>INDEX([2]Kraje!C78:AL78,1,3*T!$A$4-2)</f>
        <v>9058.035147999999</v>
      </c>
      <c r="F49" s="96">
        <f>INDEX([2]Kraje!D78:AM78,1,3*T!$A$4-2)</f>
        <v>96380.574747999999</v>
      </c>
      <c r="G49" s="334">
        <f t="shared" si="13"/>
        <v>0.336508186018388</v>
      </c>
      <c r="H49" s="316">
        <f t="shared" si="14"/>
        <v>0.29174720425390932</v>
      </c>
      <c r="I49" s="283">
        <f>INDEX([4]Kraje!C78:AL78,1,3*T!$A$4-2)</f>
        <v>7012.2351480000007</v>
      </c>
      <c r="J49" s="96">
        <f>INDEX([4]Kraje!D78:AM78,1,3*T!$A$4-2)</f>
        <v>74570.668592000002</v>
      </c>
      <c r="K49" s="352">
        <f t="shared" si="15"/>
        <v>0.28064066001011906</v>
      </c>
    </row>
    <row r="50" spans="1:11" ht="14.1" customHeight="1" x14ac:dyDescent="0.2">
      <c r="A50" s="292"/>
      <c r="B50" s="268"/>
      <c r="C50" s="259" t="s">
        <v>2</v>
      </c>
      <c r="D50" s="253">
        <f>SUM(D46:D49)</f>
        <v>115436</v>
      </c>
      <c r="E50" s="251">
        <f>SUM(E46:E49)</f>
        <v>26917.725999999999</v>
      </c>
      <c r="F50" s="252">
        <f>SUM(F46:F49)</f>
        <v>286415.40483999997</v>
      </c>
      <c r="G50" s="336">
        <f>SUM(G46:G49)</f>
        <v>1</v>
      </c>
      <c r="H50" s="318">
        <f t="shared" si="14"/>
        <v>7.7289656033015436E-2</v>
      </c>
      <c r="I50" s="286">
        <f>SUM(I46:I49)</f>
        <v>24986.526000000002</v>
      </c>
      <c r="J50" s="252">
        <f>SUM(J46:J49)</f>
        <v>265723.136513</v>
      </c>
      <c r="K50" s="354">
        <f>SUM(K46:K49)</f>
        <v>1</v>
      </c>
    </row>
    <row r="51" spans="1:11" ht="12.95" customHeight="1" x14ac:dyDescent="0.2">
      <c r="A51" s="292"/>
      <c r="B51" s="268"/>
      <c r="C51" s="293"/>
      <c r="D51" s="294"/>
      <c r="E51" s="293"/>
      <c r="F51" s="293"/>
      <c r="G51" s="337"/>
      <c r="H51" s="319"/>
      <c r="I51" s="295"/>
      <c r="J51" s="296"/>
      <c r="K51" s="355"/>
    </row>
    <row r="52" spans="1:11" ht="12.95" customHeight="1" x14ac:dyDescent="0.2">
      <c r="A52" s="834" t="s">
        <v>242</v>
      </c>
      <c r="B52" s="834"/>
      <c r="C52" s="255"/>
      <c r="D52" s="254"/>
      <c r="E52" s="255"/>
      <c r="F52" s="255"/>
      <c r="G52" s="333"/>
      <c r="H52" s="364"/>
      <c r="I52" s="282"/>
      <c r="J52" s="255"/>
      <c r="K52" s="351"/>
    </row>
    <row r="53" spans="1:11" ht="14.1" customHeight="1" x14ac:dyDescent="0.2">
      <c r="A53" s="95"/>
      <c r="B53" s="95"/>
      <c r="C53" s="257" t="s">
        <v>6</v>
      </c>
      <c r="D53" s="245">
        <f>INDEX([2]Kraje!B81:AK81,1,3*T!$A$4-2)</f>
        <v>70</v>
      </c>
      <c r="E53" s="96">
        <f>INDEX([2]Kraje!C81:AL81,1,3*T!$A$4-2)</f>
        <v>12302.6</v>
      </c>
      <c r="F53" s="96">
        <f>INDEX([2]Kraje!D81:AM81,1,3*T!$A$4-2)</f>
        <v>130907.38328999998</v>
      </c>
      <c r="G53" s="334">
        <f>E53/$E$57</f>
        <v>0.39252258920822908</v>
      </c>
      <c r="H53" s="316">
        <f>(E53-I53)/I53</f>
        <v>-7.0302050193079321E-2</v>
      </c>
      <c r="I53" s="283">
        <f>INDEX([4]Kraje!C81:AL81,1,3*T!$A$4-2)</f>
        <v>13232.9</v>
      </c>
      <c r="J53" s="96">
        <f>INDEX([4]Kraje!D81:AM81,1,3*T!$A$4-2)</f>
        <v>140736.40940600002</v>
      </c>
      <c r="K53" s="352">
        <f>I53/$I$57</f>
        <v>0.47905888997092977</v>
      </c>
    </row>
    <row r="54" spans="1:11" ht="14.1" customHeight="1" x14ac:dyDescent="0.2">
      <c r="A54" s="95"/>
      <c r="B54" s="95"/>
      <c r="C54" s="257" t="s">
        <v>7</v>
      </c>
      <c r="D54" s="245">
        <f>INDEX([2]Kraje!B82:AK82,1,3*T!$A$4-2)</f>
        <v>345</v>
      </c>
      <c r="E54" s="96">
        <f>INDEX([2]Kraje!C82:AL82,1,3*T!$A$4-2)</f>
        <v>2723.4</v>
      </c>
      <c r="F54" s="96">
        <f>INDEX([2]Kraje!D82:AM82,1,3*T!$A$4-2)</f>
        <v>28978.887359999993</v>
      </c>
      <c r="G54" s="334">
        <f t="shared" ref="G54:G56" si="16">E54/$E$57</f>
        <v>8.6891878094849148E-2</v>
      </c>
      <c r="H54" s="316">
        <f t="shared" ref="H54:H57" si="17">(E54-I54)/I54</f>
        <v>0.17631306150656545</v>
      </c>
      <c r="I54" s="283">
        <f>INDEX([4]Kraje!C82:AL82,1,3*T!$A$4-2)</f>
        <v>2315.1999999999998</v>
      </c>
      <c r="J54" s="96">
        <f>INDEX([4]Kraje!D82:AM82,1,3*T!$A$4-2)</f>
        <v>24623.130059999978</v>
      </c>
      <c r="K54" s="352">
        <f t="shared" ref="K54:K56" si="18">I54/$I$57</f>
        <v>8.3815123069070005E-2</v>
      </c>
    </row>
    <row r="55" spans="1:11" ht="14.1" customHeight="1" x14ac:dyDescent="0.2">
      <c r="A55" s="292"/>
      <c r="B55" s="268"/>
      <c r="C55" s="257" t="s">
        <v>8</v>
      </c>
      <c r="D55" s="245">
        <f>INDEX([2]Kraje!B83:AK83,1,3*T!$A$4-2)</f>
        <v>10410</v>
      </c>
      <c r="E55" s="96">
        <f>INDEX([2]Kraje!C83:AL83,1,3*T!$A$4-2)</f>
        <v>5010.5</v>
      </c>
      <c r="F55" s="96">
        <f>INDEX([2]Kraje!D83:AM83,1,3*T!$A$4-2)</f>
        <v>53315.3</v>
      </c>
      <c r="G55" s="334">
        <f t="shared" si="16"/>
        <v>0.15986331614681709</v>
      </c>
      <c r="H55" s="316">
        <f t="shared" si="17"/>
        <v>0.34455923789078224</v>
      </c>
      <c r="I55" s="283">
        <f>INDEX([4]Kraje!C83:AL83,1,3*T!$A$4-2)</f>
        <v>3726.5</v>
      </c>
      <c r="J55" s="96">
        <f>INDEX([4]Kraje!D83:AM83,1,3*T!$A$4-2)</f>
        <v>39632.9</v>
      </c>
      <c r="K55" s="352">
        <f t="shared" si="18"/>
        <v>0.13490715969112363</v>
      </c>
    </row>
    <row r="56" spans="1:11" ht="14.1" customHeight="1" x14ac:dyDescent="0.2">
      <c r="A56" s="292"/>
      <c r="B56" s="268"/>
      <c r="C56" s="257" t="s">
        <v>9</v>
      </c>
      <c r="D56" s="245">
        <f>INDEX([2]Kraje!B84:AK84,1,3*T!$A$4-2)</f>
        <v>148193</v>
      </c>
      <c r="E56" s="96">
        <f>INDEX([2]Kraje!C84:AL84,1,3*T!$A$4-2)</f>
        <v>11305.9</v>
      </c>
      <c r="F56" s="96">
        <f>INDEX([2]Kraje!D84:AM84,1,3*T!$A$4-2)</f>
        <v>120302.5</v>
      </c>
      <c r="G56" s="334">
        <f t="shared" si="16"/>
        <v>0.36072221655010461</v>
      </c>
      <c r="H56" s="316">
        <f t="shared" si="17"/>
        <v>0.354308165929972</v>
      </c>
      <c r="I56" s="283">
        <f>INDEX([4]Kraje!C84:AL84,1,3*T!$A$4-2)</f>
        <v>8348.1</v>
      </c>
      <c r="J56" s="96">
        <f>INDEX([4]Kraje!D84:AM84,1,3*T!$A$4-2)</f>
        <v>88784.5</v>
      </c>
      <c r="K56" s="352">
        <f t="shared" si="18"/>
        <v>0.30221882726887672</v>
      </c>
    </row>
    <row r="57" spans="1:11" ht="14.1" customHeight="1" x14ac:dyDescent="0.2">
      <c r="A57" s="292"/>
      <c r="B57" s="268"/>
      <c r="C57" s="259" t="s">
        <v>2</v>
      </c>
      <c r="D57" s="253">
        <f>SUM(D53:D56)</f>
        <v>159018</v>
      </c>
      <c r="E57" s="251">
        <f>SUM(E53:E56)</f>
        <v>31342.400000000001</v>
      </c>
      <c r="F57" s="252">
        <f>SUM(F53:F56)</f>
        <v>333504.07064999995</v>
      </c>
      <c r="G57" s="336">
        <f>SUM(G53:G56)</f>
        <v>0.99999999999999989</v>
      </c>
      <c r="H57" s="318">
        <f t="shared" si="17"/>
        <v>0.13466098534900661</v>
      </c>
      <c r="I57" s="286">
        <f>SUM(I53:I56)</f>
        <v>27622.699999999997</v>
      </c>
      <c r="J57" s="252">
        <f>SUM(J53:J56)</f>
        <v>293776.93946599995</v>
      </c>
      <c r="K57" s="354">
        <f>SUM(K53:K56)</f>
        <v>1</v>
      </c>
    </row>
    <row r="58" spans="1:11" ht="12.95" customHeight="1" x14ac:dyDescent="0.2">
      <c r="A58" s="292"/>
      <c r="B58" s="268"/>
      <c r="C58" s="174"/>
      <c r="D58" s="297"/>
      <c r="E58" s="174"/>
      <c r="F58" s="174"/>
      <c r="G58" s="338"/>
      <c r="H58" s="320"/>
      <c r="I58" s="298"/>
      <c r="J58" s="299"/>
      <c r="K58" s="356"/>
    </row>
    <row r="59" spans="1:11" ht="15" customHeight="1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 x14ac:dyDescent="0.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 x14ac:dyDescent="0.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 x14ac:dyDescent="0.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 x14ac:dyDescent="0.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 x14ac:dyDescent="0.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 x14ac:dyDescent="0.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 x14ac:dyDescent="0.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 x14ac:dyDescent="0.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 x14ac:dyDescent="0.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 x14ac:dyDescent="0.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 x14ac:dyDescent="0.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 x14ac:dyDescent="0.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 x14ac:dyDescent="0.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 x14ac:dyDescent="0.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 x14ac:dyDescent="0.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 x14ac:dyDescent="0.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 x14ac:dyDescent="0.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 x14ac:dyDescent="0.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 x14ac:dyDescent="0.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 x14ac:dyDescent="0.2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1:11" ht="15" customHeight="1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J1:K1"/>
    <mergeCell ref="A3:K3"/>
    <mergeCell ref="D4:E4"/>
    <mergeCell ref="H6:H9"/>
    <mergeCell ref="B8:C9"/>
    <mergeCell ref="D8:D9"/>
    <mergeCell ref="E8:F8"/>
    <mergeCell ref="I8:J8"/>
    <mergeCell ref="A52:B52"/>
    <mergeCell ref="A10:B10"/>
    <mergeCell ref="A17:B17"/>
    <mergeCell ref="A24:B24"/>
    <mergeCell ref="A31:B31"/>
    <mergeCell ref="A38:B38"/>
    <mergeCell ref="A45:B4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19</vt:i4>
      </vt:variant>
    </vt:vector>
  </HeadingPairs>
  <TitlesOfParts>
    <vt:vector size="38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'2'!Oblast_tisku</vt:lpstr>
      <vt:lpstr>'3'!Oblast_tisku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2015-06-05T08:23:26Z</cp:lastPrinted>
  <dcterms:created xsi:type="dcterms:W3CDTF">2010-02-15T08:19:53Z</dcterms:created>
  <dcterms:modified xsi:type="dcterms:W3CDTF">2015-06-05T08:23:40Z</dcterms:modified>
</cp:coreProperties>
</file>